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2.xml" ContentType="application/vnd.openxmlformats-officedocument.drawing+xml"/>
  <Override PartName="/xl/tables/table4.xml" ContentType="application/vnd.openxmlformats-officedocument.spreadsheetml.table+xml"/>
  <Override PartName="/xl/drawings/drawing3.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https://o365vreg.sharepoint.com/sites/KT_Tariefregulering/Gedeelde  documenten/Consultaties/2022 Q2 timing captar/Consultatietekst/"/>
    </mc:Choice>
  </mc:AlternateContent>
  <xr:revisionPtr revIDLastSave="2232" documentId="8_{C2E52E3F-3144-461B-9290-355BA213F1E1}" xr6:coauthVersionLast="47" xr6:coauthVersionMax="47" xr10:uidLastSave="{C15E03E6-5DC6-43AE-8639-5B979F8027E2}"/>
  <workbookProtection workbookAlgorithmName="SHA-512" workbookHashValue="bGRCVd4V1BvHP8EL6W2eC8KedRCinCaWudKMwaf6BxYgKpckdQc4j0IsGj3VvF6N6bcRlOAm2ARIyK0CXnBrgA==" workbookSaltValue="Fr+/iyn91cSURoZgwso9Hg==" workbookSpinCount="100000" lockStructure="1"/>
  <bookViews>
    <workbookView xWindow="28680" yWindow="-120" windowWidth="25440" windowHeight="15390" tabRatio="782" activeTab="2" xr2:uid="{00000000-000D-0000-FFFF-FFFF00000000}"/>
  </bookViews>
  <sheets>
    <sheet name="TITELBLAD" sheetId="4" r:id="rId1"/>
    <sheet name="--&gt; ELEKTRICITEIT" sheetId="39" r:id="rId2"/>
    <sheet name="ASSUMPTIES" sheetId="37" r:id="rId3"/>
    <sheet name="VERDEELSLEUTELS" sheetId="27" r:id="rId4"/>
    <sheet name="REKENVOLUMES" sheetId="29" r:id="rId5"/>
    <sheet name="MAXIMUM" sheetId="31" r:id="rId6"/>
    <sheet name="Max Afname TRHS" sheetId="32" r:id="rId7"/>
    <sheet name="Max Afname MS" sheetId="41" r:id="rId8"/>
    <sheet name="Max Afname TRLS" sheetId="42" r:id="rId9"/>
    <sheet name="Max Afname LS" sheetId="43" r:id="rId10"/>
    <sheet name="Max Injectie" sheetId="44" r:id="rId11"/>
    <sheet name="T1" sheetId="6" r:id="rId12"/>
    <sheet name="T2" sheetId="26" r:id="rId13"/>
    <sheet name="T3" sheetId="28" r:id="rId14"/>
    <sheet name="T4" sheetId="38" r:id="rId15"/>
    <sheet name="--&gt; AARDGAS" sheetId="45" r:id="rId16"/>
    <sheet name="T5" sheetId="47" r:id="rId17"/>
    <sheet name="T6" sheetId="46" r:id="rId18"/>
    <sheet name="T7" sheetId="58" r:id="rId19"/>
    <sheet name="T8" sheetId="48" r:id="rId20"/>
    <sheet name="--&gt; TARIEFLIJSTEN" sheetId="49" r:id="rId21"/>
    <sheet name="ELEK Afname (DNG)" sheetId="64" r:id="rId22"/>
    <sheet name="ELEK Afname (LEV)" sheetId="68" r:id="rId23"/>
    <sheet name="ELEK Afname Trans HS" sheetId="50" r:id="rId24"/>
    <sheet name="ELEK Afname &gt;26-36 kV" sheetId="51" r:id="rId25"/>
    <sheet name="ELEK Afname 26-1 kV" sheetId="52" r:id="rId26"/>
    <sheet name="ELEK Afname Trans LS" sheetId="53" r:id="rId27"/>
    <sheet name="ELEK Afname LS" sheetId="54" r:id="rId28"/>
    <sheet name="ELEK Afname Doorvoer" sheetId="55" r:id="rId29"/>
    <sheet name="ELEK Injectie (DNG)" sheetId="56" r:id="rId30"/>
    <sheet name="ELEK Injectie (LEV)" sheetId="65" r:id="rId31"/>
    <sheet name="GAS Afname (DNG)" sheetId="60" r:id="rId32"/>
    <sheet name="GAS Afname (LEV)" sheetId="66" r:id="rId33"/>
    <sheet name="GAS Injectie (DNG)" sheetId="61" r:id="rId34"/>
    <sheet name="GAS Injectie (LEV)" sheetId="67" r:id="rId35"/>
    <sheet name="Werkblad" sheetId="62" r:id="rId36"/>
  </sheets>
  <definedNames>
    <definedName name="_xlnm._FilterDatabase" localSheetId="9" hidden="1">'Max Afname LS'!$A$18:$S$18</definedName>
    <definedName name="_xlnm._FilterDatabase" localSheetId="7" hidden="1">'Max Afname MS'!$A$19:$Y$19</definedName>
    <definedName name="_xlnm._FilterDatabase" localSheetId="6" hidden="1">'Max Afname TRHS'!$A$19:$Y$19</definedName>
    <definedName name="_xlnm._FilterDatabase" localSheetId="8" hidden="1">'Max Afname TRLS'!$A$19:$Y$19</definedName>
    <definedName name="_xlnm._FilterDatabase" localSheetId="10" hidden="1">'Max Injectie'!$A$13:$J$13</definedName>
    <definedName name="_ftnref3" localSheetId="0">TITELBLAD!$A$93</definedName>
    <definedName name="_xlnm.Print_Area" localSheetId="21">'ELEK Afname (DNG)'!$A$1:$Q$66</definedName>
    <definedName name="_xlnm.Print_Area" localSheetId="22">'ELEK Afname (LEV)'!$A$1:$V$84</definedName>
    <definedName name="_xlnm.Print_Area" localSheetId="24">'ELEK Afname &gt;26-36 kV'!$A$1:$H$52</definedName>
    <definedName name="_xlnm.Print_Area" localSheetId="25">'ELEK Afname 26-1 kV'!$A$1:$E$51</definedName>
    <definedName name="_xlnm.Print_Area" localSheetId="28">'ELEK Afname Doorvoer'!$A$1:$E$67</definedName>
    <definedName name="_xlnm.Print_Area" localSheetId="27">'ELEK Afname LS'!$A$1:$E$100</definedName>
    <definedName name="_xlnm.Print_Area" localSheetId="23">'ELEK Afname Trans HS'!$A$1:$E$51</definedName>
    <definedName name="_xlnm.Print_Area" localSheetId="26">'ELEK Afname Trans LS'!$A$1:$E$53</definedName>
    <definedName name="_xlnm.Print_Area" localSheetId="29">'ELEK Injectie (DNG)'!$A$1:$E$31</definedName>
    <definedName name="_xlnm.Print_Area" localSheetId="30">'ELEK Injectie (LEV)'!$A$1:$R$39</definedName>
    <definedName name="_xlnm.Print_Area" localSheetId="31">'GAS Afname (DNG)'!$A$1:$K$51</definedName>
    <definedName name="_xlnm.Print_Area" localSheetId="32">'GAS Afname (LEV)'!$A$1:$O$56</definedName>
    <definedName name="_xlnm.Print_Area" localSheetId="33">'GAS Injectie (DNG)'!$A$1:$I$34</definedName>
    <definedName name="_xlnm.Print_Area" localSheetId="34">'GAS Injectie (LEV)'!$A$1:$M$37</definedName>
    <definedName name="_xlnm.Print_Area" localSheetId="16">'T5'!$A$1:$J$28</definedName>
    <definedName name="_xlnm.Print_Area" localSheetId="17">'T6'!$A$1:$R$35</definedName>
    <definedName name="_xlnm.Print_Area" localSheetId="19">'T8'!$C$1:$AN$22</definedName>
    <definedName name="_xlnm.Print_Area" localSheetId="0">TITELBLAD!$A$1:$M$174</definedName>
    <definedName name="AS2DocOpenMode" hidden="1">"AS2DocumentEdit"</definedName>
    <definedName name="B2020_ODV_TRHS">ASSUMPTIES!$E$37</definedName>
    <definedName name="B2020_TOE_TRHS">ASSUMPTIES!$E$38</definedName>
    <definedName name="BEGINJAAR">TITELBLAD!$I$9</definedName>
    <definedName name="CPI_2020">ASSUMPTIES!$E$32</definedName>
    <definedName name="CPI_JAARMIN1">ASSUMPTIES!$E$31</definedName>
    <definedName name="DIM_OMV">ASSUMPTIES!$E$48</definedName>
    <definedName name="DNB" localSheetId="21">TITELBLAD!$F$6</definedName>
    <definedName name="DNB" localSheetId="22">TITELBLAD!$F$6</definedName>
    <definedName name="DNB">TITELBLAD!$F$6</definedName>
    <definedName name="EINDJAAR">TITELBLAD!$I$10</definedName>
    <definedName name="FACTOR_DOORVOER">ASSUMPTIES!$E$54</definedName>
    <definedName name="FACTOR_MP_TV">ASSUMPTIES!$E$13</definedName>
    <definedName name="FACTOR_OST">ASSUMPTIES!$E$15</definedName>
    <definedName name="FACTOR_VAST">ASSUMPTIES!$E$21</definedName>
    <definedName name="JAAR" localSheetId="21">TITELBLAD!$I$12</definedName>
    <definedName name="JAAR" localSheetId="22">TITELBLAD!$I$12</definedName>
    <definedName name="JAAR">TITELBLAD!$I$12</definedName>
    <definedName name="Keuze_Kostenindeling1">'T2'!$C$8:$C$9</definedName>
    <definedName name="Keuze_Kostenindeling2">'T2'!$D$8:$D$62</definedName>
    <definedName name="Keuze_Kostenindeling3">'T2'!$E$8:$E$9</definedName>
    <definedName name="Keuze_Kostenindeling4">'T2'!$F$8:$F$9</definedName>
    <definedName name="Keuze_Subactiviteit">'T2'!$A$8:$A$9</definedName>
    <definedName name="Keuze_TariefcomponentN">'T2'!$B$8:$B$15</definedName>
    <definedName name="KORTING_XN">ASSUMPTIES!$E$40</definedName>
    <definedName name="MAXTOENAME_TRHS">ASSUMPTIES!$E$36</definedName>
    <definedName name="OMVORMERVERMOGEN">ASSUMPTIES!$E$47</definedName>
    <definedName name="ONDERNEMINGSNUMMER">TITELBLAD!$F$7</definedName>
    <definedName name="PROCENT_GEMMP">ASSUMPTIES!$E$18</definedName>
    <definedName name="PROCENT_KWH">ASSUMPTIES!$E$19</definedName>
    <definedName name="PROCENT_MP">ASSUMPTIES!$E$12</definedName>
    <definedName name="PROCENT_TV">ASSUMPTIES!$E$11</definedName>
    <definedName name="PROCENT_VERHOGING_NA_MAX">MAXIMUM!$G$34</definedName>
    <definedName name="SAPBEXrevision" localSheetId="31" hidden="1">23</definedName>
    <definedName name="SAPBEXrevision" localSheetId="32" hidden="1">23</definedName>
    <definedName name="SAPBEXrevision" localSheetId="33" hidden="1">23</definedName>
    <definedName name="SAPBEXrevision" localSheetId="34" hidden="1">23</definedName>
    <definedName name="SAPBEXrevision" localSheetId="16" hidden="1">23</definedName>
    <definedName name="SAPBEXrevision" localSheetId="17" hidden="1">23</definedName>
    <definedName name="SAPBEXrevision" hidden="1">10</definedName>
    <definedName name="SAPBEXsysID" hidden="1">"BP1"</definedName>
    <definedName name="SAPBEXwbID" localSheetId="31" hidden="1">"3OXN00JDSWKKLN5ZRDB3JJU3L"</definedName>
    <definedName name="SAPBEXwbID" localSheetId="32" hidden="1">"3OXN00JDSWKKLN5ZRDB3JJU3L"</definedName>
    <definedName name="SAPBEXwbID" localSheetId="33" hidden="1">"3OXN00JDSWKKLN5ZRDB3JJU3L"</definedName>
    <definedName name="SAPBEXwbID" localSheetId="34" hidden="1">"3OXN00JDSWKKLN5ZRDB3JJU3L"</definedName>
    <definedName name="SAPBEXwbID" localSheetId="16" hidden="1">"3OXN00JDSWKKLN5ZRDB3JJU3L"</definedName>
    <definedName name="SAPBEXwbID" localSheetId="17" hidden="1">"3OXN00JDSWKKLN5ZRDB3JJU3L"</definedName>
    <definedName name="SAPBEXwbID" hidden="1">"4751QXOCD67AJ09JC6QHJDZY6"</definedName>
    <definedName name="TAR_DATA_LSMR1_2021">ASSUMPTIES!$E$28</definedName>
    <definedName name="TAR_DATA_LSMR3_2021">ASSUMPTIES!$E$27</definedName>
    <definedName name="TAR_DATA_NIETLS_2021">ASSUMPTIES!$E$26</definedName>
    <definedName name="TAR_DATA_PROD_2021">ASSUMPTIES!$E$29</definedName>
    <definedName name="TAR_ODV_GSC">ASSUMPTIES!#REF!</definedName>
    <definedName name="TAR_ODV_HEWKK">ASSUMPTIES!#REF!</definedName>
    <definedName name="TAR_ODV_REG">ASSUMPTIES!#REF!</definedName>
    <definedName name="TAR_ODV_RESERVE">ASSUMPTIES!#REF!</definedName>
    <definedName name="TAR_ODV_WIND">ASSUMPTIES!#REF!</definedName>
    <definedName name="TAR_TOE_MASTEN">ASSUMPTIES!#REF!</definedName>
    <definedName name="VOLLASTUREN">ASSUMPTIES!$E$49</definedName>
    <definedName name="ZELFCONSUMPTIE">ASSUMPTIES!$E$50</definedName>
  </definedNames>
  <calcPr calcId="191029" concurrentManualCount="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46" i="68" l="1"/>
  <c r="V65" i="68" s="1"/>
  <c r="T48" i="68"/>
  <c r="R48" i="68"/>
  <c r="P48" i="68"/>
  <c r="N48" i="68"/>
  <c r="M48" i="68"/>
  <c r="K48" i="68"/>
  <c r="A1" i="68"/>
  <c r="H12" i="67"/>
  <c r="H9" i="67"/>
  <c r="A1" i="67"/>
  <c r="M29" i="66"/>
  <c r="L29" i="66"/>
  <c r="K29" i="66"/>
  <c r="J29" i="66"/>
  <c r="I29" i="66"/>
  <c r="H29" i="66"/>
  <c r="M28" i="66"/>
  <c r="L28" i="66"/>
  <c r="K28" i="66"/>
  <c r="J28" i="66"/>
  <c r="I28" i="66"/>
  <c r="H28" i="66"/>
  <c r="J25" i="66"/>
  <c r="I25" i="66"/>
  <c r="H25" i="66"/>
  <c r="H23" i="66"/>
  <c r="H22" i="66"/>
  <c r="L21" i="66"/>
  <c r="M16" i="66"/>
  <c r="L16" i="66"/>
  <c r="O15" i="66"/>
  <c r="N15" i="66"/>
  <c r="M15" i="66"/>
  <c r="L15" i="66"/>
  <c r="K15" i="66"/>
  <c r="J15" i="66"/>
  <c r="I15" i="66"/>
  <c r="H15" i="66"/>
  <c r="K14" i="66"/>
  <c r="J14" i="66"/>
  <c r="I14" i="66"/>
  <c r="H14" i="66"/>
  <c r="A1" i="66"/>
  <c r="K98" i="26"/>
  <c r="L28" i="28"/>
  <c r="M28" i="28" s="1"/>
  <c r="N28" i="28" s="1"/>
  <c r="L27" i="28"/>
  <c r="M27" i="28" s="1"/>
  <c r="P37" i="43"/>
  <c r="P36" i="43"/>
  <c r="N27" i="28" l="1"/>
  <c r="P10" i="43"/>
  <c r="P28" i="43" s="1"/>
  <c r="P11" i="43"/>
  <c r="P20" i="43" s="1"/>
  <c r="U38" i="42"/>
  <c r="U37" i="42"/>
  <c r="U36" i="42"/>
  <c r="U28" i="42"/>
  <c r="U25" i="42"/>
  <c r="U21" i="42"/>
  <c r="U38" i="41"/>
  <c r="U37" i="41"/>
  <c r="U36" i="41"/>
  <c r="X20" i="32"/>
  <c r="U38" i="32"/>
  <c r="U37" i="32"/>
  <c r="U36" i="32"/>
  <c r="X35" i="32"/>
  <c r="K35" i="27"/>
  <c r="K32" i="27"/>
  <c r="P19" i="43" l="1"/>
  <c r="P35" i="43"/>
  <c r="P32" i="43"/>
  <c r="P26" i="43"/>
  <c r="P25" i="43"/>
  <c r="P24" i="43"/>
  <c r="P31" i="43"/>
  <c r="P34" i="43"/>
  <c r="P21" i="43"/>
  <c r="P30" i="43"/>
  <c r="P23" i="43"/>
  <c r="P22" i="43"/>
  <c r="P33" i="43"/>
  <c r="R8" i="65" l="1"/>
  <c r="P8" i="65"/>
  <c r="N8" i="65"/>
  <c r="L8" i="65"/>
  <c r="K8" i="65"/>
  <c r="I8" i="65"/>
  <c r="A1" i="65"/>
  <c r="D58" i="54"/>
  <c r="E77" i="54" s="1"/>
  <c r="A1" i="64"/>
  <c r="F41" i="64"/>
  <c r="H41" i="64"/>
  <c r="I41" i="64"/>
  <c r="K41" i="64"/>
  <c r="M41" i="64"/>
  <c r="O41" i="64"/>
  <c r="E73" i="54" l="1"/>
  <c r="E70" i="54"/>
  <c r="E78" i="54"/>
  <c r="E71" i="54"/>
  <c r="E74" i="54"/>
  <c r="E67" i="54"/>
  <c r="E75" i="54"/>
  <c r="E68" i="54"/>
  <c r="E76" i="54"/>
  <c r="E72" i="54"/>
  <c r="E69" i="54"/>
  <c r="X36" i="32" l="1"/>
  <c r="B13" i="28"/>
  <c r="L65" i="26"/>
  <c r="S65" i="26"/>
  <c r="G13" i="27" l="1"/>
  <c r="L32" i="27"/>
  <c r="M32" i="27"/>
  <c r="N32" i="27"/>
  <c r="M33" i="27"/>
  <c r="N33" i="27"/>
  <c r="L34" i="27"/>
  <c r="N34" i="27"/>
  <c r="F20" i="31" l="1"/>
  <c r="S19" i="29"/>
  <c r="S29" i="29" s="1"/>
  <c r="R28" i="29"/>
  <c r="E49" i="27"/>
  <c r="Q39" i="41"/>
  <c r="X20" i="41"/>
  <c r="X38" i="41"/>
  <c r="X22" i="41"/>
  <c r="X23" i="41"/>
  <c r="X24" i="41"/>
  <c r="X25" i="41"/>
  <c r="X26" i="41"/>
  <c r="X27" i="41"/>
  <c r="X28" i="41"/>
  <c r="X29" i="41"/>
  <c r="X30" i="41"/>
  <c r="X31" i="41"/>
  <c r="X32" i="41"/>
  <c r="X33" i="41"/>
  <c r="X34" i="41"/>
  <c r="X35" i="41"/>
  <c r="X36" i="41"/>
  <c r="X37" i="41"/>
  <c r="X21" i="41"/>
  <c r="F17" i="31"/>
  <c r="H57" i="27"/>
  <c r="H56" i="27"/>
  <c r="H55" i="27"/>
  <c r="H54" i="27"/>
  <c r="G57" i="27"/>
  <c r="G56" i="27"/>
  <c r="G55" i="27"/>
  <c r="G54" i="27"/>
  <c r="E40" i="37"/>
  <c r="S28" i="29" l="1"/>
  <c r="L15" i="6"/>
  <c r="L14" i="6"/>
  <c r="L13" i="6"/>
  <c r="L12" i="6"/>
  <c r="L11" i="6"/>
  <c r="L10" i="6"/>
  <c r="L16" i="6" l="1"/>
  <c r="E37" i="48" l="1"/>
  <c r="E36" i="48"/>
  <c r="E30" i="48"/>
  <c r="E26" i="48"/>
  <c r="F17" i="47"/>
  <c r="D19" i="47"/>
  <c r="K96" i="26"/>
  <c r="K95" i="26"/>
  <c r="K94" i="26"/>
  <c r="K93" i="26"/>
  <c r="K92" i="26"/>
  <c r="K91" i="26"/>
  <c r="K90" i="26"/>
  <c r="J37" i="44"/>
  <c r="J36" i="44"/>
  <c r="J34" i="44"/>
  <c r="I14" i="44"/>
  <c r="D38" i="44"/>
  <c r="D37" i="44"/>
  <c r="D36" i="44"/>
  <c r="D35" i="44"/>
  <c r="D34" i="44"/>
  <c r="D33" i="44"/>
  <c r="C38" i="44"/>
  <c r="C37" i="44"/>
  <c r="C36" i="44"/>
  <c r="C35" i="44"/>
  <c r="C34" i="44"/>
  <c r="C33" i="44"/>
  <c r="N41" i="41"/>
  <c r="N39" i="41"/>
  <c r="O41" i="41"/>
  <c r="O39" i="41"/>
  <c r="P41" i="41"/>
  <c r="P39" i="41"/>
  <c r="Q41" i="41"/>
  <c r="R41" i="41"/>
  <c r="R39" i="41"/>
  <c r="S41" i="41"/>
  <c r="S39" i="41"/>
  <c r="T41" i="41"/>
  <c r="T39" i="41"/>
  <c r="U41" i="41"/>
  <c r="U39" i="41"/>
  <c r="Y41" i="41"/>
  <c r="Y39" i="41"/>
  <c r="Y40" i="32"/>
  <c r="V40" i="32"/>
  <c r="U40" i="32"/>
  <c r="T40" i="32"/>
  <c r="S40" i="32"/>
  <c r="R40" i="32"/>
  <c r="Q40" i="32"/>
  <c r="P40" i="32"/>
  <c r="O40" i="32"/>
  <c r="N40" i="32"/>
  <c r="L41" i="32"/>
  <c r="K41" i="32"/>
  <c r="J41" i="32"/>
  <c r="I41" i="32"/>
  <c r="H41" i="32"/>
  <c r="G41" i="32"/>
  <c r="F41" i="32"/>
  <c r="E41" i="32"/>
  <c r="D41" i="32"/>
  <c r="L40" i="32"/>
  <c r="L39" i="32"/>
  <c r="K40" i="32"/>
  <c r="K39" i="32"/>
  <c r="J40" i="32"/>
  <c r="J39" i="32"/>
  <c r="I40" i="32"/>
  <c r="I39" i="32"/>
  <c r="H40" i="32"/>
  <c r="H39" i="32"/>
  <c r="G40" i="32"/>
  <c r="G39" i="32"/>
  <c r="F40" i="32"/>
  <c r="F39" i="32"/>
  <c r="E40" i="32"/>
  <c r="E39" i="32"/>
  <c r="D40" i="32"/>
  <c r="D39" i="32"/>
  <c r="X38" i="32"/>
  <c r="P16" i="32"/>
  <c r="F15" i="31"/>
  <c r="F14" i="31"/>
  <c r="F11" i="31"/>
  <c r="F9" i="31"/>
  <c r="O29" i="29"/>
  <c r="M29" i="29"/>
  <c r="L29" i="29" s="1"/>
  <c r="M28" i="29"/>
  <c r="L28" i="29" s="1"/>
  <c r="K29" i="29"/>
  <c r="K28" i="29"/>
  <c r="J29" i="29"/>
  <c r="J28" i="29"/>
  <c r="I29" i="29"/>
  <c r="I28" i="29"/>
  <c r="G29" i="29"/>
  <c r="G28" i="29"/>
  <c r="F29" i="29"/>
  <c r="F28" i="29"/>
  <c r="T22" i="29"/>
  <c r="T14" i="29"/>
  <c r="L24" i="29"/>
  <c r="L23" i="29"/>
  <c r="L15" i="29"/>
  <c r="L8" i="29"/>
  <c r="H8" i="29"/>
  <c r="D22" i="29"/>
  <c r="D14" i="29"/>
  <c r="E24" i="29"/>
  <c r="E23" i="29"/>
  <c r="E19" i="29"/>
  <c r="E17" i="29"/>
  <c r="E16" i="29"/>
  <c r="E15" i="29"/>
  <c r="E10" i="29"/>
  <c r="E9" i="29"/>
  <c r="E8" i="29"/>
  <c r="A1" i="61"/>
  <c r="E28" i="29" l="1"/>
  <c r="H28" i="29"/>
  <c r="E29" i="29"/>
  <c r="H29" i="29"/>
  <c r="X20" i="42" l="1"/>
  <c r="X37" i="32"/>
  <c r="X34" i="32"/>
  <c r="X33" i="32"/>
  <c r="X32" i="32"/>
  <c r="X31" i="32"/>
  <c r="X30" i="32"/>
  <c r="X29" i="32"/>
  <c r="X28" i="32"/>
  <c r="X27" i="32"/>
  <c r="X26" i="32"/>
  <c r="X25" i="32"/>
  <c r="X24" i="32"/>
  <c r="X23" i="32"/>
  <c r="X22" i="32"/>
  <c r="X21" i="32"/>
  <c r="Q44" i="28" l="1"/>
  <c r="Q46" i="28" s="1"/>
  <c r="Q48" i="28" s="1"/>
  <c r="Q50" i="28" s="1"/>
  <c r="R32" i="28"/>
  <c r="L31" i="28"/>
  <c r="O31" i="28" s="1"/>
  <c r="L30" i="28"/>
  <c r="L19" i="38" s="1"/>
  <c r="L29" i="28"/>
  <c r="L18" i="38" s="1"/>
  <c r="D48" i="54" s="1"/>
  <c r="J28" i="28"/>
  <c r="J27" i="28"/>
  <c r="F28" i="28"/>
  <c r="F27" i="28"/>
  <c r="C28" i="28"/>
  <c r="C27" i="28"/>
  <c r="B8" i="28"/>
  <c r="Q54" i="26"/>
  <c r="L86" i="26"/>
  <c r="Q56" i="26"/>
  <c r="R56" i="26"/>
  <c r="W32" i="28" l="1"/>
  <c r="W21" i="38" s="1"/>
  <c r="W34" i="38" s="1"/>
  <c r="G8" i="44"/>
  <c r="P31" i="28"/>
  <c r="P20" i="38" s="1"/>
  <c r="L16" i="38"/>
  <c r="L17" i="38"/>
  <c r="T32" i="28"/>
  <c r="T21" i="38" s="1"/>
  <c r="T34" i="38" s="1"/>
  <c r="U32" i="28"/>
  <c r="U21" i="38" s="1"/>
  <c r="U34" i="38" s="1"/>
  <c r="L20" i="38"/>
  <c r="M29" i="28"/>
  <c r="V32" i="28"/>
  <c r="V21" i="38" s="1"/>
  <c r="V34" i="38" s="1"/>
  <c r="R21" i="38"/>
  <c r="S32" i="28"/>
  <c r="S21" i="38" s="1"/>
  <c r="S34" i="38" s="1"/>
  <c r="M30" i="28"/>
  <c r="G14" i="44" l="1"/>
  <c r="G15" i="44"/>
  <c r="G21" i="44"/>
  <c r="R34" i="38"/>
  <c r="N11" i="65"/>
  <c r="R11" i="65"/>
  <c r="L11" i="65"/>
  <c r="P11" i="65"/>
  <c r="K11" i="65"/>
  <c r="D9" i="56"/>
  <c r="I11" i="65"/>
  <c r="P34" i="38"/>
  <c r="M16" i="38"/>
  <c r="Q57" i="26"/>
  <c r="R57" i="26"/>
  <c r="K21" i="27" l="1"/>
  <c r="H12" i="27"/>
  <c r="G12" i="27"/>
  <c r="N40" i="27"/>
  <c r="M40" i="27"/>
  <c r="L40" i="27"/>
  <c r="K40" i="27"/>
  <c r="G11" i="27"/>
  <c r="H11" i="27"/>
  <c r="H9" i="27"/>
  <c r="G9" i="27"/>
  <c r="O28" i="29"/>
  <c r="N39" i="27"/>
  <c r="N38" i="27"/>
  <c r="M39" i="27"/>
  <c r="M38" i="27"/>
  <c r="L39" i="27"/>
  <c r="L38" i="27"/>
  <c r="K39" i="27"/>
  <c r="K38" i="27"/>
  <c r="H25" i="27"/>
  <c r="G25" i="27"/>
  <c r="I26" i="27"/>
  <c r="H26" i="27"/>
  <c r="I25" i="27"/>
  <c r="H21" i="29"/>
  <c r="F10" i="27"/>
  <c r="S8" i="26" l="1"/>
  <c r="L56" i="26"/>
  <c r="M56" i="26" s="1"/>
  <c r="L35" i="26"/>
  <c r="M35" i="26" s="1"/>
  <c r="L74" i="26"/>
  <c r="L73" i="26"/>
  <c r="L57" i="26"/>
  <c r="M57" i="26" s="1"/>
  <c r="L9" i="26"/>
  <c r="L8" i="26"/>
  <c r="S56" i="26"/>
  <c r="S73" i="26"/>
  <c r="S74" i="26"/>
  <c r="S35" i="26"/>
  <c r="S57" i="26"/>
  <c r="N57" i="26" l="1"/>
  <c r="P56" i="26"/>
  <c r="O56" i="26"/>
  <c r="P57" i="26"/>
  <c r="O57" i="26"/>
  <c r="N56" i="26"/>
  <c r="P28" i="29"/>
  <c r="Q28" i="29"/>
  <c r="F50" i="27" s="1"/>
  <c r="N28" i="29" l="1"/>
  <c r="E50" i="27"/>
  <c r="L9" i="29" l="1"/>
  <c r="L10" i="29"/>
  <c r="L16" i="29"/>
  <c r="L17" i="29"/>
  <c r="L19" i="29"/>
  <c r="L20" i="29"/>
  <c r="L21" i="29"/>
  <c r="H10" i="29"/>
  <c r="R29" i="29" l="1"/>
  <c r="Q29" i="29"/>
  <c r="P29" i="29"/>
  <c r="N29" i="29" s="1"/>
  <c r="H27" i="27" l="1"/>
  <c r="A1" i="60" l="1"/>
  <c r="A1" i="56"/>
  <c r="A1" i="55"/>
  <c r="A1" i="54"/>
  <c r="A1" i="53"/>
  <c r="A1" i="52"/>
  <c r="A1" i="51"/>
  <c r="B1" i="50"/>
  <c r="D4" i="47"/>
  <c r="D4" i="46"/>
  <c r="D4" i="48"/>
  <c r="D4" i="58"/>
  <c r="J24" i="47" l="1"/>
  <c r="H24" i="47"/>
  <c r="I24" i="47" s="1"/>
  <c r="F24" i="47"/>
  <c r="D24" i="47"/>
  <c r="J23" i="47"/>
  <c r="H23" i="47"/>
  <c r="K23" i="47" s="1"/>
  <c r="F23" i="47"/>
  <c r="D23" i="47"/>
  <c r="J19" i="47"/>
  <c r="H19" i="47"/>
  <c r="I19" i="47" s="1"/>
  <c r="F19" i="47"/>
  <c r="G19" i="47" s="1"/>
  <c r="J17" i="47"/>
  <c r="H17" i="47"/>
  <c r="I17" i="47" s="1"/>
  <c r="D17" i="47"/>
  <c r="G17" i="47" s="1"/>
  <c r="J15" i="47"/>
  <c r="H15" i="47"/>
  <c r="K15" i="47" s="1"/>
  <c r="F15" i="47"/>
  <c r="D15" i="47"/>
  <c r="J13" i="47"/>
  <c r="H13" i="47"/>
  <c r="F13" i="47"/>
  <c r="G13" i="47" s="1"/>
  <c r="D13" i="47"/>
  <c r="E13" i="47" s="1"/>
  <c r="H12" i="6"/>
  <c r="H11" i="6"/>
  <c r="F14" i="6"/>
  <c r="D12" i="6"/>
  <c r="D11" i="6"/>
  <c r="J14" i="6"/>
  <c r="A1" i="6"/>
  <c r="K24" i="47" l="1"/>
  <c r="L23" i="47"/>
  <c r="L24" i="47"/>
  <c r="I23" i="47"/>
  <c r="K17" i="47"/>
  <c r="L15" i="47"/>
  <c r="I15" i="47"/>
  <c r="K13" i="47"/>
  <c r="G24" i="47"/>
  <c r="G23" i="47"/>
  <c r="E19" i="47"/>
  <c r="G15" i="47"/>
  <c r="L13" i="47"/>
  <c r="E15" i="47"/>
  <c r="E23" i="47"/>
  <c r="I13" i="47"/>
  <c r="K19" i="47"/>
  <c r="E17" i="47"/>
  <c r="E24" i="47"/>
  <c r="L17" i="47"/>
  <c r="L19" i="47"/>
  <c r="D16" i="48"/>
  <c r="D15" i="48"/>
  <c r="D14" i="48"/>
  <c r="D13" i="48"/>
  <c r="D12" i="48"/>
  <c r="D11" i="48"/>
  <c r="D10" i="48"/>
  <c r="J37" i="48"/>
  <c r="J36" i="48"/>
  <c r="I37" i="48"/>
  <c r="I36" i="48"/>
  <c r="H37" i="48"/>
  <c r="H36" i="48"/>
  <c r="G37" i="48"/>
  <c r="G36" i="48"/>
  <c r="F37" i="48"/>
  <c r="F36" i="48"/>
  <c r="G32" i="48"/>
  <c r="F32" i="48"/>
  <c r="E32" i="48"/>
  <c r="M30" i="48"/>
  <c r="J30" i="48"/>
  <c r="I30" i="48"/>
  <c r="H30" i="48"/>
  <c r="G30" i="48"/>
  <c r="F30" i="48"/>
  <c r="M28" i="48"/>
  <c r="D28" i="48" s="1"/>
  <c r="L26" i="48"/>
  <c r="L39" i="48" s="1"/>
  <c r="K26" i="48"/>
  <c r="K39" i="48" s="1"/>
  <c r="J26" i="48"/>
  <c r="I26" i="48"/>
  <c r="I39" i="48" s="1"/>
  <c r="H26" i="48"/>
  <c r="H39" i="48" s="1"/>
  <c r="G26" i="48"/>
  <c r="F26" i="48"/>
  <c r="D11" i="61"/>
  <c r="D8" i="61"/>
  <c r="I28" i="60"/>
  <c r="H28" i="60"/>
  <c r="G28" i="60"/>
  <c r="F28" i="60"/>
  <c r="E28" i="60"/>
  <c r="D28" i="60"/>
  <c r="I27" i="60"/>
  <c r="H27" i="60"/>
  <c r="G27" i="60"/>
  <c r="F27" i="60"/>
  <c r="E27" i="60"/>
  <c r="D27" i="60"/>
  <c r="F24" i="60"/>
  <c r="E24" i="60"/>
  <c r="D24" i="60"/>
  <c r="D22" i="60"/>
  <c r="D21" i="60"/>
  <c r="H20" i="60"/>
  <c r="I15" i="60"/>
  <c r="H15" i="60"/>
  <c r="K14" i="60"/>
  <c r="J14" i="60"/>
  <c r="I14" i="60"/>
  <c r="H14" i="60"/>
  <c r="G14" i="60"/>
  <c r="F14" i="60"/>
  <c r="E14" i="60"/>
  <c r="D14" i="60"/>
  <c r="G13" i="60"/>
  <c r="F13" i="60"/>
  <c r="E13" i="60"/>
  <c r="D13" i="60"/>
  <c r="D36" i="48" l="1"/>
  <c r="D32" i="48"/>
  <c r="D37" i="48"/>
  <c r="J39" i="48"/>
  <c r="G39" i="48"/>
  <c r="D30" i="48"/>
  <c r="D26" i="48"/>
  <c r="E39" i="48"/>
  <c r="M39" i="48"/>
  <c r="F39" i="48"/>
  <c r="D6" i="56"/>
  <c r="D39" i="48" l="1"/>
  <c r="D24" i="54"/>
  <c r="D29" i="53"/>
  <c r="D27" i="52"/>
  <c r="G28" i="51"/>
  <c r="D28" i="51"/>
  <c r="D27" i="50"/>
  <c r="D12" i="46"/>
  <c r="E12" i="46"/>
  <c r="G12" i="46"/>
  <c r="H12" i="46"/>
  <c r="J12" i="46"/>
  <c r="J27" i="46" s="1"/>
  <c r="K12" i="46"/>
  <c r="M12" i="46"/>
  <c r="N12" i="46"/>
  <c r="N27" i="46" s="1"/>
  <c r="P12" i="46"/>
  <c r="H11" i="47" s="1"/>
  <c r="Q12" i="46"/>
  <c r="F14" i="46"/>
  <c r="I14" i="46"/>
  <c r="L14" i="46"/>
  <c r="O14" i="46"/>
  <c r="R14" i="46"/>
  <c r="F16" i="46"/>
  <c r="I16" i="46"/>
  <c r="L16" i="46"/>
  <c r="O16" i="46"/>
  <c r="R16" i="46"/>
  <c r="F18" i="46"/>
  <c r="I18" i="46"/>
  <c r="L18" i="46"/>
  <c r="O18" i="46"/>
  <c r="R18" i="46"/>
  <c r="F20" i="46"/>
  <c r="I20" i="46"/>
  <c r="L20" i="46"/>
  <c r="O20" i="46"/>
  <c r="R20" i="46"/>
  <c r="D22" i="46"/>
  <c r="E22" i="46"/>
  <c r="G22" i="46"/>
  <c r="G27" i="46" s="1"/>
  <c r="H22" i="46"/>
  <c r="J22" i="46"/>
  <c r="K22" i="46"/>
  <c r="L22" i="46"/>
  <c r="M22" i="46"/>
  <c r="O22" i="46" s="1"/>
  <c r="N22" i="46"/>
  <c r="P22" i="46"/>
  <c r="H21" i="47" s="1"/>
  <c r="Q22" i="46"/>
  <c r="F24" i="46"/>
  <c r="I24" i="46"/>
  <c r="L24" i="46"/>
  <c r="O24" i="46"/>
  <c r="R24" i="46"/>
  <c r="F25" i="46"/>
  <c r="I25" i="46"/>
  <c r="L25" i="46"/>
  <c r="O25" i="46"/>
  <c r="R25" i="46"/>
  <c r="E27" i="46" l="1"/>
  <c r="F12" i="46"/>
  <c r="R12" i="46"/>
  <c r="J11" i="47"/>
  <c r="K11" i="47" s="1"/>
  <c r="Q27" i="46"/>
  <c r="J21" i="47"/>
  <c r="I21" i="47" s="1"/>
  <c r="F11" i="47"/>
  <c r="H26" i="47"/>
  <c r="K27" i="46"/>
  <c r="F21" i="47"/>
  <c r="D11" i="47"/>
  <c r="D21" i="47"/>
  <c r="I12" i="46"/>
  <c r="R22" i="46"/>
  <c r="L12" i="46"/>
  <c r="M27" i="46"/>
  <c r="O27" i="46" s="1"/>
  <c r="F22" i="46"/>
  <c r="O12" i="46"/>
  <c r="L27" i="46"/>
  <c r="I22" i="46"/>
  <c r="P27" i="46"/>
  <c r="H27" i="46"/>
  <c r="D27" i="46"/>
  <c r="E21" i="47" l="1"/>
  <c r="D26" i="47"/>
  <c r="L21" i="47"/>
  <c r="J26" i="47"/>
  <c r="K26" i="47" s="1"/>
  <c r="K21" i="47"/>
  <c r="L11" i="47"/>
  <c r="E11" i="47"/>
  <c r="G21" i="47"/>
  <c r="F26" i="47"/>
  <c r="G11" i="47"/>
  <c r="R27" i="46"/>
  <c r="I11" i="47"/>
  <c r="F27" i="46"/>
  <c r="I27" i="46"/>
  <c r="I26" i="47" l="1"/>
  <c r="L26" i="47"/>
  <c r="G26" i="47"/>
  <c r="E26" i="47"/>
  <c r="P13" i="43"/>
  <c r="P12" i="43"/>
  <c r="P27" i="43" l="1"/>
  <c r="P29" i="43"/>
  <c r="D39" i="42"/>
  <c r="D41" i="41"/>
  <c r="D40" i="41"/>
  <c r="D39" i="41"/>
  <c r="E39" i="43"/>
  <c r="E38" i="43"/>
  <c r="I39" i="43"/>
  <c r="H39" i="43"/>
  <c r="G39" i="43"/>
  <c r="F39" i="43"/>
  <c r="I38" i="43"/>
  <c r="H38" i="43"/>
  <c r="G38" i="43"/>
  <c r="F38" i="43"/>
  <c r="L39" i="42"/>
  <c r="K39" i="42"/>
  <c r="J39" i="42"/>
  <c r="I39" i="42"/>
  <c r="H39" i="42"/>
  <c r="G39" i="42"/>
  <c r="F39" i="42"/>
  <c r="E39" i="42"/>
  <c r="L41" i="41"/>
  <c r="K41" i="41"/>
  <c r="J41" i="41"/>
  <c r="I41" i="41"/>
  <c r="H41" i="41"/>
  <c r="G41" i="41"/>
  <c r="F41" i="41"/>
  <c r="E41" i="41"/>
  <c r="L40" i="41"/>
  <c r="K40" i="41"/>
  <c r="J40" i="41"/>
  <c r="I40" i="41"/>
  <c r="H40" i="41"/>
  <c r="G40" i="41"/>
  <c r="F40" i="41"/>
  <c r="E40" i="41"/>
  <c r="L39" i="41"/>
  <c r="K39" i="41"/>
  <c r="J39" i="41"/>
  <c r="I39" i="41"/>
  <c r="H39" i="41"/>
  <c r="G39" i="41"/>
  <c r="F39" i="41"/>
  <c r="E39" i="41"/>
  <c r="G36" i="44"/>
  <c r="F36" i="44"/>
  <c r="G34" i="44"/>
  <c r="F34" i="44"/>
  <c r="I32" i="44"/>
  <c r="I31" i="44"/>
  <c r="I30" i="44"/>
  <c r="I29" i="44"/>
  <c r="I28" i="44"/>
  <c r="I27" i="44"/>
  <c r="I26" i="44"/>
  <c r="I25" i="44"/>
  <c r="I24" i="44"/>
  <c r="I23" i="44"/>
  <c r="I22" i="44"/>
  <c r="I21" i="44"/>
  <c r="I20" i="44"/>
  <c r="I19" i="44"/>
  <c r="I18" i="44"/>
  <c r="I17" i="44"/>
  <c r="I16" i="44"/>
  <c r="I15" i="44"/>
  <c r="G32" i="44"/>
  <c r="G31" i="44"/>
  <c r="G30" i="44"/>
  <c r="G29" i="44"/>
  <c r="G28" i="44"/>
  <c r="G27" i="44"/>
  <c r="G26" i="44"/>
  <c r="G25" i="44"/>
  <c r="G24" i="44"/>
  <c r="G23" i="44"/>
  <c r="G22" i="44"/>
  <c r="G20" i="44"/>
  <c r="G19" i="44"/>
  <c r="G35" i="44" s="1"/>
  <c r="G18" i="44"/>
  <c r="G33" i="44" s="1"/>
  <c r="G17" i="44"/>
  <c r="G16" i="44"/>
  <c r="G37" i="44"/>
  <c r="F37" i="44"/>
  <c r="D4" i="44"/>
  <c r="X38" i="42"/>
  <c r="X37" i="42"/>
  <c r="X36" i="42"/>
  <c r="X35" i="42"/>
  <c r="X34" i="42"/>
  <c r="X33" i="42"/>
  <c r="X32" i="42"/>
  <c r="X31" i="42"/>
  <c r="X30" i="42"/>
  <c r="X29" i="42"/>
  <c r="X28" i="42"/>
  <c r="X27" i="42"/>
  <c r="X26" i="42"/>
  <c r="X25" i="42"/>
  <c r="X24" i="42"/>
  <c r="X23" i="42"/>
  <c r="X22" i="42"/>
  <c r="X21" i="42"/>
  <c r="P39" i="43"/>
  <c r="I40" i="43"/>
  <c r="H40" i="43"/>
  <c r="G40" i="43"/>
  <c r="F40" i="43"/>
  <c r="E40" i="43"/>
  <c r="L15" i="43"/>
  <c r="D4" i="43"/>
  <c r="U13" i="42"/>
  <c r="U12" i="42"/>
  <c r="L40" i="42"/>
  <c r="K40" i="42"/>
  <c r="J40" i="42"/>
  <c r="I40" i="42"/>
  <c r="H40" i="42"/>
  <c r="G40" i="42"/>
  <c r="F40" i="42"/>
  <c r="E40" i="42"/>
  <c r="D40" i="42"/>
  <c r="P16" i="42"/>
  <c r="D4" i="42"/>
  <c r="D42" i="41"/>
  <c r="L42" i="41"/>
  <c r="K42" i="41"/>
  <c r="J42" i="41"/>
  <c r="I42" i="41"/>
  <c r="H42" i="41"/>
  <c r="G42" i="41"/>
  <c r="F42" i="41"/>
  <c r="E42" i="41"/>
  <c r="D4" i="32"/>
  <c r="D4" i="41"/>
  <c r="U13" i="41"/>
  <c r="U12" i="41"/>
  <c r="U13" i="32"/>
  <c r="U20" i="32" s="1"/>
  <c r="U12" i="32"/>
  <c r="V41" i="41"/>
  <c r="V39" i="41"/>
  <c r="P16" i="41"/>
  <c r="R11" i="32"/>
  <c r="E16" i="31"/>
  <c r="U29" i="32" l="1"/>
  <c r="U21" i="32"/>
  <c r="U31" i="32"/>
  <c r="U28" i="32"/>
  <c r="U35" i="32"/>
  <c r="U27" i="32"/>
  <c r="U25" i="32"/>
  <c r="U34" i="32"/>
  <c r="U26" i="32"/>
  <c r="U33" i="32"/>
  <c r="U23" i="32"/>
  <c r="U32" i="32"/>
  <c r="U24" i="32"/>
  <c r="U30" i="32"/>
  <c r="U22" i="32"/>
  <c r="U20" i="41"/>
  <c r="U31" i="41"/>
  <c r="U23" i="41"/>
  <c r="U30" i="41"/>
  <c r="U22" i="41"/>
  <c r="U25" i="41"/>
  <c r="U29" i="41"/>
  <c r="U21" i="41"/>
  <c r="U33" i="41"/>
  <c r="U28" i="41"/>
  <c r="U35" i="41"/>
  <c r="U27" i="41"/>
  <c r="U34" i="41"/>
  <c r="U26" i="41"/>
  <c r="U32" i="41"/>
  <c r="U24" i="41"/>
  <c r="U35" i="42"/>
  <c r="U27" i="42"/>
  <c r="U29" i="42"/>
  <c r="U34" i="42"/>
  <c r="U26" i="42"/>
  <c r="U33" i="42"/>
  <c r="U32" i="42"/>
  <c r="U24" i="42"/>
  <c r="U31" i="42"/>
  <c r="U23" i="42"/>
  <c r="U30" i="42"/>
  <c r="U22" i="42"/>
  <c r="U20" i="42"/>
  <c r="U40" i="42" s="1"/>
  <c r="P40" i="43"/>
  <c r="G38" i="44"/>
  <c r="P38" i="43"/>
  <c r="R8" i="38"/>
  <c r="S8" i="38"/>
  <c r="U8" i="38"/>
  <c r="V8" i="38"/>
  <c r="W8" i="38"/>
  <c r="R9" i="38"/>
  <c r="S9" i="38"/>
  <c r="U9" i="38"/>
  <c r="V9" i="38"/>
  <c r="W9" i="38"/>
  <c r="R10" i="38"/>
  <c r="S10" i="38"/>
  <c r="U10" i="38"/>
  <c r="V10" i="38"/>
  <c r="W10" i="38"/>
  <c r="R11" i="38"/>
  <c r="S11" i="38"/>
  <c r="U11" i="38"/>
  <c r="V11" i="38"/>
  <c r="W11" i="38"/>
  <c r="R12" i="38"/>
  <c r="S12" i="38"/>
  <c r="U12" i="38"/>
  <c r="V12" i="38"/>
  <c r="W12" i="38"/>
  <c r="R13" i="38"/>
  <c r="S13" i="38"/>
  <c r="U13" i="38"/>
  <c r="V13" i="38"/>
  <c r="W13" i="38"/>
  <c r="R15" i="38"/>
  <c r="S15" i="38"/>
  <c r="U15" i="38"/>
  <c r="V15" i="38"/>
  <c r="W15" i="38"/>
  <c r="F16" i="38"/>
  <c r="J16" i="38"/>
  <c r="R16" i="38"/>
  <c r="S16" i="38"/>
  <c r="U16" i="38"/>
  <c r="V16" i="38"/>
  <c r="W16" i="38"/>
  <c r="F17" i="38"/>
  <c r="J17" i="38"/>
  <c r="M17" i="38"/>
  <c r="M18" i="38"/>
  <c r="T36" i="68" s="1"/>
  <c r="M19" i="38"/>
  <c r="T35" i="68" s="1"/>
  <c r="O20" i="38"/>
  <c r="C17" i="38"/>
  <c r="C16" i="38"/>
  <c r="V36" i="68" l="1"/>
  <c r="U36" i="68"/>
  <c r="U39" i="42"/>
  <c r="U42" i="41"/>
  <c r="U40" i="41"/>
  <c r="U41" i="32"/>
  <c r="U39" i="32"/>
  <c r="P29" i="64"/>
  <c r="Q29" i="64"/>
  <c r="O29" i="64"/>
  <c r="O28" i="64"/>
  <c r="D32" i="54"/>
  <c r="D13" i="54"/>
  <c r="D14" i="54"/>
  <c r="O34" i="38"/>
  <c r="M34" i="38"/>
  <c r="T19" i="28"/>
  <c r="T8" i="38" s="1"/>
  <c r="T20" i="28"/>
  <c r="T9" i="38" s="1"/>
  <c r="T21" i="28"/>
  <c r="T10" i="38" s="1"/>
  <c r="T22" i="28"/>
  <c r="T11" i="38" s="1"/>
  <c r="T23" i="28"/>
  <c r="T12" i="38" s="1"/>
  <c r="T24" i="28"/>
  <c r="T13" i="38" s="1"/>
  <c r="T26" i="28"/>
  <c r="T15" i="38" s="1"/>
  <c r="T27" i="28"/>
  <c r="T16" i="38" s="1"/>
  <c r="T37" i="28"/>
  <c r="N16" i="38"/>
  <c r="D35" i="55" s="1"/>
  <c r="N17" i="38"/>
  <c r="D27" i="28"/>
  <c r="D16" i="38" s="1"/>
  <c r="K34" i="68" s="1"/>
  <c r="D28" i="28"/>
  <c r="D17" i="38" s="1"/>
  <c r="E28" i="28"/>
  <c r="E17" i="38" s="1"/>
  <c r="K27" i="28"/>
  <c r="K16" i="38" s="1"/>
  <c r="R34" i="68" s="1"/>
  <c r="K28" i="28"/>
  <c r="K17" i="38" s="1"/>
  <c r="G27" i="28"/>
  <c r="G16" i="38" s="1"/>
  <c r="N34" i="68" s="1"/>
  <c r="G28" i="28"/>
  <c r="G17" i="38" s="1"/>
  <c r="H27" i="28"/>
  <c r="H16" i="38" s="1"/>
  <c r="P34" i="68" s="1"/>
  <c r="H28" i="28"/>
  <c r="H17" i="38" s="1"/>
  <c r="I27" i="28"/>
  <c r="I16" i="38" s="1"/>
  <c r="D20" i="55" s="1"/>
  <c r="I28" i="28"/>
  <c r="I17" i="38" s="1"/>
  <c r="R85" i="26"/>
  <c r="R86" i="26"/>
  <c r="R87" i="26"/>
  <c r="Q85" i="26"/>
  <c r="Q86" i="26"/>
  <c r="Q87" i="26"/>
  <c r="P85" i="26"/>
  <c r="P86" i="26"/>
  <c r="P87" i="26"/>
  <c r="O85" i="26"/>
  <c r="O86" i="26"/>
  <c r="O87" i="26"/>
  <c r="N85" i="26"/>
  <c r="N86" i="26"/>
  <c r="N87" i="26"/>
  <c r="M85" i="26"/>
  <c r="M86" i="26"/>
  <c r="M87" i="26"/>
  <c r="S87" i="26"/>
  <c r="S58" i="26"/>
  <c r="S59" i="26"/>
  <c r="S83" i="26"/>
  <c r="S84" i="26"/>
  <c r="S85" i="26"/>
  <c r="S86" i="26"/>
  <c r="L87" i="26"/>
  <c r="L58" i="26"/>
  <c r="P58" i="26" s="1"/>
  <c r="R58" i="26" s="1"/>
  <c r="L59" i="26"/>
  <c r="O59" i="26" s="1"/>
  <c r="L33" i="26"/>
  <c r="O33" i="26" s="1"/>
  <c r="L83" i="26"/>
  <c r="L84" i="26"/>
  <c r="L85" i="26"/>
  <c r="E4" i="38"/>
  <c r="E4" i="28"/>
  <c r="E4" i="26"/>
  <c r="E4" i="6"/>
  <c r="E4" i="31"/>
  <c r="D4" i="27"/>
  <c r="D4" i="29"/>
  <c r="E20" i="29"/>
  <c r="H20" i="29"/>
  <c r="K24" i="27"/>
  <c r="K43" i="27"/>
  <c r="H13" i="27"/>
  <c r="L41" i="27"/>
  <c r="K41" i="27"/>
  <c r="N43" i="27"/>
  <c r="M43" i="27"/>
  <c r="L43" i="27"/>
  <c r="N42" i="27"/>
  <c r="M42" i="27"/>
  <c r="L42" i="27"/>
  <c r="K42" i="27"/>
  <c r="N41" i="27"/>
  <c r="M41" i="27"/>
  <c r="N35" i="27"/>
  <c r="N24" i="27"/>
  <c r="N23" i="27"/>
  <c r="N22" i="27"/>
  <c r="P8" i="26" s="1"/>
  <c r="N21" i="27"/>
  <c r="P35" i="26" s="1"/>
  <c r="M35" i="27"/>
  <c r="M24" i="27"/>
  <c r="M23" i="27"/>
  <c r="M22" i="27"/>
  <c r="O8" i="26" s="1"/>
  <c r="M21" i="27"/>
  <c r="O35" i="26" s="1"/>
  <c r="L35" i="27"/>
  <c r="L24" i="27"/>
  <c r="L23" i="27"/>
  <c r="L22" i="27"/>
  <c r="L21" i="27"/>
  <c r="N35" i="26" s="1"/>
  <c r="K23" i="27"/>
  <c r="K22" i="27"/>
  <c r="S9" i="26"/>
  <c r="H14" i="27"/>
  <c r="H15" i="27"/>
  <c r="L15" i="26"/>
  <c r="G14" i="27"/>
  <c r="G15" i="27"/>
  <c r="B31" i="37"/>
  <c r="P84" i="26" l="1"/>
  <c r="M84" i="26"/>
  <c r="O84" i="26"/>
  <c r="N84" i="26"/>
  <c r="I27" i="64"/>
  <c r="M27" i="64"/>
  <c r="K27" i="64"/>
  <c r="F27" i="64"/>
  <c r="D19" i="52"/>
  <c r="D19" i="53"/>
  <c r="G20" i="51"/>
  <c r="D19" i="50"/>
  <c r="N58" i="26"/>
  <c r="M59" i="26"/>
  <c r="N59" i="26"/>
  <c r="O58" i="26"/>
  <c r="I34" i="38"/>
  <c r="G34" i="38"/>
  <c r="D34" i="38"/>
  <c r="M58" i="26"/>
  <c r="P59" i="26"/>
  <c r="Q59" i="26" s="1"/>
  <c r="H34" i="38"/>
  <c r="K34" i="38"/>
  <c r="J34" i="38" s="1"/>
  <c r="N34" i="38"/>
  <c r="L34" i="38" s="1"/>
  <c r="Q58" i="26"/>
  <c r="L20" i="26"/>
  <c r="L52" i="26"/>
  <c r="L51" i="26"/>
  <c r="L75" i="26"/>
  <c r="F15" i="6" s="1"/>
  <c r="L55" i="26"/>
  <c r="L60" i="26"/>
  <c r="F12" i="6" s="1"/>
  <c r="E12" i="6" s="1"/>
  <c r="L45" i="26"/>
  <c r="S21" i="26"/>
  <c r="S51" i="26"/>
  <c r="S52" i="26"/>
  <c r="S45" i="26"/>
  <c r="S60" i="26"/>
  <c r="J12" i="6" s="1"/>
  <c r="S55" i="26"/>
  <c r="S75" i="26"/>
  <c r="J15" i="6" s="1"/>
  <c r="I27" i="27"/>
  <c r="R54" i="26"/>
  <c r="L27" i="26"/>
  <c r="L16" i="26"/>
  <c r="P33" i="26"/>
  <c r="L24" i="26"/>
  <c r="N24" i="26" s="1"/>
  <c r="L13" i="26"/>
  <c r="O13" i="26" s="1"/>
  <c r="S33" i="26"/>
  <c r="N33" i="26"/>
  <c r="L25" i="26"/>
  <c r="N25" i="26" s="1"/>
  <c r="L29" i="26"/>
  <c r="O29" i="26" s="1"/>
  <c r="L32" i="26"/>
  <c r="N32" i="26" s="1"/>
  <c r="L11" i="26"/>
  <c r="O11" i="26" s="1"/>
  <c r="M33" i="26"/>
  <c r="L67" i="26"/>
  <c r="L21" i="26"/>
  <c r="L71" i="26"/>
  <c r="L47" i="26"/>
  <c r="L39" i="26"/>
  <c r="S68" i="26"/>
  <c r="S61" i="26"/>
  <c r="S71" i="26"/>
  <c r="S34" i="26"/>
  <c r="S78" i="26"/>
  <c r="S47" i="26"/>
  <c r="S44" i="26"/>
  <c r="S39" i="26"/>
  <c r="S25" i="26"/>
  <c r="S27" i="26"/>
  <c r="S29" i="26"/>
  <c r="S18" i="26"/>
  <c r="S10" i="26"/>
  <c r="S12" i="26"/>
  <c r="S14" i="26"/>
  <c r="L72" i="26"/>
  <c r="L62" i="26"/>
  <c r="N62" i="26" s="1"/>
  <c r="L43" i="26"/>
  <c r="L40" i="26"/>
  <c r="L68" i="26"/>
  <c r="L61" i="26"/>
  <c r="L78" i="26"/>
  <c r="L44" i="26"/>
  <c r="L54" i="26"/>
  <c r="L49" i="26"/>
  <c r="L48" i="26"/>
  <c r="L66" i="26"/>
  <c r="L76" i="26"/>
  <c r="L38" i="26"/>
  <c r="O38" i="26" s="1"/>
  <c r="L53" i="26"/>
  <c r="L41" i="26"/>
  <c r="L26" i="26"/>
  <c r="O26" i="26" s="1"/>
  <c r="L28" i="26"/>
  <c r="O28" i="26" s="1"/>
  <c r="L30" i="26"/>
  <c r="O30" i="26" s="1"/>
  <c r="L19" i="26"/>
  <c r="L17" i="26"/>
  <c r="M9" i="26"/>
  <c r="S54" i="26"/>
  <c r="S49" i="26"/>
  <c r="S48" i="26"/>
  <c r="S66" i="26"/>
  <c r="S76" i="26"/>
  <c r="S38" i="26"/>
  <c r="S53" i="26"/>
  <c r="S41" i="26"/>
  <c r="S26" i="26"/>
  <c r="S28" i="26"/>
  <c r="S30" i="26"/>
  <c r="S19" i="26"/>
  <c r="S11" i="26"/>
  <c r="S13" i="26"/>
  <c r="S15" i="26"/>
  <c r="L69" i="26"/>
  <c r="L37" i="26"/>
  <c r="L34" i="26"/>
  <c r="L18" i="26"/>
  <c r="L82" i="26"/>
  <c r="L50" i="26"/>
  <c r="L63" i="26"/>
  <c r="L70" i="26"/>
  <c r="L64" i="26"/>
  <c r="L77" i="26"/>
  <c r="L36" i="26"/>
  <c r="N36" i="26" s="1"/>
  <c r="L31" i="26"/>
  <c r="P31" i="26" s="1"/>
  <c r="L23" i="26"/>
  <c r="P23" i="26" s="1"/>
  <c r="L46" i="26"/>
  <c r="L10" i="26"/>
  <c r="L12" i="26"/>
  <c r="L14" i="26"/>
  <c r="S82" i="26"/>
  <c r="S50" i="26"/>
  <c r="S63" i="26"/>
  <c r="S70" i="26"/>
  <c r="S64" i="26"/>
  <c r="S77" i="26"/>
  <c r="S36" i="26"/>
  <c r="S31" i="26"/>
  <c r="S23" i="26"/>
  <c r="S46" i="26"/>
  <c r="S20" i="26"/>
  <c r="S16" i="26"/>
  <c r="S72" i="26"/>
  <c r="S67" i="26"/>
  <c r="S62" i="26"/>
  <c r="S69" i="26"/>
  <c r="S37" i="26"/>
  <c r="S43" i="26"/>
  <c r="S40" i="26"/>
  <c r="S32" i="26"/>
  <c r="S24" i="26"/>
  <c r="S17" i="26"/>
  <c r="E27" i="28"/>
  <c r="E16" i="38" s="1"/>
  <c r="M34" i="68" s="1"/>
  <c r="N15" i="26"/>
  <c r="M15" i="26"/>
  <c r="P15" i="26"/>
  <c r="O15" i="26"/>
  <c r="E4" i="37"/>
  <c r="M14" i="26" l="1"/>
  <c r="N14" i="26"/>
  <c r="M17" i="26"/>
  <c r="N17" i="26"/>
  <c r="K33" i="27"/>
  <c r="M8" i="26" s="1"/>
  <c r="L33" i="27"/>
  <c r="N8" i="26" s="1"/>
  <c r="K34" i="27"/>
  <c r="M16" i="26" s="1"/>
  <c r="M34" i="27"/>
  <c r="O31" i="26" s="1"/>
  <c r="F34" i="38"/>
  <c r="H27" i="64"/>
  <c r="I10" i="28"/>
  <c r="E34" i="38"/>
  <c r="C34" i="38" s="1"/>
  <c r="D20" i="51"/>
  <c r="N10" i="26"/>
  <c r="J11" i="6"/>
  <c r="I11" i="6" s="1"/>
  <c r="F11" i="6"/>
  <c r="E11" i="6" s="1"/>
  <c r="S96" i="26"/>
  <c r="N34" i="26"/>
  <c r="L96" i="26"/>
  <c r="R59" i="26"/>
  <c r="M25" i="26"/>
  <c r="M11" i="26"/>
  <c r="O25" i="26"/>
  <c r="P29" i="26"/>
  <c r="O27" i="26"/>
  <c r="H10" i="6"/>
  <c r="M32" i="26"/>
  <c r="M13" i="26"/>
  <c r="N13" i="26"/>
  <c r="G12" i="6"/>
  <c r="P13" i="26"/>
  <c r="P27" i="26"/>
  <c r="N29" i="26"/>
  <c r="L95" i="26"/>
  <c r="M29" i="26"/>
  <c r="P11" i="26"/>
  <c r="P25" i="26"/>
  <c r="D13" i="6"/>
  <c r="S95" i="26"/>
  <c r="P37" i="26"/>
  <c r="D10" i="6"/>
  <c r="P61" i="26"/>
  <c r="F13" i="6"/>
  <c r="J13" i="6"/>
  <c r="D14" i="6"/>
  <c r="H14" i="6"/>
  <c r="M27" i="26"/>
  <c r="H13" i="6"/>
  <c r="K12" i="6"/>
  <c r="I12" i="6"/>
  <c r="M37" i="26"/>
  <c r="O32" i="26"/>
  <c r="P32" i="26"/>
  <c r="S94" i="26"/>
  <c r="L94" i="26"/>
  <c r="M38" i="26"/>
  <c r="N9" i="26"/>
  <c r="P28" i="26"/>
  <c r="P9" i="26"/>
  <c r="P26" i="26"/>
  <c r="P17" i="26"/>
  <c r="N26" i="26"/>
  <c r="L92" i="26"/>
  <c r="M10" i="26"/>
  <c r="N38" i="26"/>
  <c r="P36" i="26"/>
  <c r="P10" i="26"/>
  <c r="P38" i="26"/>
  <c r="N16" i="26"/>
  <c r="M28" i="26"/>
  <c r="P16" i="26"/>
  <c r="O10" i="26"/>
  <c r="O9" i="26"/>
  <c r="N28" i="26"/>
  <c r="O54" i="26"/>
  <c r="N54" i="26"/>
  <c r="M54" i="26"/>
  <c r="P54" i="26"/>
  <c r="M24" i="26"/>
  <c r="P24" i="26"/>
  <c r="O24" i="26"/>
  <c r="N11" i="26"/>
  <c r="O14" i="26"/>
  <c r="N23" i="26"/>
  <c r="M61" i="26"/>
  <c r="M36" i="26"/>
  <c r="S93" i="26"/>
  <c r="P14" i="26"/>
  <c r="N37" i="26"/>
  <c r="O37" i="26"/>
  <c r="O36" i="26"/>
  <c r="S92" i="26"/>
  <c r="O23" i="26"/>
  <c r="N61" i="26"/>
  <c r="M23" i="26"/>
  <c r="O61" i="26"/>
  <c r="P12" i="26"/>
  <c r="M31" i="26"/>
  <c r="O12" i="26"/>
  <c r="M34" i="26"/>
  <c r="O34" i="26"/>
  <c r="N31" i="26"/>
  <c r="P34" i="26"/>
  <c r="M12" i="26"/>
  <c r="M62" i="26"/>
  <c r="O62" i="26"/>
  <c r="P30" i="26"/>
  <c r="P62" i="26"/>
  <c r="N30" i="26"/>
  <c r="M30" i="26"/>
  <c r="L93" i="26"/>
  <c r="O17" i="26"/>
  <c r="M26" i="26"/>
  <c r="H9" i="29"/>
  <c r="H15" i="29"/>
  <c r="D15" i="29" s="1"/>
  <c r="H16" i="29"/>
  <c r="D16" i="29" s="1"/>
  <c r="H17" i="29"/>
  <c r="D17" i="29" s="1"/>
  <c r="H19" i="29"/>
  <c r="H23" i="29"/>
  <c r="D23" i="29" s="1"/>
  <c r="H24" i="29"/>
  <c r="D24" i="29" s="1"/>
  <c r="G27" i="27"/>
  <c r="B34" i="38" l="1"/>
  <c r="N12" i="26"/>
  <c r="O16" i="26"/>
  <c r="N27" i="26"/>
  <c r="N96" i="26"/>
  <c r="M96" i="26"/>
  <c r="O96" i="26"/>
  <c r="K11" i="6"/>
  <c r="G11" i="6"/>
  <c r="P96" i="26"/>
  <c r="G13" i="6"/>
  <c r="I13" i="6"/>
  <c r="G14" i="6"/>
  <c r="E14" i="6"/>
  <c r="K13" i="6"/>
  <c r="K14" i="6"/>
  <c r="I14" i="6"/>
  <c r="E13" i="6"/>
  <c r="B9" i="28" l="1"/>
  <c r="B10" i="28"/>
  <c r="B11" i="28"/>
  <c r="B12" i="28"/>
  <c r="B14" i="28" l="1"/>
  <c r="E19" i="37" l="1"/>
  <c r="E12" i="37"/>
  <c r="E13" i="37" s="1"/>
  <c r="I27" i="29" l="1"/>
  <c r="F27" i="29"/>
  <c r="M27" i="29"/>
  <c r="L27" i="29" s="1"/>
  <c r="K27" i="29"/>
  <c r="J27" i="29"/>
  <c r="G27" i="29"/>
  <c r="H27" i="29" l="1"/>
  <c r="E27" i="29"/>
  <c r="D27" i="29" l="1"/>
  <c r="C27" i="29" s="1"/>
  <c r="C14" i="29" l="1"/>
  <c r="C15" i="29"/>
  <c r="C16" i="29"/>
  <c r="C22" i="29"/>
  <c r="C17" i="29"/>
  <c r="C24" i="29"/>
  <c r="C23" i="29"/>
  <c r="L80" i="26" l="1"/>
  <c r="S80" i="26"/>
  <c r="S79" i="26"/>
  <c r="L79" i="26"/>
  <c r="K88" i="26"/>
  <c r="L81" i="26"/>
  <c r="S81" i="26"/>
  <c r="D15" i="6" l="1"/>
  <c r="D16" i="6" s="1"/>
  <c r="N60" i="26"/>
  <c r="N55" i="26"/>
  <c r="D9" i="28" s="1"/>
  <c r="F26" i="28" s="1"/>
  <c r="H15" i="6"/>
  <c r="P60" i="26"/>
  <c r="P55" i="26"/>
  <c r="M60" i="26"/>
  <c r="C10" i="28" s="1"/>
  <c r="M55" i="26"/>
  <c r="C9" i="28" s="1"/>
  <c r="C26" i="28" s="1"/>
  <c r="O55" i="26"/>
  <c r="E9" i="28" s="1"/>
  <c r="J26" i="28" s="1"/>
  <c r="O60" i="26"/>
  <c r="C15" i="38" l="1"/>
  <c r="V14" i="32"/>
  <c r="D26" i="28"/>
  <c r="D15" i="38" s="1"/>
  <c r="K31" i="68" s="1"/>
  <c r="E26" i="28"/>
  <c r="E15" i="38" s="1"/>
  <c r="M31" i="68" s="1"/>
  <c r="H26" i="28"/>
  <c r="H15" i="38" s="1"/>
  <c r="P31" i="68" s="1"/>
  <c r="F15" i="38"/>
  <c r="I26" i="28"/>
  <c r="I15" i="38" s="1"/>
  <c r="G26" i="28"/>
  <c r="G15" i="38" s="1"/>
  <c r="N31" i="68" s="1"/>
  <c r="V14" i="41"/>
  <c r="V14" i="42"/>
  <c r="K26" i="28"/>
  <c r="K15" i="38" s="1"/>
  <c r="R31" i="68" s="1"/>
  <c r="J15" i="38"/>
  <c r="E10" i="28"/>
  <c r="D10" i="28"/>
  <c r="R55" i="26"/>
  <c r="Q55" i="26"/>
  <c r="G15" i="6"/>
  <c r="E15" i="6"/>
  <c r="F10" i="28"/>
  <c r="R60" i="26"/>
  <c r="H10" i="28" s="1"/>
  <c r="Q60" i="26"/>
  <c r="G10" i="28" s="1"/>
  <c r="H16" i="6"/>
  <c r="I15" i="6"/>
  <c r="K15" i="6"/>
  <c r="V21" i="32" l="1"/>
  <c r="V20" i="32"/>
  <c r="V35" i="32"/>
  <c r="I24" i="64"/>
  <c r="G33" i="38"/>
  <c r="G17" i="51"/>
  <c r="D17" i="55"/>
  <c r="I33" i="38"/>
  <c r="D16" i="52"/>
  <c r="K24" i="64"/>
  <c r="H33" i="38"/>
  <c r="H24" i="64"/>
  <c r="D17" i="51"/>
  <c r="E33" i="38"/>
  <c r="M24" i="64"/>
  <c r="K33" i="38"/>
  <c r="J33" i="38" s="1"/>
  <c r="D16" i="53"/>
  <c r="D33" i="38"/>
  <c r="D16" i="50"/>
  <c r="F24" i="64"/>
  <c r="V34" i="42"/>
  <c r="V35" i="42"/>
  <c r="V24" i="42"/>
  <c r="V26" i="42"/>
  <c r="V23" i="42"/>
  <c r="V20" i="42"/>
  <c r="V30" i="42"/>
  <c r="V31" i="42"/>
  <c r="V27" i="42"/>
  <c r="V22" i="42"/>
  <c r="V21" i="42"/>
  <c r="V33" i="42"/>
  <c r="V36" i="42"/>
  <c r="V29" i="42"/>
  <c r="V37" i="42"/>
  <c r="V25" i="42"/>
  <c r="V38" i="42"/>
  <c r="V32" i="42"/>
  <c r="V28" i="42"/>
  <c r="V38" i="32"/>
  <c r="V29" i="32"/>
  <c r="V32" i="32"/>
  <c r="V34" i="32"/>
  <c r="V33" i="32"/>
  <c r="V37" i="32"/>
  <c r="V25" i="32"/>
  <c r="V22" i="32"/>
  <c r="V28" i="32"/>
  <c r="V31" i="32"/>
  <c r="V30" i="32"/>
  <c r="V23" i="32"/>
  <c r="V26" i="32"/>
  <c r="V27" i="32"/>
  <c r="V24" i="32"/>
  <c r="V36" i="32"/>
  <c r="V23" i="41"/>
  <c r="V26" i="41"/>
  <c r="V37" i="41"/>
  <c r="V21" i="41"/>
  <c r="V36" i="41"/>
  <c r="V35" i="41"/>
  <c r="V38" i="41"/>
  <c r="V28" i="41"/>
  <c r="V24" i="41"/>
  <c r="V33" i="41"/>
  <c r="V30" i="41"/>
  <c r="V20" i="41"/>
  <c r="V40" i="41" s="1"/>
  <c r="V31" i="41"/>
  <c r="V22" i="41"/>
  <c r="V29" i="41"/>
  <c r="V32" i="41"/>
  <c r="V27" i="41"/>
  <c r="V25" i="41"/>
  <c r="V34" i="41"/>
  <c r="K39" i="43"/>
  <c r="V39" i="42" l="1"/>
  <c r="V39" i="32"/>
  <c r="V40" i="42"/>
  <c r="F33" i="38"/>
  <c r="V42" i="41"/>
  <c r="C33" i="38"/>
  <c r="V41" i="32"/>
  <c r="L39" i="43"/>
  <c r="B33" i="38" l="1"/>
  <c r="D29" i="29"/>
  <c r="C29" i="29" s="1"/>
  <c r="J25" i="27"/>
  <c r="L25" i="27" l="1"/>
  <c r="K25" i="27"/>
  <c r="M25" i="27"/>
  <c r="N25" i="27"/>
  <c r="J26" i="27"/>
  <c r="D28" i="29"/>
  <c r="M26" i="27" l="1"/>
  <c r="L26" i="27"/>
  <c r="K26" i="27"/>
  <c r="N26" i="27"/>
  <c r="M20" i="26"/>
  <c r="M80" i="26"/>
  <c r="M79" i="26"/>
  <c r="M78" i="26"/>
  <c r="M81" i="26"/>
  <c r="M75" i="26"/>
  <c r="M76" i="26"/>
  <c r="M77" i="26"/>
  <c r="M82" i="26"/>
  <c r="M41" i="26"/>
  <c r="M74" i="26"/>
  <c r="M73" i="26"/>
  <c r="N82" i="26"/>
  <c r="N76" i="26"/>
  <c r="N74" i="26"/>
  <c r="N77" i="26"/>
  <c r="N20" i="26"/>
  <c r="N80" i="26"/>
  <c r="N79" i="26"/>
  <c r="N41" i="26"/>
  <c r="N75" i="26"/>
  <c r="N78" i="26"/>
  <c r="N81" i="26"/>
  <c r="N73" i="26"/>
  <c r="P76" i="26"/>
  <c r="P79" i="26"/>
  <c r="P74" i="26"/>
  <c r="P77" i="26"/>
  <c r="P81" i="26"/>
  <c r="P41" i="26"/>
  <c r="P80" i="26"/>
  <c r="P82" i="26"/>
  <c r="P78" i="26"/>
  <c r="P75" i="26"/>
  <c r="P20" i="26"/>
  <c r="P73" i="26"/>
  <c r="C28" i="29"/>
  <c r="E10" i="27"/>
  <c r="O77" i="26"/>
  <c r="O41" i="26"/>
  <c r="O82" i="26"/>
  <c r="O76" i="26"/>
  <c r="O79" i="26"/>
  <c r="O20" i="26"/>
  <c r="O75" i="26"/>
  <c r="O80" i="26"/>
  <c r="O81" i="26"/>
  <c r="O78" i="26"/>
  <c r="O74" i="26"/>
  <c r="O73" i="26"/>
  <c r="F13" i="28" l="1"/>
  <c r="E13" i="28"/>
  <c r="J36" i="28" s="1"/>
  <c r="T10" i="42" s="1"/>
  <c r="D13" i="28"/>
  <c r="F36" i="28" s="1"/>
  <c r="I36" i="28" s="1"/>
  <c r="I25" i="38" s="1"/>
  <c r="C13" i="28"/>
  <c r="C36" i="28" s="1"/>
  <c r="E36" i="28" s="1"/>
  <c r="E25" i="38" s="1"/>
  <c r="M44" i="68" s="1"/>
  <c r="P21" i="26"/>
  <c r="P44" i="26"/>
  <c r="P40" i="26"/>
  <c r="P18" i="26"/>
  <c r="P46" i="26"/>
  <c r="P43" i="26"/>
  <c r="P39" i="26"/>
  <c r="P45" i="26"/>
  <c r="P19" i="26"/>
  <c r="M40" i="26"/>
  <c r="M44" i="26"/>
  <c r="M19" i="26"/>
  <c r="M18" i="26"/>
  <c r="M45" i="26"/>
  <c r="M43" i="26"/>
  <c r="M21" i="26"/>
  <c r="M46" i="26"/>
  <c r="M39" i="26"/>
  <c r="N46" i="26"/>
  <c r="N45" i="26"/>
  <c r="N40" i="26"/>
  <c r="N44" i="26"/>
  <c r="N39" i="26"/>
  <c r="N43" i="26"/>
  <c r="N18" i="26"/>
  <c r="N21" i="26"/>
  <c r="N19" i="26"/>
  <c r="H10" i="27"/>
  <c r="G10" i="27"/>
  <c r="O40" i="26"/>
  <c r="O46" i="26"/>
  <c r="O19" i="26"/>
  <c r="O45" i="26"/>
  <c r="O43" i="26"/>
  <c r="O39" i="26"/>
  <c r="O21" i="26"/>
  <c r="O44" i="26"/>
  <c r="O18" i="26"/>
  <c r="I37" i="38" l="1"/>
  <c r="D26" i="55"/>
  <c r="J25" i="38"/>
  <c r="K36" i="28"/>
  <c r="K25" i="38" s="1"/>
  <c r="F25" i="38"/>
  <c r="T10" i="41"/>
  <c r="T33" i="41" s="1"/>
  <c r="H36" i="28"/>
  <c r="H25" i="38" s="1"/>
  <c r="G36" i="28"/>
  <c r="G25" i="38" s="1"/>
  <c r="D36" i="28"/>
  <c r="D25" i="38" s="1"/>
  <c r="C25" i="38"/>
  <c r="T10" i="32"/>
  <c r="T20" i="32" s="1"/>
  <c r="E37" i="38"/>
  <c r="H37" i="64"/>
  <c r="D26" i="51"/>
  <c r="S22" i="26"/>
  <c r="S98" i="26" s="1"/>
  <c r="S42" i="26"/>
  <c r="T36" i="42"/>
  <c r="T29" i="42"/>
  <c r="T25" i="42"/>
  <c r="T32" i="42"/>
  <c r="T22" i="42"/>
  <c r="T38" i="42"/>
  <c r="T28" i="42"/>
  <c r="T30" i="42"/>
  <c r="T34" i="42"/>
  <c r="T37" i="42"/>
  <c r="T35" i="42"/>
  <c r="T23" i="42"/>
  <c r="T20" i="42"/>
  <c r="T26" i="42"/>
  <c r="T21" i="42"/>
  <c r="T31" i="42"/>
  <c r="T27" i="42"/>
  <c r="T24" i="42"/>
  <c r="T33" i="42"/>
  <c r="L22" i="26"/>
  <c r="L98" i="26" s="1"/>
  <c r="L42" i="26"/>
  <c r="K37" i="38" l="1"/>
  <c r="J37" i="38" s="1"/>
  <c r="R44" i="68"/>
  <c r="H37" i="38"/>
  <c r="P44" i="68"/>
  <c r="G37" i="38"/>
  <c r="F37" i="38" s="1"/>
  <c r="N44" i="68"/>
  <c r="D25" i="50"/>
  <c r="K44" i="68"/>
  <c r="T29" i="32"/>
  <c r="T22" i="41"/>
  <c r="T21" i="32"/>
  <c r="T35" i="32"/>
  <c r="T25" i="41"/>
  <c r="T30" i="41"/>
  <c r="T35" i="41"/>
  <c r="T34" i="41"/>
  <c r="T37" i="41"/>
  <c r="T38" i="41"/>
  <c r="T21" i="41"/>
  <c r="T27" i="41"/>
  <c r="T23" i="41"/>
  <c r="T24" i="41"/>
  <c r="T26" i="41"/>
  <c r="T28" i="41"/>
  <c r="T29" i="41"/>
  <c r="T32" i="41"/>
  <c r="T31" i="41"/>
  <c r="T20" i="41"/>
  <c r="T36" i="41"/>
  <c r="G26" i="51"/>
  <c r="D25" i="52"/>
  <c r="I37" i="64"/>
  <c r="K37" i="64"/>
  <c r="D27" i="53"/>
  <c r="M37" i="64"/>
  <c r="D37" i="38"/>
  <c r="C37" i="38" s="1"/>
  <c r="F37" i="64"/>
  <c r="T30" i="32"/>
  <c r="T38" i="32"/>
  <c r="T37" i="32"/>
  <c r="T26" i="32"/>
  <c r="T36" i="32"/>
  <c r="T28" i="32"/>
  <c r="T33" i="32"/>
  <c r="T34" i="32"/>
  <c r="T25" i="32"/>
  <c r="T32" i="32"/>
  <c r="T27" i="32"/>
  <c r="T24" i="32"/>
  <c r="T22" i="32"/>
  <c r="T31" i="32"/>
  <c r="T23" i="32"/>
  <c r="S91" i="26"/>
  <c r="S90" i="26"/>
  <c r="J10" i="6"/>
  <c r="I8" i="28"/>
  <c r="S88" i="26"/>
  <c r="F10" i="6"/>
  <c r="L91" i="26"/>
  <c r="L90" i="26"/>
  <c r="L88" i="26"/>
  <c r="O22" i="26"/>
  <c r="M22" i="26"/>
  <c r="N22" i="26"/>
  <c r="P22" i="26"/>
  <c r="M42" i="26"/>
  <c r="P42" i="26"/>
  <c r="O42" i="26"/>
  <c r="N42" i="26"/>
  <c r="T42" i="41" l="1"/>
  <c r="T40" i="41"/>
  <c r="P90" i="26"/>
  <c r="J28" i="27" s="1"/>
  <c r="N90" i="26"/>
  <c r="H28" i="27" s="1"/>
  <c r="T41" i="32"/>
  <c r="T39" i="32"/>
  <c r="M90" i="26"/>
  <c r="G28" i="27" s="1"/>
  <c r="K10" i="6"/>
  <c r="I10" i="6"/>
  <c r="J16" i="6"/>
  <c r="I14" i="28"/>
  <c r="B21" i="31" s="1"/>
  <c r="B26" i="31" s="1"/>
  <c r="R25" i="28"/>
  <c r="C21" i="31"/>
  <c r="C26" i="31" s="1"/>
  <c r="F16" i="6"/>
  <c r="E10" i="6"/>
  <c r="G10" i="6"/>
  <c r="I16" i="6" l="1"/>
  <c r="K16" i="6"/>
  <c r="F7" i="44"/>
  <c r="W25" i="28"/>
  <c r="W14" i="38" s="1"/>
  <c r="W31" i="38" s="1"/>
  <c r="W38" i="38" s="1"/>
  <c r="R14" i="38"/>
  <c r="U25" i="28"/>
  <c r="U14" i="38" s="1"/>
  <c r="U31" i="38" s="1"/>
  <c r="U38" i="38" s="1"/>
  <c r="S25" i="28"/>
  <c r="S14" i="38" s="1"/>
  <c r="S31" i="38" s="1"/>
  <c r="V25" i="28"/>
  <c r="V14" i="38" s="1"/>
  <c r="V31" i="38" s="1"/>
  <c r="V38" i="38" s="1"/>
  <c r="T25" i="28"/>
  <c r="T14" i="38" s="1"/>
  <c r="G16" i="6"/>
  <c r="E16" i="6"/>
  <c r="N39" i="43"/>
  <c r="I7" i="65" l="1"/>
  <c r="K7" i="65"/>
  <c r="N7" i="65"/>
  <c r="R7" i="65"/>
  <c r="L7" i="65"/>
  <c r="P7" i="65"/>
  <c r="S38" i="38"/>
  <c r="F15" i="44"/>
  <c r="J15" i="44" s="1"/>
  <c r="F32" i="44"/>
  <c r="J32" i="44" s="1"/>
  <c r="F14" i="44"/>
  <c r="F20" i="44"/>
  <c r="J20" i="44" s="1"/>
  <c r="F22" i="44"/>
  <c r="J22" i="44" s="1"/>
  <c r="F29" i="44"/>
  <c r="J29" i="44" s="1"/>
  <c r="F17" i="44"/>
  <c r="J17" i="44" s="1"/>
  <c r="F23" i="44"/>
  <c r="J23" i="44" s="1"/>
  <c r="F28" i="44"/>
  <c r="J28" i="44" s="1"/>
  <c r="F30" i="44"/>
  <c r="J30" i="44" s="1"/>
  <c r="F16" i="44"/>
  <c r="J16" i="44" s="1"/>
  <c r="F31" i="44"/>
  <c r="J31" i="44" s="1"/>
  <c r="F21" i="44"/>
  <c r="J21" i="44" s="1"/>
  <c r="F19" i="44"/>
  <c r="F24" i="44"/>
  <c r="J24" i="44" s="1"/>
  <c r="F27" i="44"/>
  <c r="J27" i="44" s="1"/>
  <c r="F25" i="44"/>
  <c r="J25" i="44" s="1"/>
  <c r="F26" i="44"/>
  <c r="J26" i="44" s="1"/>
  <c r="F18" i="44"/>
  <c r="J18" i="44" s="1"/>
  <c r="D5" i="56"/>
  <c r="T31" i="38"/>
  <c r="T38" i="38" s="1"/>
  <c r="M39" i="43"/>
  <c r="S39" i="43"/>
  <c r="N12" i="29"/>
  <c r="D12" i="29" s="1"/>
  <c r="C12" i="29" s="1"/>
  <c r="N18" i="29"/>
  <c r="D18" i="29" s="1"/>
  <c r="C18" i="29" s="1"/>
  <c r="N20" i="29"/>
  <c r="D20" i="29" s="1"/>
  <c r="C20" i="29" s="1"/>
  <c r="N21" i="29"/>
  <c r="D21" i="29" s="1"/>
  <c r="C21" i="29" s="1"/>
  <c r="N10" i="29"/>
  <c r="D10" i="29" s="1"/>
  <c r="C10" i="29" s="1"/>
  <c r="N11" i="29"/>
  <c r="D11" i="29" s="1"/>
  <c r="C11" i="29" s="1"/>
  <c r="N9" i="29"/>
  <c r="D9" i="29" s="1"/>
  <c r="C9" i="29" s="1"/>
  <c r="N13" i="29"/>
  <c r="D13" i="29" s="1"/>
  <c r="C13" i="29" s="1"/>
  <c r="N25" i="29"/>
  <c r="D25" i="29" s="1"/>
  <c r="C25" i="29" s="1"/>
  <c r="F49" i="27"/>
  <c r="H49" i="27" s="1"/>
  <c r="G50" i="27"/>
  <c r="Q73" i="26" s="1"/>
  <c r="N19" i="29"/>
  <c r="N8" i="29"/>
  <c r="D8" i="29" s="1"/>
  <c r="C8" i="29" s="1"/>
  <c r="R26" i="26" l="1"/>
  <c r="R84" i="26"/>
  <c r="J19" i="44"/>
  <c r="J35" i="44" s="1"/>
  <c r="F35" i="44"/>
  <c r="F33" i="44"/>
  <c r="R31" i="38"/>
  <c r="D19" i="29"/>
  <c r="C19" i="29" s="1"/>
  <c r="L36" i="28"/>
  <c r="J14" i="44"/>
  <c r="F38" i="44"/>
  <c r="H50" i="27"/>
  <c r="R46" i="26" s="1"/>
  <c r="J27" i="27"/>
  <c r="R34" i="26"/>
  <c r="R15" i="26"/>
  <c r="R25" i="26"/>
  <c r="R36" i="26"/>
  <c r="R32" i="26"/>
  <c r="R9" i="26"/>
  <c r="R31" i="26"/>
  <c r="R14" i="26"/>
  <c r="R24" i="26"/>
  <c r="R38" i="26"/>
  <c r="R28" i="26"/>
  <c r="R10" i="26"/>
  <c r="R35" i="26"/>
  <c r="R30" i="26"/>
  <c r="R23" i="26"/>
  <c r="R11" i="26"/>
  <c r="R12" i="26"/>
  <c r="R27" i="26"/>
  <c r="R13" i="26"/>
  <c r="R17" i="26"/>
  <c r="R16" i="26"/>
  <c r="R8" i="26"/>
  <c r="R29" i="26"/>
  <c r="R37" i="26"/>
  <c r="R33" i="26"/>
  <c r="R73" i="26"/>
  <c r="R77" i="26"/>
  <c r="R78" i="26"/>
  <c r="R22" i="26"/>
  <c r="R61" i="26"/>
  <c r="R62" i="26"/>
  <c r="R20" i="26"/>
  <c r="R40" i="26"/>
  <c r="R19" i="26"/>
  <c r="R42" i="26"/>
  <c r="R41" i="26"/>
  <c r="R74" i="26"/>
  <c r="R76" i="26"/>
  <c r="R79" i="26"/>
  <c r="R44" i="26"/>
  <c r="R21" i="26"/>
  <c r="R75" i="26"/>
  <c r="R18" i="26"/>
  <c r="R82" i="26"/>
  <c r="R81" i="26"/>
  <c r="R43" i="26"/>
  <c r="R80" i="26"/>
  <c r="Q81" i="26"/>
  <c r="Q82" i="26"/>
  <c r="Q39" i="26"/>
  <c r="Q19" i="26"/>
  <c r="Q44" i="26"/>
  <c r="Q61" i="26"/>
  <c r="Q62" i="26"/>
  <c r="Q74" i="26"/>
  <c r="Q78" i="26"/>
  <c r="Q76" i="26"/>
  <c r="Q43" i="26"/>
  <c r="Q21" i="26"/>
  <c r="Q42" i="26"/>
  <c r="Q33" i="26"/>
  <c r="Q80" i="26"/>
  <c r="Q41" i="26"/>
  <c r="Q75" i="26"/>
  <c r="Q46" i="26"/>
  <c r="Q45" i="26"/>
  <c r="Q22" i="26"/>
  <c r="Q77" i="26"/>
  <c r="Q20" i="26"/>
  <c r="Q40" i="26"/>
  <c r="Q79" i="26"/>
  <c r="Q18" i="26"/>
  <c r="G49" i="27"/>
  <c r="Q84" i="26" s="1"/>
  <c r="R39" i="26" l="1"/>
  <c r="G13" i="28"/>
  <c r="J38" i="44"/>
  <c r="D21" i="31" s="1"/>
  <c r="E21" i="31" s="1"/>
  <c r="E26" i="31" s="1"/>
  <c r="J33" i="44"/>
  <c r="H13" i="28"/>
  <c r="O36" i="28"/>
  <c r="O25" i="38" s="1"/>
  <c r="L25" i="38"/>
  <c r="N36" i="28"/>
  <c r="N25" i="38" s="1"/>
  <c r="P36" i="28"/>
  <c r="P25" i="38" s="1"/>
  <c r="P37" i="38" s="1"/>
  <c r="M36" i="28"/>
  <c r="R96" i="26"/>
  <c r="R45" i="26"/>
  <c r="R90" i="26"/>
  <c r="F51" i="27" s="1"/>
  <c r="Q14" i="26"/>
  <c r="Q24" i="26"/>
  <c r="Q25" i="26"/>
  <c r="Q36" i="26"/>
  <c r="Q23" i="26"/>
  <c r="Q26" i="26"/>
  <c r="Q37" i="26"/>
  <c r="Q27" i="26"/>
  <c r="Q38" i="26"/>
  <c r="Q28" i="26"/>
  <c r="Q16" i="26"/>
  <c r="Q12" i="26"/>
  <c r="Q30" i="26"/>
  <c r="Q29" i="26"/>
  <c r="Q10" i="26"/>
  <c r="Q17" i="26"/>
  <c r="Q11" i="26"/>
  <c r="Q34" i="26"/>
  <c r="Q31" i="26"/>
  <c r="Q9" i="26"/>
  <c r="Q32" i="26"/>
  <c r="Q15" i="26"/>
  <c r="Q8" i="26"/>
  <c r="Q35" i="26"/>
  <c r="Q13" i="26"/>
  <c r="K27" i="27"/>
  <c r="M27" i="27"/>
  <c r="N27" i="27"/>
  <c r="L27" i="27"/>
  <c r="V44" i="68" l="1"/>
  <c r="U44" i="68"/>
  <c r="N37" i="38"/>
  <c r="D41" i="55"/>
  <c r="O37" i="38"/>
  <c r="D40" i="54"/>
  <c r="D56" i="54"/>
  <c r="P37" i="64"/>
  <c r="Q37" i="64"/>
  <c r="M25" i="38"/>
  <c r="T44" i="68" s="1"/>
  <c r="O8" i="43"/>
  <c r="Q96" i="26"/>
  <c r="R32" i="38"/>
  <c r="R38" i="38" s="1"/>
  <c r="H21" i="31"/>
  <c r="I21" i="31" s="1"/>
  <c r="G36" i="27"/>
  <c r="G37" i="27"/>
  <c r="H37" i="27"/>
  <c r="H36" i="27"/>
  <c r="Q90" i="26"/>
  <c r="E51" i="27" s="1"/>
  <c r="G51" i="27" s="1"/>
  <c r="J37" i="27"/>
  <c r="J36" i="27"/>
  <c r="I37" i="27"/>
  <c r="I36" i="27"/>
  <c r="O22" i="43" l="1"/>
  <c r="O19" i="43"/>
  <c r="H51" i="27"/>
  <c r="K36" i="27"/>
  <c r="M66" i="26" s="1"/>
  <c r="K37" i="27"/>
  <c r="M37" i="27" s="1"/>
  <c r="M37" i="38"/>
  <c r="L37" i="38" s="1"/>
  <c r="B37" i="38" s="1"/>
  <c r="D22" i="54"/>
  <c r="O37" i="64"/>
  <c r="O33" i="43"/>
  <c r="O35" i="43"/>
  <c r="O27" i="43"/>
  <c r="O20" i="43"/>
  <c r="O29" i="43"/>
  <c r="O23" i="43"/>
  <c r="O36" i="43"/>
  <c r="O28" i="43"/>
  <c r="O37" i="43"/>
  <c r="O34" i="43"/>
  <c r="O21" i="43"/>
  <c r="O31" i="43"/>
  <c r="O26" i="43"/>
  <c r="O24" i="43"/>
  <c r="O25" i="43"/>
  <c r="O30" i="43"/>
  <c r="O32" i="43"/>
  <c r="H26" i="31"/>
  <c r="I26" i="31" s="1"/>
  <c r="M67" i="26"/>
  <c r="M63" i="26"/>
  <c r="M64" i="26" l="1"/>
  <c r="M65" i="26"/>
  <c r="M83" i="26"/>
  <c r="L36" i="27"/>
  <c r="N83" i="26" s="1"/>
  <c r="N36" i="27"/>
  <c r="P83" i="26" s="1"/>
  <c r="M36" i="27"/>
  <c r="O83" i="26" s="1"/>
  <c r="M69" i="26"/>
  <c r="M70" i="26"/>
  <c r="M71" i="26"/>
  <c r="M72" i="26"/>
  <c r="O69" i="26"/>
  <c r="O71" i="26"/>
  <c r="O72" i="26"/>
  <c r="O70" i="26"/>
  <c r="L37" i="27"/>
  <c r="N37" i="27"/>
  <c r="M95" i="26"/>
  <c r="M94" i="26"/>
  <c r="G30" i="27" s="1"/>
  <c r="O95" i="26"/>
  <c r="C12" i="28" l="1"/>
  <c r="C35" i="28" s="1"/>
  <c r="S10" i="32" s="1"/>
  <c r="S20" i="32" s="1"/>
  <c r="N67" i="26"/>
  <c r="E12" i="28"/>
  <c r="J35" i="28" s="1"/>
  <c r="K35" i="28" s="1"/>
  <c r="K24" i="38" s="1"/>
  <c r="R42" i="68" s="1"/>
  <c r="N64" i="26"/>
  <c r="N63" i="26"/>
  <c r="O90" i="26"/>
  <c r="I28" i="27" s="1"/>
  <c r="N28" i="27" s="1"/>
  <c r="P47" i="26" s="1"/>
  <c r="Q83" i="26"/>
  <c r="R83" i="26"/>
  <c r="N65" i="26"/>
  <c r="N66" i="26"/>
  <c r="P65" i="26"/>
  <c r="P66" i="26"/>
  <c r="P64" i="26"/>
  <c r="P67" i="26"/>
  <c r="P63" i="26"/>
  <c r="O65" i="26"/>
  <c r="O67" i="26"/>
  <c r="O66" i="26"/>
  <c r="O64" i="26"/>
  <c r="O63" i="26"/>
  <c r="P72" i="26"/>
  <c r="P70" i="26"/>
  <c r="P69" i="26"/>
  <c r="P71" i="26"/>
  <c r="N69" i="26"/>
  <c r="N71" i="26"/>
  <c r="N70" i="26"/>
  <c r="N72" i="26"/>
  <c r="E35" i="28" l="1"/>
  <c r="E24" i="38" s="1"/>
  <c r="C24" i="38"/>
  <c r="D35" i="28"/>
  <c r="D24" i="38" s="1"/>
  <c r="D36" i="38" s="1"/>
  <c r="S10" i="42"/>
  <c r="S27" i="42" s="1"/>
  <c r="J24" i="38"/>
  <c r="N94" i="26"/>
  <c r="H30" i="27" s="1"/>
  <c r="S35" i="32"/>
  <c r="P91" i="26"/>
  <c r="J29" i="27" s="1"/>
  <c r="Q47" i="26"/>
  <c r="R47" i="26"/>
  <c r="M28" i="27"/>
  <c r="O47" i="26" s="1"/>
  <c r="K28" i="27"/>
  <c r="M47" i="26" s="1"/>
  <c r="L28" i="27"/>
  <c r="N47" i="26" s="1"/>
  <c r="R63" i="26"/>
  <c r="Q63" i="26"/>
  <c r="P94" i="26"/>
  <c r="J30" i="27" s="1"/>
  <c r="R67" i="26"/>
  <c r="Q67" i="26"/>
  <c r="R64" i="26"/>
  <c r="Q64" i="26"/>
  <c r="R66" i="26"/>
  <c r="Q66" i="26"/>
  <c r="Q65" i="26"/>
  <c r="R65" i="26"/>
  <c r="O94" i="26"/>
  <c r="I30" i="27" s="1"/>
  <c r="N95" i="26"/>
  <c r="D12" i="28"/>
  <c r="F35" i="28" s="1"/>
  <c r="Q71" i="26"/>
  <c r="R71" i="26"/>
  <c r="F12" i="28"/>
  <c r="L35" i="28" s="1"/>
  <c r="P95" i="26"/>
  <c r="R69" i="26"/>
  <c r="Q69" i="26"/>
  <c r="R70" i="26"/>
  <c r="Q70" i="26"/>
  <c r="Q72" i="26"/>
  <c r="R72" i="26"/>
  <c r="M35" i="64"/>
  <c r="D23" i="50"/>
  <c r="D25" i="53"/>
  <c r="S26" i="32"/>
  <c r="S38" i="32"/>
  <c r="S30" i="32"/>
  <c r="S37" i="32"/>
  <c r="S21" i="32"/>
  <c r="S28" i="32"/>
  <c r="S23" i="32"/>
  <c r="S33" i="32"/>
  <c r="S22" i="32"/>
  <c r="S24" i="32"/>
  <c r="S36" i="32"/>
  <c r="S29" i="32"/>
  <c r="S31" i="32"/>
  <c r="S32" i="32"/>
  <c r="S34" i="32"/>
  <c r="S25" i="32"/>
  <c r="S27" i="32"/>
  <c r="K36" i="38"/>
  <c r="J36" i="38" s="1"/>
  <c r="F35" i="64" l="1"/>
  <c r="K42" i="68"/>
  <c r="M42" i="68"/>
  <c r="S33" i="42"/>
  <c r="S20" i="42"/>
  <c r="S32" i="42"/>
  <c r="S23" i="42"/>
  <c r="S34" i="42"/>
  <c r="S25" i="42"/>
  <c r="S29" i="42"/>
  <c r="S30" i="42"/>
  <c r="S37" i="42"/>
  <c r="S35" i="42"/>
  <c r="S38" i="42"/>
  <c r="S24" i="42"/>
  <c r="S21" i="42"/>
  <c r="S22" i="42"/>
  <c r="H35" i="64"/>
  <c r="D24" i="51"/>
  <c r="E36" i="38"/>
  <c r="C36" i="38" s="1"/>
  <c r="S36" i="42"/>
  <c r="S31" i="42"/>
  <c r="S26" i="42"/>
  <c r="S28" i="42"/>
  <c r="R91" i="26"/>
  <c r="F52" i="27" s="1"/>
  <c r="Q91" i="26"/>
  <c r="E52" i="27" s="1"/>
  <c r="N91" i="26"/>
  <c r="H29" i="27" s="1"/>
  <c r="M91" i="26"/>
  <c r="G29" i="27" s="1"/>
  <c r="O91" i="26"/>
  <c r="I29" i="27" s="1"/>
  <c r="R94" i="26"/>
  <c r="Q94" i="26"/>
  <c r="M30" i="27"/>
  <c r="O68" i="26" s="1"/>
  <c r="N30" i="27"/>
  <c r="P68" i="26" s="1"/>
  <c r="K30" i="27"/>
  <c r="M68" i="26" s="1"/>
  <c r="L30" i="27"/>
  <c r="N68" i="26" s="1"/>
  <c r="S41" i="32"/>
  <c r="S39" i="32"/>
  <c r="G12" i="28"/>
  <c r="Q95" i="26"/>
  <c r="R95" i="26"/>
  <c r="H12" i="28"/>
  <c r="L24" i="38"/>
  <c r="N35" i="28"/>
  <c r="N24" i="38" s="1"/>
  <c r="D39" i="55" s="1"/>
  <c r="M35" i="28"/>
  <c r="O35" i="28"/>
  <c r="O24" i="38" s="1"/>
  <c r="P35" i="28"/>
  <c r="P24" i="38" s="1"/>
  <c r="P36" i="38" s="1"/>
  <c r="H35" i="28"/>
  <c r="H24" i="38" s="1"/>
  <c r="P42" i="68" s="1"/>
  <c r="I35" i="28"/>
  <c r="I24" i="38" s="1"/>
  <c r="D24" i="55" s="1"/>
  <c r="G35" i="28"/>
  <c r="G24" i="38" s="1"/>
  <c r="N42" i="68" s="1"/>
  <c r="F24" i="38"/>
  <c r="S10" i="41"/>
  <c r="U42" i="68" l="1"/>
  <c r="V42" i="68"/>
  <c r="S39" i="42"/>
  <c r="S40" i="42"/>
  <c r="N29" i="27"/>
  <c r="P52" i="26" s="1"/>
  <c r="L29" i="27"/>
  <c r="N52" i="26" s="1"/>
  <c r="G52" i="27"/>
  <c r="K29" i="27"/>
  <c r="M51" i="26" s="1"/>
  <c r="M29" i="27"/>
  <c r="O53" i="26" s="1"/>
  <c r="H52" i="27"/>
  <c r="N93" i="26"/>
  <c r="D11" i="28"/>
  <c r="F33" i="28" s="1"/>
  <c r="C11" i="28"/>
  <c r="C33" i="28" s="1"/>
  <c r="M93" i="26"/>
  <c r="P93" i="26"/>
  <c r="F11" i="28"/>
  <c r="L33" i="28" s="1"/>
  <c r="Q68" i="26"/>
  <c r="R68" i="26"/>
  <c r="O93" i="26"/>
  <c r="E11" i="28"/>
  <c r="J33" i="28" s="1"/>
  <c r="P35" i="64"/>
  <c r="D54" i="54"/>
  <c r="O36" i="38"/>
  <c r="D38" i="54"/>
  <c r="Q35" i="64"/>
  <c r="M24" i="38"/>
  <c r="T42" i="68" s="1"/>
  <c r="N8" i="43"/>
  <c r="N19" i="43" s="1"/>
  <c r="S29" i="41"/>
  <c r="S32" i="41"/>
  <c r="S38" i="41"/>
  <c r="S22" i="41"/>
  <c r="S34" i="41"/>
  <c r="S35" i="41"/>
  <c r="S28" i="41"/>
  <c r="S36" i="41"/>
  <c r="S25" i="41"/>
  <c r="S21" i="41"/>
  <c r="S31" i="41"/>
  <c r="S27" i="41"/>
  <c r="S20" i="41"/>
  <c r="S33" i="41"/>
  <c r="S24" i="41"/>
  <c r="S23" i="41"/>
  <c r="S37" i="41"/>
  <c r="S26" i="41"/>
  <c r="S30" i="41"/>
  <c r="N36" i="38"/>
  <c r="G24" i="51"/>
  <c r="G36" i="38"/>
  <c r="I35" i="64"/>
  <c r="I36" i="38"/>
  <c r="H36" i="38"/>
  <c r="K35" i="64"/>
  <c r="D23" i="52"/>
  <c r="M52" i="26" l="1"/>
  <c r="N50" i="26"/>
  <c r="N92" i="26" s="1"/>
  <c r="H31" i="27" s="1"/>
  <c r="N51" i="26"/>
  <c r="P51" i="26"/>
  <c r="Q51" i="26" s="1"/>
  <c r="N53" i="26"/>
  <c r="O52" i="26"/>
  <c r="M50" i="26"/>
  <c r="M92" i="26" s="1"/>
  <c r="G31" i="27" s="1"/>
  <c r="O51" i="26"/>
  <c r="P50" i="26"/>
  <c r="Q50" i="26" s="1"/>
  <c r="Q92" i="26" s="1"/>
  <c r="E53" i="27" s="1"/>
  <c r="O50" i="26"/>
  <c r="O92" i="26" s="1"/>
  <c r="I31" i="27" s="1"/>
  <c r="P53" i="26"/>
  <c r="Q53" i="26" s="1"/>
  <c r="M53" i="26"/>
  <c r="Q52" i="26"/>
  <c r="S40" i="41"/>
  <c r="R52" i="26"/>
  <c r="R51" i="26"/>
  <c r="R10" i="42"/>
  <c r="K33" i="28"/>
  <c r="K22" i="38" s="1"/>
  <c r="R39" i="68" s="1"/>
  <c r="J34" i="28"/>
  <c r="J22" i="38"/>
  <c r="G11" i="28"/>
  <c r="Q93" i="26"/>
  <c r="E33" i="28"/>
  <c r="E22" i="38" s="1"/>
  <c r="M39" i="68" s="1"/>
  <c r="C22" i="38"/>
  <c r="R10" i="32"/>
  <c r="R20" i="32" s="1"/>
  <c r="D33" i="28"/>
  <c r="D22" i="38" s="1"/>
  <c r="K39" i="68" s="1"/>
  <c r="G33" i="28"/>
  <c r="G22" i="38" s="1"/>
  <c r="N39" i="68" s="1"/>
  <c r="F22" i="38"/>
  <c r="R10" i="41"/>
  <c r="I33" i="28"/>
  <c r="I22" i="38" s="1"/>
  <c r="H33" i="28"/>
  <c r="H22" i="38" s="1"/>
  <c r="P39" i="68" s="1"/>
  <c r="F34" i="28"/>
  <c r="N33" i="28"/>
  <c r="N22" i="38" s="1"/>
  <c r="O33" i="28"/>
  <c r="O22" i="38" s="1"/>
  <c r="L34" i="28"/>
  <c r="M33" i="28"/>
  <c r="L22" i="38"/>
  <c r="P33" i="28"/>
  <c r="P22" i="38" s="1"/>
  <c r="P35" i="38" s="1"/>
  <c r="F36" i="38"/>
  <c r="S42" i="41"/>
  <c r="R93" i="26"/>
  <c r="H11" i="28"/>
  <c r="O35" i="64"/>
  <c r="M36" i="38"/>
  <c r="L36" i="38" s="1"/>
  <c r="D20" i="54"/>
  <c r="N21" i="43"/>
  <c r="N28" i="43"/>
  <c r="N23" i="43"/>
  <c r="N32" i="43"/>
  <c r="N25" i="43"/>
  <c r="N37" i="43"/>
  <c r="N36" i="43"/>
  <c r="N31" i="43"/>
  <c r="N26" i="43"/>
  <c r="N22" i="43"/>
  <c r="N24" i="43"/>
  <c r="N34" i="43"/>
  <c r="N20" i="43"/>
  <c r="N29" i="43"/>
  <c r="N27" i="43"/>
  <c r="N30" i="43"/>
  <c r="N35" i="43"/>
  <c r="N33" i="43"/>
  <c r="V39" i="68" l="1"/>
  <c r="U39" i="68"/>
  <c r="P92" i="26"/>
  <c r="J31" i="27" s="1"/>
  <c r="N31" i="27" s="1"/>
  <c r="P49" i="26" s="1"/>
  <c r="R53" i="26"/>
  <c r="R50" i="26"/>
  <c r="R92" i="26" s="1"/>
  <c r="F53" i="27" s="1"/>
  <c r="H53" i="27" s="1"/>
  <c r="N38" i="43"/>
  <c r="R35" i="32"/>
  <c r="N40" i="43"/>
  <c r="H34" i="28"/>
  <c r="H23" i="38" s="1"/>
  <c r="H35" i="38" s="1"/>
  <c r="R11" i="41"/>
  <c r="R32" i="41" s="1"/>
  <c r="F23" i="38"/>
  <c r="B36" i="38"/>
  <c r="K32" i="64"/>
  <c r="D21" i="52"/>
  <c r="H32" i="64"/>
  <c r="E35" i="38"/>
  <c r="D22" i="51"/>
  <c r="D22" i="55"/>
  <c r="I35" i="38"/>
  <c r="M22" i="38"/>
  <c r="T39" i="68" s="1"/>
  <c r="M8" i="43"/>
  <c r="M34" i="28"/>
  <c r="L23" i="38"/>
  <c r="O34" i="28"/>
  <c r="O23" i="38" s="1"/>
  <c r="G35" i="38"/>
  <c r="I32" i="64"/>
  <c r="G22" i="51"/>
  <c r="R11" i="42"/>
  <c r="R35" i="42" s="1"/>
  <c r="J23" i="38"/>
  <c r="K34" i="28"/>
  <c r="K23" i="38" s="1"/>
  <c r="P32" i="64"/>
  <c r="Q32" i="64"/>
  <c r="D51" i="54"/>
  <c r="D35" i="54"/>
  <c r="D21" i="50"/>
  <c r="D35" i="38"/>
  <c r="F32" i="64"/>
  <c r="D22" i="53"/>
  <c r="M32" i="64"/>
  <c r="D37" i="55"/>
  <c r="N35" i="38"/>
  <c r="R22" i="32"/>
  <c r="R23" i="32"/>
  <c r="R28" i="32"/>
  <c r="R31" i="32"/>
  <c r="R29" i="32"/>
  <c r="R37" i="32"/>
  <c r="R34" i="32"/>
  <c r="R30" i="32"/>
  <c r="R33" i="32"/>
  <c r="R24" i="32"/>
  <c r="R32" i="32"/>
  <c r="R27" i="32"/>
  <c r="R38" i="32"/>
  <c r="R26" i="32"/>
  <c r="R36" i="32"/>
  <c r="R25" i="32"/>
  <c r="R21" i="32"/>
  <c r="O35" i="38" l="1"/>
  <c r="V40" i="68"/>
  <c r="U40" i="68"/>
  <c r="K35" i="38"/>
  <c r="J35" i="38" s="1"/>
  <c r="R40" i="68"/>
  <c r="M31" i="27"/>
  <c r="R38" i="42"/>
  <c r="L31" i="27"/>
  <c r="N49" i="26" s="1"/>
  <c r="K31" i="27"/>
  <c r="R26" i="42"/>
  <c r="P48" i="26"/>
  <c r="R36" i="42"/>
  <c r="R28" i="42"/>
  <c r="R24" i="42"/>
  <c r="G53" i="27"/>
  <c r="Q49" i="26" s="1"/>
  <c r="R23" i="42"/>
  <c r="R49" i="26"/>
  <c r="R30" i="42"/>
  <c r="R26" i="41"/>
  <c r="R25" i="42"/>
  <c r="R33" i="42"/>
  <c r="R21" i="41"/>
  <c r="R27" i="41"/>
  <c r="R31" i="42"/>
  <c r="R20" i="42"/>
  <c r="R21" i="42"/>
  <c r="R32" i="42"/>
  <c r="R37" i="42"/>
  <c r="R27" i="42"/>
  <c r="R30" i="41"/>
  <c r="R38" i="41"/>
  <c r="R25" i="41"/>
  <c r="R36" i="41"/>
  <c r="R29" i="41"/>
  <c r="R23" i="41"/>
  <c r="R34" i="41"/>
  <c r="R35" i="41"/>
  <c r="O48" i="26"/>
  <c r="O49" i="26"/>
  <c r="M48" i="26"/>
  <c r="M49" i="26"/>
  <c r="P98" i="26"/>
  <c r="P88" i="26"/>
  <c r="F8" i="28"/>
  <c r="F14" i="28" s="1"/>
  <c r="F35" i="38"/>
  <c r="R28" i="41"/>
  <c r="R33" i="41"/>
  <c r="R31" i="41"/>
  <c r="R29" i="42"/>
  <c r="C35" i="38"/>
  <c r="R22" i="41"/>
  <c r="R37" i="41"/>
  <c r="R22" i="42"/>
  <c r="R34" i="42"/>
  <c r="R20" i="41"/>
  <c r="R24" i="41"/>
  <c r="D17" i="54"/>
  <c r="O32" i="64"/>
  <c r="R41" i="32"/>
  <c r="R39" i="32"/>
  <c r="P33" i="64"/>
  <c r="D52" i="54"/>
  <c r="D36" i="54"/>
  <c r="Q33" i="64"/>
  <c r="D23" i="53"/>
  <c r="M33" i="64"/>
  <c r="M9" i="43"/>
  <c r="M23" i="43" s="1"/>
  <c r="M23" i="38"/>
  <c r="Q48" i="26" l="1"/>
  <c r="M35" i="38"/>
  <c r="L35" i="38" s="1"/>
  <c r="T40" i="68"/>
  <c r="N48" i="26"/>
  <c r="R48" i="26"/>
  <c r="M19" i="43"/>
  <c r="R39" i="42"/>
  <c r="R40" i="41"/>
  <c r="C8" i="28"/>
  <c r="C21" i="28" s="1"/>
  <c r="M98" i="26"/>
  <c r="M88" i="26"/>
  <c r="N98" i="26"/>
  <c r="D8" i="28"/>
  <c r="F21" i="28" s="1"/>
  <c r="N88" i="26"/>
  <c r="H8" i="28"/>
  <c r="R98" i="26"/>
  <c r="R88" i="26"/>
  <c r="O98" i="26"/>
  <c r="R61" i="68" s="1"/>
  <c r="E8" i="28"/>
  <c r="J21" i="28" s="1"/>
  <c r="O88" i="26"/>
  <c r="Q98" i="26"/>
  <c r="T61" i="68" s="1"/>
  <c r="G8" i="28"/>
  <c r="Q88" i="26"/>
  <c r="R40" i="42"/>
  <c r="B35" i="38"/>
  <c r="R42" i="41"/>
  <c r="M32" i="43"/>
  <c r="M22" i="43"/>
  <c r="M24" i="43"/>
  <c r="M30" i="43"/>
  <c r="M36" i="43"/>
  <c r="M28" i="43"/>
  <c r="M26" i="43"/>
  <c r="M37" i="43"/>
  <c r="M35" i="43"/>
  <c r="M34" i="43"/>
  <c r="M31" i="43"/>
  <c r="M25" i="43"/>
  <c r="M27" i="43"/>
  <c r="M29" i="43"/>
  <c r="M21" i="43"/>
  <c r="M33" i="43"/>
  <c r="M20" i="43"/>
  <c r="D18" i="54"/>
  <c r="O33" i="64"/>
  <c r="U61" i="68" l="1"/>
  <c r="V61" i="68"/>
  <c r="N61" i="68"/>
  <c r="P61" i="68"/>
  <c r="M61" i="68"/>
  <c r="K61" i="68"/>
  <c r="M38" i="43"/>
  <c r="D62" i="54"/>
  <c r="D63" i="54"/>
  <c r="D45" i="55"/>
  <c r="Q43" i="64"/>
  <c r="P43" i="64"/>
  <c r="C17" i="31"/>
  <c r="H14" i="28"/>
  <c r="B17" i="31" s="1"/>
  <c r="G14" i="28"/>
  <c r="B15" i="31" s="1"/>
  <c r="M24" i="28"/>
  <c r="C15" i="31"/>
  <c r="G15" i="31" s="1"/>
  <c r="M22" i="28"/>
  <c r="O43" i="64"/>
  <c r="D61" i="54"/>
  <c r="C11" i="31"/>
  <c r="G11" i="31" s="1"/>
  <c r="D14" i="28"/>
  <c r="B11" i="31" s="1"/>
  <c r="F19" i="28"/>
  <c r="F20" i="28"/>
  <c r="D29" i="52"/>
  <c r="D44" i="55"/>
  <c r="I43" i="64"/>
  <c r="G30" i="51"/>
  <c r="K43" i="64"/>
  <c r="J19" i="28"/>
  <c r="J20" i="28"/>
  <c r="C14" i="31"/>
  <c r="G14" i="31" s="1"/>
  <c r="E14" i="28"/>
  <c r="B14" i="31" s="1"/>
  <c r="D29" i="50"/>
  <c r="H43" i="64"/>
  <c r="F43" i="64"/>
  <c r="D30" i="51"/>
  <c r="M43" i="64"/>
  <c r="D31" i="53"/>
  <c r="C19" i="28"/>
  <c r="C14" i="28"/>
  <c r="B9" i="31" s="1"/>
  <c r="C9" i="31"/>
  <c r="C20" i="28"/>
  <c r="M40" i="43"/>
  <c r="B20" i="31" l="1"/>
  <c r="B27" i="31" s="1"/>
  <c r="G9" i="31"/>
  <c r="C20" i="31"/>
  <c r="C27" i="31" s="1"/>
  <c r="G17" i="31"/>
  <c r="H17" i="31" s="1"/>
  <c r="I17" i="31" s="1"/>
  <c r="D21" i="28"/>
  <c r="D10" i="38" s="1"/>
  <c r="K19" i="68" s="1"/>
  <c r="K20" i="68" s="1"/>
  <c r="O9" i="32"/>
  <c r="O20" i="32" s="1"/>
  <c r="C10" i="38"/>
  <c r="E21" i="28"/>
  <c r="E10" i="38" s="1"/>
  <c r="M19" i="68" s="1"/>
  <c r="M20" i="68" s="1"/>
  <c r="K21" i="28"/>
  <c r="K10" i="38" s="1"/>
  <c r="R19" i="68" s="1"/>
  <c r="R20" i="68" s="1"/>
  <c r="J10" i="38"/>
  <c r="O9" i="42"/>
  <c r="D20" i="28"/>
  <c r="D9" i="38" s="1"/>
  <c r="K17" i="68" s="1"/>
  <c r="K18" i="68" s="1"/>
  <c r="N8" i="32"/>
  <c r="P8" i="32" s="1"/>
  <c r="E20" i="28"/>
  <c r="E9" i="38" s="1"/>
  <c r="M17" i="68" s="1"/>
  <c r="M18" i="68" s="1"/>
  <c r="C9" i="38"/>
  <c r="J9" i="38"/>
  <c r="K20" i="28"/>
  <c r="K9" i="38" s="1"/>
  <c r="R17" i="68" s="1"/>
  <c r="R18" i="68" s="1"/>
  <c r="N8" i="42"/>
  <c r="P8" i="42" s="1"/>
  <c r="N7" i="42"/>
  <c r="J8" i="38"/>
  <c r="K19" i="28"/>
  <c r="K8" i="38" s="1"/>
  <c r="R15" i="68" s="1"/>
  <c r="R16" i="68" s="1"/>
  <c r="I21" i="28"/>
  <c r="I10" i="38" s="1"/>
  <c r="D12" i="55" s="1"/>
  <c r="D13" i="55" s="1"/>
  <c r="O9" i="41"/>
  <c r="H21" i="28"/>
  <c r="H10" i="38" s="1"/>
  <c r="P19" i="68" s="1"/>
  <c r="P20" i="68" s="1"/>
  <c r="G21" i="28"/>
  <c r="G10" i="38" s="1"/>
  <c r="N19" i="68" s="1"/>
  <c r="N20" i="68" s="1"/>
  <c r="F10" i="38"/>
  <c r="M11" i="38"/>
  <c r="T22" i="68" s="1"/>
  <c r="T23" i="68" s="1"/>
  <c r="N22" i="28"/>
  <c r="N11" i="38" s="1"/>
  <c r="K7" i="43"/>
  <c r="O23" i="28"/>
  <c r="I20" i="28"/>
  <c r="I9" i="38" s="1"/>
  <c r="D10" i="55" s="1"/>
  <c r="D11" i="55" s="1"/>
  <c r="F9" i="38"/>
  <c r="N8" i="41"/>
  <c r="P8" i="41" s="1"/>
  <c r="H20" i="28"/>
  <c r="H9" i="38" s="1"/>
  <c r="P17" i="68" s="1"/>
  <c r="P18" i="68" s="1"/>
  <c r="G20" i="28"/>
  <c r="G9" i="38" s="1"/>
  <c r="N17" i="68" s="1"/>
  <c r="N18" i="68" s="1"/>
  <c r="F8" i="38"/>
  <c r="N7" i="41"/>
  <c r="H19" i="28"/>
  <c r="H8" i="38" s="1"/>
  <c r="P15" i="68" s="1"/>
  <c r="P16" i="68" s="1"/>
  <c r="G19" i="28"/>
  <c r="G8" i="38" s="1"/>
  <c r="N15" i="68" s="1"/>
  <c r="N16" i="68" s="1"/>
  <c r="I19" i="28"/>
  <c r="I8" i="38" s="1"/>
  <c r="K8" i="43"/>
  <c r="L8" i="43" s="1"/>
  <c r="K9" i="43"/>
  <c r="L9" i="43" s="1"/>
  <c r="N24" i="28"/>
  <c r="N13" i="38" s="1"/>
  <c r="D32" i="55" s="1"/>
  <c r="M13" i="38"/>
  <c r="T24" i="68" s="1"/>
  <c r="E19" i="28"/>
  <c r="E8" i="38" s="1"/>
  <c r="M15" i="68" s="1"/>
  <c r="M16" i="68" s="1"/>
  <c r="D19" i="28"/>
  <c r="D8" i="38" s="1"/>
  <c r="K15" i="68" s="1"/>
  <c r="K16" i="68" s="1"/>
  <c r="N7" i="32"/>
  <c r="N20" i="32" s="1"/>
  <c r="C8" i="38"/>
  <c r="K19" i="43" l="1"/>
  <c r="N35" i="32"/>
  <c r="O35" i="32"/>
  <c r="D8" i="55"/>
  <c r="D9" i="55" s="1"/>
  <c r="I31" i="38"/>
  <c r="I38" i="38" s="1"/>
  <c r="K12" i="64"/>
  <c r="K13" i="64" s="1"/>
  <c r="D11" i="52"/>
  <c r="D12" i="52" s="1"/>
  <c r="H12" i="64"/>
  <c r="H13" i="64" s="1"/>
  <c r="D12" i="51"/>
  <c r="D13" i="51" s="1"/>
  <c r="O37" i="41"/>
  <c r="O23" i="41"/>
  <c r="O32" i="41"/>
  <c r="O30" i="41"/>
  <c r="O38" i="41"/>
  <c r="O25" i="41"/>
  <c r="O22" i="41"/>
  <c r="O34" i="41"/>
  <c r="O28" i="41"/>
  <c r="O21" i="41"/>
  <c r="O33" i="41"/>
  <c r="O24" i="41"/>
  <c r="O31" i="41"/>
  <c r="O26" i="41"/>
  <c r="Q9" i="41"/>
  <c r="O20" i="41"/>
  <c r="O35" i="41"/>
  <c r="O27" i="41"/>
  <c r="O29" i="41"/>
  <c r="O36" i="41"/>
  <c r="H10" i="64"/>
  <c r="D10" i="51"/>
  <c r="D11" i="51" s="1"/>
  <c r="O34" i="32"/>
  <c r="O26" i="32"/>
  <c r="O38" i="32"/>
  <c r="O25" i="32"/>
  <c r="O36" i="32"/>
  <c r="O37" i="32"/>
  <c r="O29" i="32"/>
  <c r="O33" i="32"/>
  <c r="O31" i="32"/>
  <c r="O22" i="32"/>
  <c r="O30" i="32"/>
  <c r="Q9" i="32"/>
  <c r="Q20" i="32" s="1"/>
  <c r="O28" i="32"/>
  <c r="O32" i="32"/>
  <c r="O21" i="32"/>
  <c r="O23" i="32"/>
  <c r="O27" i="32"/>
  <c r="O24" i="32"/>
  <c r="H8" i="64"/>
  <c r="H9" i="64" s="1"/>
  <c r="D8" i="51"/>
  <c r="D9" i="51" s="1"/>
  <c r="E31" i="38"/>
  <c r="E38" i="38" s="1"/>
  <c r="K25" i="43"/>
  <c r="K31" i="43"/>
  <c r="K21" i="43"/>
  <c r="K30" i="43"/>
  <c r="K27" i="43"/>
  <c r="K24" i="43"/>
  <c r="K33" i="43"/>
  <c r="K22" i="43"/>
  <c r="K37" i="43"/>
  <c r="K20" i="43"/>
  <c r="K29" i="43"/>
  <c r="K32" i="43"/>
  <c r="K35" i="43"/>
  <c r="K36" i="43"/>
  <c r="K34" i="43"/>
  <c r="K26" i="43"/>
  <c r="K23" i="43"/>
  <c r="K28" i="43"/>
  <c r="L7" i="43"/>
  <c r="K31" i="38"/>
  <c r="M8" i="64"/>
  <c r="M9" i="64" s="1"/>
  <c r="D7" i="53"/>
  <c r="D8" i="53" s="1"/>
  <c r="F12" i="64"/>
  <c r="F13" i="64" s="1"/>
  <c r="D11" i="50"/>
  <c r="D12" i="50" s="1"/>
  <c r="F8" i="64"/>
  <c r="F9" i="64" s="1"/>
  <c r="D7" i="50"/>
  <c r="D8" i="50" s="1"/>
  <c r="D31" i="38"/>
  <c r="O24" i="28"/>
  <c r="O12" i="38"/>
  <c r="P23" i="28"/>
  <c r="P12" i="38" s="1"/>
  <c r="D10" i="54"/>
  <c r="O17" i="64"/>
  <c r="D30" i="55"/>
  <c r="D31" i="55" s="1"/>
  <c r="N31" i="38"/>
  <c r="N38" i="38" s="1"/>
  <c r="F10" i="64"/>
  <c r="F11" i="64" s="1"/>
  <c r="D9" i="50"/>
  <c r="D10" i="50" s="1"/>
  <c r="N26" i="32"/>
  <c r="N36" i="32"/>
  <c r="N33" i="32"/>
  <c r="N29" i="32"/>
  <c r="N30" i="32"/>
  <c r="N24" i="32"/>
  <c r="N28" i="32"/>
  <c r="N31" i="32"/>
  <c r="P7" i="32"/>
  <c r="P20" i="32" s="1"/>
  <c r="N21" i="32"/>
  <c r="N34" i="32"/>
  <c r="N38" i="32"/>
  <c r="N23" i="32"/>
  <c r="N27" i="32"/>
  <c r="N22" i="32"/>
  <c r="N37" i="32"/>
  <c r="N32" i="32"/>
  <c r="N25" i="32"/>
  <c r="I10" i="64"/>
  <c r="G10" i="51"/>
  <c r="G11" i="51" s="1"/>
  <c r="D8" i="54"/>
  <c r="D9" i="54" s="1"/>
  <c r="O15" i="64"/>
  <c r="O16" i="64" s="1"/>
  <c r="M31" i="38"/>
  <c r="N24" i="42"/>
  <c r="N26" i="42"/>
  <c r="N25" i="42"/>
  <c r="N21" i="42"/>
  <c r="N27" i="42"/>
  <c r="N32" i="42"/>
  <c r="N36" i="42"/>
  <c r="N37" i="42"/>
  <c r="N38" i="42"/>
  <c r="N33" i="42"/>
  <c r="N30" i="42"/>
  <c r="N22" i="42"/>
  <c r="N31" i="42"/>
  <c r="N23" i="42"/>
  <c r="N34" i="42"/>
  <c r="N29" i="42"/>
  <c r="P7" i="42"/>
  <c r="N35" i="42"/>
  <c r="N28" i="42"/>
  <c r="N20" i="42"/>
  <c r="O28" i="42"/>
  <c r="O24" i="42"/>
  <c r="O33" i="42"/>
  <c r="O35" i="42"/>
  <c r="O30" i="42"/>
  <c r="O36" i="42"/>
  <c r="O26" i="42"/>
  <c r="O21" i="42"/>
  <c r="O20" i="42"/>
  <c r="O31" i="42"/>
  <c r="O27" i="42"/>
  <c r="O22" i="42"/>
  <c r="Q9" i="42"/>
  <c r="O23" i="42"/>
  <c r="O25" i="42"/>
  <c r="O34" i="42"/>
  <c r="O37" i="42"/>
  <c r="O32" i="42"/>
  <c r="O38" i="42"/>
  <c r="O29" i="42"/>
  <c r="I8" i="64"/>
  <c r="I9" i="64" s="1"/>
  <c r="G31" i="38"/>
  <c r="G8" i="51"/>
  <c r="G9" i="51" s="1"/>
  <c r="N35" i="41"/>
  <c r="N28" i="41"/>
  <c r="N36" i="41"/>
  <c r="N31" i="41"/>
  <c r="N26" i="41"/>
  <c r="N25" i="41"/>
  <c r="N37" i="41"/>
  <c r="N22" i="41"/>
  <c r="N38" i="41"/>
  <c r="N20" i="41"/>
  <c r="N29" i="41"/>
  <c r="P7" i="41"/>
  <c r="N34" i="41"/>
  <c r="N21" i="41"/>
  <c r="N27" i="41"/>
  <c r="N24" i="41"/>
  <c r="N33" i="41"/>
  <c r="N30" i="41"/>
  <c r="N32" i="41"/>
  <c r="N23" i="41"/>
  <c r="D9" i="52"/>
  <c r="D10" i="52" s="1"/>
  <c r="K10" i="64"/>
  <c r="D7" i="52"/>
  <c r="D8" i="52" s="1"/>
  <c r="H31" i="38"/>
  <c r="H38" i="38" s="1"/>
  <c r="K8" i="64"/>
  <c r="K9" i="64" s="1"/>
  <c r="G12" i="51"/>
  <c r="G13" i="51" s="1"/>
  <c r="I12" i="64"/>
  <c r="I13" i="64" s="1"/>
  <c r="D9" i="53"/>
  <c r="D10" i="53" s="1"/>
  <c r="M10" i="64"/>
  <c r="M12" i="64"/>
  <c r="M13" i="64" s="1"/>
  <c r="D11" i="53"/>
  <c r="D12" i="53" s="1"/>
  <c r="G20" i="31"/>
  <c r="G27" i="31" s="1"/>
  <c r="V26" i="68" l="1"/>
  <c r="U26" i="68"/>
  <c r="L19" i="43"/>
  <c r="R19" i="43"/>
  <c r="N39" i="42"/>
  <c r="K38" i="43"/>
  <c r="N40" i="41"/>
  <c r="O40" i="42"/>
  <c r="O39" i="42"/>
  <c r="P35" i="32"/>
  <c r="Y35" i="32" s="1"/>
  <c r="Q35" i="32"/>
  <c r="O42" i="41"/>
  <c r="O40" i="41"/>
  <c r="P23" i="41"/>
  <c r="Y23" i="41" s="1"/>
  <c r="P20" i="41"/>
  <c r="P34" i="41"/>
  <c r="Y34" i="41" s="1"/>
  <c r="P31" i="41"/>
  <c r="Y31" i="41" s="1"/>
  <c r="P30" i="41"/>
  <c r="Y30" i="41" s="1"/>
  <c r="P38" i="41"/>
  <c r="Y38" i="41" s="1"/>
  <c r="P36" i="41"/>
  <c r="Y36" i="41" s="1"/>
  <c r="P33" i="41"/>
  <c r="Y33" i="41" s="1"/>
  <c r="P28" i="41"/>
  <c r="Y28" i="41" s="1"/>
  <c r="P22" i="41"/>
  <c r="Y22" i="41" s="1"/>
  <c r="P35" i="41"/>
  <c r="Y35" i="41" s="1"/>
  <c r="P21" i="41"/>
  <c r="Y21" i="41" s="1"/>
  <c r="P32" i="41"/>
  <c r="Y32" i="41" s="1"/>
  <c r="P29" i="41"/>
  <c r="Y29" i="41" s="1"/>
  <c r="P37" i="41"/>
  <c r="Y37" i="41" s="1"/>
  <c r="P25" i="41"/>
  <c r="Y25" i="41" s="1"/>
  <c r="P27" i="41"/>
  <c r="Y27" i="41" s="1"/>
  <c r="P26" i="41"/>
  <c r="Y26" i="41" s="1"/>
  <c r="P24" i="41"/>
  <c r="Y24" i="41" s="1"/>
  <c r="M38" i="38"/>
  <c r="M11" i="64"/>
  <c r="Q22" i="41"/>
  <c r="Q20" i="41"/>
  <c r="Q23" i="41"/>
  <c r="Q24" i="41"/>
  <c r="Q26" i="41"/>
  <c r="Q33" i="41"/>
  <c r="Q31" i="41"/>
  <c r="Q29" i="41"/>
  <c r="Q27" i="41"/>
  <c r="Q34" i="41"/>
  <c r="Q28" i="41"/>
  <c r="Q37" i="41"/>
  <c r="Q25" i="41"/>
  <c r="Q36" i="41"/>
  <c r="Q35" i="41"/>
  <c r="Q21" i="41"/>
  <c r="Q38" i="41"/>
  <c r="Q32" i="41"/>
  <c r="Q30" i="41"/>
  <c r="N42" i="41"/>
  <c r="D28" i="54"/>
  <c r="Q19" i="64"/>
  <c r="D44" i="54"/>
  <c r="P19" i="64"/>
  <c r="H11" i="64"/>
  <c r="P42" i="28"/>
  <c r="Q52" i="28" s="1"/>
  <c r="Q54" i="28" s="1"/>
  <c r="Q37" i="28" s="1"/>
  <c r="P24" i="28"/>
  <c r="P13" i="38" s="1"/>
  <c r="P31" i="38" s="1"/>
  <c r="P38" i="38" s="1"/>
  <c r="O13" i="38"/>
  <c r="N40" i="42"/>
  <c r="P34" i="32"/>
  <c r="Y34" i="32" s="1"/>
  <c r="P21" i="32"/>
  <c r="Y21" i="32" s="1"/>
  <c r="P26" i="32"/>
  <c r="Y26" i="32" s="1"/>
  <c r="P22" i="32"/>
  <c r="Y22" i="32" s="1"/>
  <c r="P23" i="32"/>
  <c r="Y23" i="32" s="1"/>
  <c r="P33" i="32"/>
  <c r="Y33" i="32" s="1"/>
  <c r="P31" i="32"/>
  <c r="Y31" i="32" s="1"/>
  <c r="P37" i="32"/>
  <c r="Y37" i="32" s="1"/>
  <c r="P38" i="32"/>
  <c r="Y38" i="32" s="1"/>
  <c r="P25" i="32"/>
  <c r="Y25" i="32" s="1"/>
  <c r="P24" i="32"/>
  <c r="Y24" i="32" s="1"/>
  <c r="P29" i="32"/>
  <c r="Y29" i="32" s="1"/>
  <c r="P27" i="32"/>
  <c r="Y27" i="32" s="1"/>
  <c r="P30" i="32"/>
  <c r="Y30" i="32" s="1"/>
  <c r="P36" i="32"/>
  <c r="Y36" i="32" s="1"/>
  <c r="P28" i="32"/>
  <c r="Y28" i="32" s="1"/>
  <c r="P32" i="32"/>
  <c r="Y32" i="32" s="1"/>
  <c r="F31" i="38"/>
  <c r="G38" i="38"/>
  <c r="I11" i="64"/>
  <c r="C31" i="38"/>
  <c r="D38" i="38"/>
  <c r="K40" i="43"/>
  <c r="K11" i="64"/>
  <c r="K38" i="38"/>
  <c r="J31" i="38"/>
  <c r="Q25" i="42"/>
  <c r="Q32" i="42"/>
  <c r="Q33" i="42"/>
  <c r="Q34" i="42"/>
  <c r="Q27" i="42"/>
  <c r="Q35" i="42"/>
  <c r="Q26" i="42"/>
  <c r="Q23" i="42"/>
  <c r="Q30" i="42"/>
  <c r="Q36" i="42"/>
  <c r="Q38" i="42"/>
  <c r="Q37" i="42"/>
  <c r="Q29" i="42"/>
  <c r="Q21" i="42"/>
  <c r="Q28" i="42"/>
  <c r="Q31" i="42"/>
  <c r="Q22" i="42"/>
  <c r="Q24" i="42"/>
  <c r="Q20" i="42"/>
  <c r="P33" i="42"/>
  <c r="Y33" i="42" s="1"/>
  <c r="P32" i="42"/>
  <c r="Y32" i="42" s="1"/>
  <c r="P26" i="42"/>
  <c r="Y26" i="42" s="1"/>
  <c r="P22" i="42"/>
  <c r="Y22" i="42" s="1"/>
  <c r="P28" i="42"/>
  <c r="Y28" i="42" s="1"/>
  <c r="P34" i="42"/>
  <c r="Y34" i="42" s="1"/>
  <c r="P29" i="42"/>
  <c r="Y29" i="42" s="1"/>
  <c r="P35" i="42"/>
  <c r="Y35" i="42" s="1"/>
  <c r="P21" i="42"/>
  <c r="Y21" i="42" s="1"/>
  <c r="P27" i="42"/>
  <c r="Y27" i="42" s="1"/>
  <c r="P23" i="42"/>
  <c r="Y23" i="42" s="1"/>
  <c r="P25" i="42"/>
  <c r="Y25" i="42" s="1"/>
  <c r="P37" i="42"/>
  <c r="Y37" i="42" s="1"/>
  <c r="P31" i="42"/>
  <c r="Y31" i="42" s="1"/>
  <c r="P24" i="42"/>
  <c r="Y24" i="42" s="1"/>
  <c r="P36" i="42"/>
  <c r="Y36" i="42" s="1"/>
  <c r="P20" i="42"/>
  <c r="P30" i="42"/>
  <c r="Y30" i="42" s="1"/>
  <c r="P38" i="42"/>
  <c r="Y38" i="42" s="1"/>
  <c r="N41" i="32"/>
  <c r="N39" i="32"/>
  <c r="L29" i="43"/>
  <c r="L24" i="43"/>
  <c r="R20" i="43"/>
  <c r="L27" i="43"/>
  <c r="R35" i="43"/>
  <c r="L34" i="43"/>
  <c r="L23" i="43"/>
  <c r="R28" i="43"/>
  <c r="L35" i="43"/>
  <c r="R29" i="43"/>
  <c r="L32" i="43"/>
  <c r="R32" i="43"/>
  <c r="R22" i="43"/>
  <c r="R21" i="43"/>
  <c r="R23" i="43"/>
  <c r="L28" i="43"/>
  <c r="R33" i="43"/>
  <c r="R25" i="43"/>
  <c r="L31" i="43"/>
  <c r="R36" i="43"/>
  <c r="L33" i="43"/>
  <c r="L30" i="43"/>
  <c r="L37" i="43"/>
  <c r="R24" i="43"/>
  <c r="L20" i="43"/>
  <c r="R37" i="43"/>
  <c r="R34" i="43"/>
  <c r="R31" i="43"/>
  <c r="R27" i="43"/>
  <c r="L21" i="43"/>
  <c r="S21" i="43" s="1"/>
  <c r="L22" i="43"/>
  <c r="R30" i="43"/>
  <c r="R26" i="43"/>
  <c r="L36" i="43"/>
  <c r="L25" i="43"/>
  <c r="L26" i="43"/>
  <c r="O39" i="32"/>
  <c r="O41" i="32"/>
  <c r="Q27" i="32"/>
  <c r="Q37" i="32"/>
  <c r="Q21" i="32"/>
  <c r="Q22" i="32"/>
  <c r="Q24" i="32"/>
  <c r="Q38" i="32"/>
  <c r="Q32" i="32"/>
  <c r="Q29" i="32"/>
  <c r="Q34" i="32"/>
  <c r="Q33" i="32"/>
  <c r="Q36" i="32"/>
  <c r="Q23" i="32"/>
  <c r="Q25" i="32"/>
  <c r="Q28" i="32"/>
  <c r="Q26" i="32"/>
  <c r="Q31" i="32"/>
  <c r="Q30" i="32"/>
  <c r="V27" i="68" l="1"/>
  <c r="U27" i="68"/>
  <c r="P39" i="42"/>
  <c r="S20" i="43"/>
  <c r="S36" i="43"/>
  <c r="Q40" i="41"/>
  <c r="S22" i="43"/>
  <c r="S37" i="43"/>
  <c r="S34" i="43"/>
  <c r="S28" i="43"/>
  <c r="S25" i="43"/>
  <c r="L38" i="43"/>
  <c r="S35" i="43"/>
  <c r="S29" i="43"/>
  <c r="S30" i="43"/>
  <c r="S23" i="43"/>
  <c r="Q39" i="42"/>
  <c r="P40" i="41"/>
  <c r="L40" i="43"/>
  <c r="S19" i="43"/>
  <c r="S24" i="43"/>
  <c r="Q40" i="42"/>
  <c r="Q26" i="38"/>
  <c r="D29" i="54"/>
  <c r="D45" i="54"/>
  <c r="Q20" i="64"/>
  <c r="P20" i="64"/>
  <c r="P41" i="32"/>
  <c r="P39" i="32"/>
  <c r="Y20" i="32"/>
  <c r="S26" i="43"/>
  <c r="O31" i="38"/>
  <c r="S33" i="43"/>
  <c r="S31" i="43"/>
  <c r="S32" i="43"/>
  <c r="S27" i="43"/>
  <c r="Q42" i="41"/>
  <c r="P42" i="41"/>
  <c r="Y20" i="41"/>
  <c r="Q39" i="32"/>
  <c r="Q41" i="32"/>
  <c r="P40" i="42"/>
  <c r="Y20" i="42"/>
  <c r="U70" i="68" l="1"/>
  <c r="U66" i="68"/>
  <c r="U65" i="68"/>
  <c r="V73" i="68"/>
  <c r="V69" i="68"/>
  <c r="V76" i="68"/>
  <c r="U73" i="68"/>
  <c r="U69" i="68"/>
  <c r="U72" i="68"/>
  <c r="U68" i="68"/>
  <c r="V71" i="68"/>
  <c r="V74" i="68"/>
  <c r="U74" i="68"/>
  <c r="V66" i="68"/>
  <c r="U76" i="68"/>
  <c r="V72" i="68"/>
  <c r="V68" i="68"/>
  <c r="V75" i="68"/>
  <c r="U75" i="68"/>
  <c r="V67" i="68"/>
  <c r="U71" i="68"/>
  <c r="U67" i="68"/>
  <c r="V70" i="68"/>
  <c r="S38" i="43"/>
  <c r="Y40" i="42"/>
  <c r="D14" i="31" s="1"/>
  <c r="E14" i="31" s="1"/>
  <c r="H14" i="31" s="1"/>
  <c r="I14" i="31" s="1"/>
  <c r="Y39" i="42"/>
  <c r="Y42" i="41"/>
  <c r="D11" i="31" s="1"/>
  <c r="E11" i="31" s="1"/>
  <c r="H11" i="31" s="1"/>
  <c r="I11" i="31" s="1"/>
  <c r="Y40" i="41"/>
  <c r="Y39" i="32"/>
  <c r="Y41" i="32"/>
  <c r="D9" i="31" s="1"/>
  <c r="E9" i="31" s="1"/>
  <c r="Q31" i="38"/>
  <c r="Q38" i="38" s="1"/>
  <c r="Q39" i="64"/>
  <c r="O38" i="38"/>
  <c r="S40" i="43"/>
  <c r="D15" i="31" s="1"/>
  <c r="E15" i="31" s="1"/>
  <c r="F32" i="38" l="1"/>
  <c r="F38" i="38" s="1"/>
  <c r="J32" i="38"/>
  <c r="J38" i="38" s="1"/>
  <c r="Q47" i="64"/>
  <c r="Q49" i="64"/>
  <c r="Q58" i="64"/>
  <c r="Q57" i="64"/>
  <c r="Q51" i="64"/>
  <c r="Q50" i="64"/>
  <c r="Q56" i="64"/>
  <c r="Q55" i="64"/>
  <c r="Q54" i="64"/>
  <c r="Q53" i="64"/>
  <c r="Q52" i="64"/>
  <c r="Q48" i="64"/>
  <c r="E20" i="31"/>
  <c r="E27" i="31" s="1"/>
  <c r="H9" i="31"/>
  <c r="C32" i="38"/>
  <c r="H15" i="31"/>
  <c r="I15" i="31" s="1"/>
  <c r="L32" i="38"/>
  <c r="L31" i="38"/>
  <c r="B32" i="38" l="1"/>
  <c r="C38" i="38"/>
  <c r="H20" i="31"/>
  <c r="I9" i="31"/>
  <c r="L38" i="38"/>
  <c r="B31" i="38"/>
  <c r="B38" i="38" l="1"/>
  <c r="H27" i="31"/>
  <c r="I27" i="31" s="1"/>
  <c r="G36" i="31" s="1"/>
  <c r="I20" i="31"/>
</calcChain>
</file>

<file path=xl/sharedStrings.xml><?xml version="1.0" encoding="utf-8"?>
<sst xmlns="http://schemas.openxmlformats.org/spreadsheetml/2006/main" count="2636" uniqueCount="709">
  <si>
    <t>DISTRIBUTIENETBEHEERDER :</t>
  </si>
  <si>
    <t>ONDERNEMINGSNUMMER:</t>
  </si>
  <si>
    <t>In het kader van volgende reguleringsperiode:</t>
  </si>
  <si>
    <t>van</t>
  </si>
  <si>
    <t>tot en met</t>
  </si>
  <si>
    <t>Berekende of overgenomen waarde waarvoor dus geen manuele input vereist is</t>
  </si>
  <si>
    <t>Distributienetbeheerder:</t>
  </si>
  <si>
    <t>AMR</t>
  </si>
  <si>
    <t>MMR</t>
  </si>
  <si>
    <t>Toeslagen</t>
  </si>
  <si>
    <t>Exogeen</t>
  </si>
  <si>
    <t>Totaal</t>
  </si>
  <si>
    <t>kW</t>
  </si>
  <si>
    <t>Reactieve energie</t>
  </si>
  <si>
    <t>kWh</t>
  </si>
  <si>
    <t>Netverliezen</t>
  </si>
  <si>
    <t>EUR</t>
  </si>
  <si>
    <t>Eenheid</t>
  </si>
  <si>
    <t>ODV</t>
  </si>
  <si>
    <t>Cel die geen toepassing vindt onder de huidige tariefstructuur</t>
  </si>
  <si>
    <t>%</t>
  </si>
  <si>
    <t>Tarief voor het beheer van het elektrisch systeem</t>
  </si>
  <si>
    <t>Endogeen</t>
  </si>
  <si>
    <t>Totaal budget</t>
  </si>
  <si>
    <t>Metertype</t>
  </si>
  <si>
    <t>€</t>
  </si>
  <si>
    <t>Afschrijvingen</t>
  </si>
  <si>
    <t>Afschrijvingen TRHS-net</t>
  </si>
  <si>
    <t>Afschrijvingen TRHS-aansluitingen en -meters</t>
  </si>
  <si>
    <t>Afschrijvingen MS-net</t>
  </si>
  <si>
    <t>Afschrijvingen TRLS-net</t>
  </si>
  <si>
    <t>Afschrijvingen LS-net</t>
  </si>
  <si>
    <t>Afschrijvingen OV-net</t>
  </si>
  <si>
    <t>Afschrijvingen rollend materieel, meubilair en andere uitrusting</t>
  </si>
  <si>
    <t>Afschrijvingen systeembeheer (telebeheer en dispatching)</t>
  </si>
  <si>
    <t>Waardeverminderingen op voorraden, bestellingen in uitvoering en handelsvorderingen</t>
  </si>
  <si>
    <t>Exploitatie TRHS-net</t>
  </si>
  <si>
    <t>Exploitatie TRHS-aansluitingen en -meters</t>
  </si>
  <si>
    <t>Exploitatie MS-net</t>
  </si>
  <si>
    <t>Exploitatie MS-aansluitingen en -meters</t>
  </si>
  <si>
    <t>Exploitatie TRLS-net</t>
  </si>
  <si>
    <t>Exploitatie TRLS-aansluitingen en -meters</t>
  </si>
  <si>
    <t>Exploitatie LS-net</t>
  </si>
  <si>
    <t>Exploitatie LS-aansluitingen en -meters</t>
  </si>
  <si>
    <t>Exploitatie systeembeheer</t>
  </si>
  <si>
    <t>Exploitatie OV-net</t>
  </si>
  <si>
    <t>Marge</t>
  </si>
  <si>
    <t>Exploitatie andere</t>
  </si>
  <si>
    <t>Kapitaalkostenvergoedingen</t>
  </si>
  <si>
    <t>Exploitatie databeheer</t>
  </si>
  <si>
    <t>Exploitatie netverliezen</t>
  </si>
  <si>
    <t>Transmissie</t>
  </si>
  <si>
    <t>Tarief voor het beheer en de ontwikkeling van de netwerkinfrastructuur - maandpiek voor afname</t>
  </si>
  <si>
    <t>Tarief voor het beheer en de ontwikkeling van de netwerkinfrastructuur - jaarpiek voor afname</t>
  </si>
  <si>
    <t>Tarief voor het beheer en de ontwikkeling van de netwerkinfrastructuur - ter beschikking gesteld vermogen voor afname</t>
  </si>
  <si>
    <t>Tarief voor de aanvullende afname of injectie van reactieve energie</t>
  </si>
  <si>
    <t>Tarief voor de vermogensreserves en de blackstart</t>
  </si>
  <si>
    <t>Tarief voor de marktintegratie</t>
  </si>
  <si>
    <t>Aansluitingstarieven</t>
  </si>
  <si>
    <t>Tarief voor openbare dienstverplichtingen voor de financiering van de steunmaatregelen voor hernieuwebare energie en warmtekrachtkoppeling in Vlaanderen</t>
  </si>
  <si>
    <t>Tarief voor openbare dienstverplichtingen voor de financiering van de maatregelen ter bevordering van rationeel energieverbruik in Vlaanderen</t>
  </si>
  <si>
    <t>Kapitaalkostenvergoeding voor regulatoire saldi</t>
  </si>
  <si>
    <t>Kapitaalkostenvergoeding voor RAB en NBK</t>
  </si>
  <si>
    <t>Afbouw van regulatoire saldi</t>
  </si>
  <si>
    <t>Afbouw van regulatoire saldi binnen de tariefcomponent 'Netgebruik'</t>
  </si>
  <si>
    <t>Afbouw van regulatoire saldi binnen de tariefcomponent 'Openbare dienstverplichtingen'</t>
  </si>
  <si>
    <t>Afbouw van regulatoire saldi binnen de tariefcomponent 'Toeslagen'</t>
  </si>
  <si>
    <t>Afbouw van regulatoire saldi binnen de tariefcomponent 'Overige transmissie'</t>
  </si>
  <si>
    <t>Netto-operationele kosten</t>
  </si>
  <si>
    <t>Kosten inzake beschermde, gedropte klanten</t>
  </si>
  <si>
    <t>Kosten inzake niet-beschermde, gedropte klanten</t>
  </si>
  <si>
    <t>Kosten inzake warmtekrachtkoppeling</t>
  </si>
  <si>
    <t>Kosten inzake steuncertificaten</t>
  </si>
  <si>
    <t>Exploitatie reactieve energie</t>
  </si>
  <si>
    <t>Niet-gekapitaliseerde pensioenen</t>
  </si>
  <si>
    <t>Gemeentelijke retributies</t>
  </si>
  <si>
    <t>GRB-heffingen</t>
  </si>
  <si>
    <t>Tariefcomponent</t>
  </si>
  <si>
    <t>Netgebruik</t>
  </si>
  <si>
    <t>Databeheer</t>
  </si>
  <si>
    <t>Openbare dienstverplichtingen</t>
  </si>
  <si>
    <t>Overige transmissie</t>
  </si>
  <si>
    <t>Subactiviteit</t>
  </si>
  <si>
    <t>Distributie</t>
  </si>
  <si>
    <t>Direct</t>
  </si>
  <si>
    <t>Indirect</t>
  </si>
  <si>
    <t>Capaciteitsgerelateerd</t>
  </si>
  <si>
    <t>Niet-capaciteitsgerelateerd</t>
  </si>
  <si>
    <t>Kostenindeling 1</t>
  </si>
  <si>
    <t>Kostenindeling 2</t>
  </si>
  <si>
    <t>Kostenindeling 3</t>
  </si>
  <si>
    <t>Kostenindeling 4</t>
  </si>
  <si>
    <t>Niet-recurrente opbrengsten</t>
  </si>
  <si>
    <t>Niet-recurrente kosten</t>
  </si>
  <si>
    <t>Kostenrubriek</t>
  </si>
  <si>
    <t>Verdeelsleutel</t>
  </si>
  <si>
    <t>Totale budget</t>
  </si>
  <si>
    <t>Afnameklanten op TRHS</t>
  </si>
  <si>
    <t>Afnameklanten op TRLS</t>
  </si>
  <si>
    <t>Injectieklanten op TRLS</t>
  </si>
  <si>
    <t>Injectieklanten op LS</t>
  </si>
  <si>
    <t>Relatief aandeel</t>
  </si>
  <si>
    <t>Klantengroep</t>
  </si>
  <si>
    <t>x</t>
  </si>
  <si>
    <t>Tariefdrager</t>
  </si>
  <si>
    <r>
      <t>kVA</t>
    </r>
    <r>
      <rPr>
        <vertAlign val="subscript"/>
        <sz val="11"/>
        <color indexed="8"/>
        <rFont val="Calibri"/>
        <family val="2"/>
      </rPr>
      <t>TV</t>
    </r>
  </si>
  <si>
    <r>
      <t>kW</t>
    </r>
    <r>
      <rPr>
        <vertAlign val="subscript"/>
        <sz val="11"/>
        <color indexed="8"/>
        <rFont val="Calibri"/>
        <family val="2"/>
      </rPr>
      <t>MP</t>
    </r>
  </si>
  <si>
    <r>
      <t>kW</t>
    </r>
    <r>
      <rPr>
        <vertAlign val="subscript"/>
        <sz val="11"/>
        <color indexed="8"/>
        <rFont val="Calibri"/>
        <family val="2"/>
      </rPr>
      <t>MP-TV</t>
    </r>
  </si>
  <si>
    <r>
      <t>kW</t>
    </r>
    <r>
      <rPr>
        <vertAlign val="subscript"/>
        <sz val="11"/>
        <color indexed="8"/>
        <rFont val="Calibri"/>
        <family val="2"/>
      </rPr>
      <t>gemMP</t>
    </r>
  </si>
  <si>
    <r>
      <t>vast</t>
    </r>
    <r>
      <rPr>
        <vertAlign val="subscript"/>
        <sz val="11"/>
        <color indexed="8"/>
        <rFont val="Calibri"/>
        <family val="2"/>
      </rPr>
      <t>net</t>
    </r>
  </si>
  <si>
    <r>
      <t>kWh</t>
    </r>
    <r>
      <rPr>
        <vertAlign val="subscript"/>
        <sz val="11"/>
        <color indexed="8"/>
        <rFont val="Calibri"/>
        <family val="2"/>
      </rPr>
      <t>afn</t>
    </r>
  </si>
  <si>
    <r>
      <t>kWh</t>
    </r>
    <r>
      <rPr>
        <vertAlign val="subscript"/>
        <sz val="11"/>
        <color indexed="8"/>
        <rFont val="Calibri"/>
        <family val="2"/>
      </rPr>
      <t>inj</t>
    </r>
  </si>
  <si>
    <r>
      <t>kVArh</t>
    </r>
    <r>
      <rPr>
        <vertAlign val="subscript"/>
        <sz val="11"/>
        <color indexed="8"/>
        <rFont val="Calibri"/>
        <family val="2"/>
      </rPr>
      <t>cap</t>
    </r>
  </si>
  <si>
    <r>
      <t>kVArh</t>
    </r>
    <r>
      <rPr>
        <vertAlign val="subscript"/>
        <sz val="11"/>
        <color indexed="8"/>
        <rFont val="Calibri"/>
        <family val="2"/>
      </rPr>
      <t>ind</t>
    </r>
  </si>
  <si>
    <t>Afnameklanten op LS met piekmeting</t>
  </si>
  <si>
    <t>Afnameklanten op LS met klassieke meter</t>
  </si>
  <si>
    <t>Prosumenten met terugdraaiende teller op LS</t>
  </si>
  <si>
    <t xml:space="preserve"> </t>
  </si>
  <si>
    <t>Totaal rekenvolume</t>
  </si>
  <si>
    <t>EAN</t>
  </si>
  <si>
    <t>Rekenvolume</t>
  </si>
  <si>
    <t>Productiemeters</t>
  </si>
  <si>
    <t>DM - MR1</t>
  </si>
  <si>
    <t>DM - MR3</t>
  </si>
  <si>
    <t>KM</t>
  </si>
  <si>
    <t>Maximum</t>
  </si>
  <si>
    <t>Niet-geïnd</t>
  </si>
  <si>
    <t>Afnameklanten op &gt;26-36 kV met AV ≥ 5MVA</t>
  </si>
  <si>
    <t>Afnameklanten op &gt;26-36 kV met AV &lt; 5MVA</t>
  </si>
  <si>
    <t>Budget Netgebruik</t>
  </si>
  <si>
    <t>Budget netgebruik</t>
  </si>
  <si>
    <t>Tariefverhoging</t>
  </si>
  <si>
    <t>Vóór toepassing van het maximumtarief</t>
  </si>
  <si>
    <t>Na toepassing van het maximumtarief</t>
  </si>
  <si>
    <t>Niet-geïnd budget (€)</t>
  </si>
  <si>
    <t>Na tariefverhoging</t>
  </si>
  <si>
    <t>Tariefverhoging (%)</t>
  </si>
  <si>
    <t>Na toepassing
van het maximumtarief</t>
  </si>
  <si>
    <t>∆ Budget Netgebruik</t>
  </si>
  <si>
    <t>DOELZOEKEN</t>
  </si>
  <si>
    <t>Max Injectie</t>
  </si>
  <si>
    <t>EAN-code</t>
  </si>
  <si>
    <t>Netgebruik (OST)</t>
  </si>
  <si>
    <r>
      <t>kVA</t>
    </r>
    <r>
      <rPr>
        <vertAlign val="subscript"/>
        <sz val="11"/>
        <color indexed="8"/>
        <rFont val="Calibri"/>
        <family val="2"/>
      </rPr>
      <t>TV</t>
    </r>
  </si>
  <si>
    <r>
      <t>kW</t>
    </r>
    <r>
      <rPr>
        <vertAlign val="subscript"/>
        <sz val="11"/>
        <color indexed="8"/>
        <rFont val="Calibri"/>
        <family val="2"/>
      </rPr>
      <t>MP</t>
    </r>
  </si>
  <si>
    <r>
      <t>kW</t>
    </r>
    <r>
      <rPr>
        <vertAlign val="subscript"/>
        <sz val="11"/>
        <color indexed="8"/>
        <rFont val="Calibri"/>
        <family val="2"/>
      </rPr>
      <t>MP-TV</t>
    </r>
  </si>
  <si>
    <r>
      <t>kWh</t>
    </r>
    <r>
      <rPr>
        <vertAlign val="subscript"/>
        <sz val="11"/>
        <color indexed="8"/>
        <rFont val="Calibri"/>
        <family val="2"/>
      </rPr>
      <t>afn</t>
    </r>
  </si>
  <si>
    <t>Tarieven</t>
  </si>
  <si>
    <r>
      <t>kVA</t>
    </r>
    <r>
      <rPr>
        <vertAlign val="subscript"/>
        <sz val="11"/>
        <color indexed="8"/>
        <rFont val="Calibri"/>
        <family val="2"/>
      </rPr>
      <t>omvormer</t>
    </r>
  </si>
  <si>
    <t>Kosten inzake REG-acties</t>
  </si>
  <si>
    <t>Afschrijvingen immateriële activa</t>
  </si>
  <si>
    <t>Afschrijvingen administratieve gebouwen</t>
  </si>
  <si>
    <r>
      <t>kW</t>
    </r>
    <r>
      <rPr>
        <vertAlign val="subscript"/>
        <sz val="11"/>
        <color indexed="8"/>
        <rFont val="Calibri"/>
        <family val="2"/>
      </rPr>
      <t>omv</t>
    </r>
  </si>
  <si>
    <t>kWh_zonder TRHS</t>
  </si>
  <si>
    <t>TARIEFVOORSTEL PERIODIEKE DISTRIBUTIENETTARIEVEN</t>
  </si>
  <si>
    <t>RICHTLIJNEN BIJ HET INVULLEN EN DE INTERPRETATIE VAN HET RAPPORTERINGSMODEL</t>
  </si>
  <si>
    <t>LEGENDE CELKLEUREN</t>
  </si>
  <si>
    <t>OVERZICHT TABELLEN</t>
  </si>
  <si>
    <t>Assumpties</t>
  </si>
  <si>
    <t>TABEL 1: Budget per tariefcomponent voor gereguleerde activiteit 'elektriciteit'</t>
  </si>
  <si>
    <t>Tariefcomponten</t>
  </si>
  <si>
    <t>Budget voor exogene kosten</t>
  </si>
  <si>
    <t>Budget voor endogene kosten</t>
  </si>
  <si>
    <t>Exploitatie algemene diensten</t>
  </si>
  <si>
    <t>TABEL 2: Budget per energierichting, spanningsniveau en klantengroep voor gereguleerde activiteit 'elektriciteit'</t>
  </si>
  <si>
    <t>Verdeelsleutels</t>
  </si>
  <si>
    <t>Rekenvolumes</t>
  </si>
  <si>
    <t>VERDEELSLEUTELS</t>
  </si>
  <si>
    <t>Absolute waarde</t>
  </si>
  <si>
    <t>REKENVOLUMES</t>
  </si>
  <si>
    <t>Tarifaire bepalingen</t>
  </si>
  <si>
    <t>Deze bepaling geldt voor de afnameklanten op TRHS.</t>
  </si>
  <si>
    <t>Overeenkomstig paragraaf 11.5.3 punt 4 uit de tariefmethodologie 2021-2024.</t>
  </si>
  <si>
    <t>Overeenkomstig paragraaf 11.5.3 punt 6 uit de tariefmethodologie 2021-2024.</t>
  </si>
  <si>
    <t>Overeenkomstig paragraaf 11.5.3 punt 7 uit de tariefmethodologie 2021-2024.</t>
  </si>
  <si>
    <t>Deze bepaling geldt voor de afnameklanten op LS met piekmeting.</t>
  </si>
  <si>
    <t>Overeenkomstig paragraaf 11.5.3 punt 8 uit de tariefmethodologie 2021-2024.</t>
  </si>
  <si>
    <t>Deze bepaling geldt voor de afnameklanten op LS met klassieke meter.</t>
  </si>
  <si>
    <t>Overeenkomstig paragraaf 11.5.3 punt 13 uit de tariefmethodologie 2021-2024.</t>
  </si>
  <si>
    <t>Overeenkomstig paragraaf 11.5.3 punt 14 uit de tariefmethodologie 2021-2024.</t>
  </si>
  <si>
    <t>ASSUMPTIES</t>
  </si>
  <si>
    <t>Korting op ODV-tarief voor exclusief nacht :</t>
  </si>
  <si>
    <t>Met hierin:</t>
  </si>
  <si>
    <t>Het budget dat distributienetbeheerder i voor jaar j toewijst aan de tariefcomponent 'Netgebruik' en de klantengroep k;</t>
  </si>
  <si>
    <t>Deze tarifaire bepalingen kunnen ook in formulevorm weergegeven worden:</t>
  </si>
  <si>
    <t>Door de onderste twee gelijkheden te integreren in de bovenste gelijkheid, bekomen we:</t>
  </si>
  <si>
    <t>En als we vervolgens het (bij aanvang ongekende) tarief afzonderen:</t>
  </si>
  <si>
    <t>Bijkomende toelichting</t>
  </si>
  <si>
    <t>75% EAN + 25% kWh</t>
  </si>
  <si>
    <t>Hulplijnen</t>
  </si>
  <si>
    <t>Kosten 'Netgebruik' excl. afbouw van regulatoire saldi, kapitaalkostenvergoeding (voor gegarandeerde activa) en marge</t>
  </si>
  <si>
    <t>kVArh</t>
  </si>
  <si>
    <t xml:space="preserve">     kWh-tarieven</t>
  </si>
  <si>
    <t xml:space="preserve">Gem. omvormervermogen (in kW)     </t>
  </si>
  <si>
    <t xml:space="preserve">Gem. productievermogen (in kWp)     </t>
  </si>
  <si>
    <t xml:space="preserve">Gem. productie (in kWh)     </t>
  </si>
  <si>
    <t xml:space="preserve">Gem. injectie (in kWh)     </t>
  </si>
  <si>
    <t xml:space="preserve">Totaal bedrag (in euro)    </t>
  </si>
  <si>
    <t xml:space="preserve">Aanvullend capaciteitstarief (in euro/kW)    </t>
  </si>
  <si>
    <t>Maximumtarieven</t>
  </si>
  <si>
    <t>Totaal injectieklanten</t>
  </si>
  <si>
    <t>Totaal afnameklanten</t>
  </si>
  <si>
    <t>Totaal afname- en injectieklanten</t>
  </si>
  <si>
    <t>Injectieklanten op TRHS</t>
  </si>
  <si>
    <t>Doelzoeken op:</t>
  </si>
  <si>
    <t xml:space="preserve"> = 100%</t>
  </si>
  <si>
    <t>Te wijzigen waarde:</t>
  </si>
  <si>
    <r>
      <t>kVA</t>
    </r>
    <r>
      <rPr>
        <vertAlign val="subscript"/>
        <sz val="11"/>
        <color indexed="8"/>
        <rFont val="Calibri"/>
        <family val="2"/>
      </rPr>
      <t>TV</t>
    </r>
  </si>
  <si>
    <t>Noodvoeding?</t>
  </si>
  <si>
    <t>Netgebruik (excl. OST)</t>
  </si>
  <si>
    <r>
      <t>kWh</t>
    </r>
    <r>
      <rPr>
        <vertAlign val="subscript"/>
        <sz val="11"/>
        <color indexed="8"/>
        <rFont val="Calibri"/>
        <family val="2"/>
      </rPr>
      <t>afn</t>
    </r>
    <r>
      <rPr>
        <vertAlign val="subscript"/>
        <sz val="11"/>
        <color indexed="8"/>
        <rFont val="Calibri"/>
        <family val="2"/>
      </rPr>
      <t xml:space="preserve"> XN</t>
    </r>
  </si>
  <si>
    <r>
      <t>kWh</t>
    </r>
    <r>
      <rPr>
        <vertAlign val="subscript"/>
        <sz val="11"/>
        <color indexed="8"/>
        <rFont val="Calibri"/>
        <family val="2"/>
      </rPr>
      <t>afn</t>
    </r>
    <r>
      <rPr>
        <vertAlign val="subscript"/>
        <sz val="11"/>
        <color indexed="8"/>
        <rFont val="Calibri"/>
        <family val="2"/>
      </rPr>
      <t xml:space="preserve"> NU SU</t>
    </r>
  </si>
  <si>
    <r>
      <t>kWh</t>
    </r>
    <r>
      <rPr>
        <vertAlign val="subscript"/>
        <sz val="11"/>
        <color indexed="8"/>
        <rFont val="Calibri"/>
        <family val="2"/>
      </rPr>
      <t>afn</t>
    </r>
    <r>
      <rPr>
        <vertAlign val="subscript"/>
        <sz val="11"/>
        <color theme="1"/>
        <rFont val="Calibri"/>
        <family val="2"/>
        <scheme val="minor"/>
      </rPr>
      <t xml:space="preserve"> XN</t>
    </r>
  </si>
  <si>
    <t>TABEL 3: Tarieven vóór toepassing van de maximumtarieven</t>
  </si>
  <si>
    <t>TABEL 3: Tarieven vóór de toepassing van de maximumtarieven</t>
  </si>
  <si>
    <t>TABEL 4: Tarieven na de toepassing van de maximumtarieven</t>
  </si>
  <si>
    <t>Overeenkomstig paragraaf 10.2.2.1.1 uit de tariefmethodologie 2021-2024.</t>
  </si>
  <si>
    <t>ELEKTRICITEIT</t>
  </si>
  <si>
    <t xml:space="preserve">Periodieke distributienettarieven voor het jaar: </t>
  </si>
  <si>
    <t>Aangezien het betreffende tarief telkens in de teller als in de noemer voorkomt, hebben we het in bovenstaande gelijkheden laten wegvallen. Op deze manier kan het aandeel van elke tariefdrager eenduidig bepaald worden, onafhankelijk van het betreffende tarief.</t>
  </si>
  <si>
    <t>Afschrijvingen TRLS-aansluitingen en -meters</t>
  </si>
  <si>
    <t>Afschrijvingen LS-aansluitingen en -meters</t>
  </si>
  <si>
    <t>Saldi</t>
  </si>
  <si>
    <t>Afname (x)</t>
  </si>
  <si>
    <t>Injectie (x)</t>
  </si>
  <si>
    <t>Afname (#)</t>
  </si>
  <si>
    <t>Injectie (#)</t>
  </si>
  <si>
    <t>Afname (%)</t>
  </si>
  <si>
    <t>Injectie (%)</t>
  </si>
  <si>
    <t>Energierichting</t>
  </si>
  <si>
    <t>CAPEX</t>
  </si>
  <si>
    <t>Enkel_Afname</t>
  </si>
  <si>
    <t>TRHS (x)</t>
  </si>
  <si>
    <t>MS (x)</t>
  </si>
  <si>
    <t>TRLS (x)</t>
  </si>
  <si>
    <t>LS (x)</t>
  </si>
  <si>
    <t>TRHS (#)</t>
  </si>
  <si>
    <t>MS (#)</t>
  </si>
  <si>
    <t>TRLS (#)</t>
  </si>
  <si>
    <t>LS (#)</t>
  </si>
  <si>
    <t>TRHS (%)</t>
  </si>
  <si>
    <t>MS (%)</t>
  </si>
  <si>
    <t>TRLS (%)</t>
  </si>
  <si>
    <t>LS (%)</t>
  </si>
  <si>
    <t>Spanningsniveau</t>
  </si>
  <si>
    <t>Afschrijvingen databeheer</t>
  </si>
  <si>
    <t>Toeslag voor de taksen op masten en sleuven in Vlaanderen</t>
  </si>
  <si>
    <t>Afschrijvingen MS-aansluitingen en -meters</t>
  </si>
  <si>
    <t>Verdeelsleutel 
energierichtingen</t>
  </si>
  <si>
    <t>Verdeelsleutel 
spanningsniveaus 
voor afname</t>
  </si>
  <si>
    <t>75%EAN+25%kWh_ODV</t>
  </si>
  <si>
    <t>75%EAN+25%kWh_TOE</t>
  </si>
  <si>
    <t>Afschrijvingen &gt;26-36kV-net</t>
  </si>
  <si>
    <t>Afschrijvingen &gt;26-36kV-aansluitingen en -meters</t>
  </si>
  <si>
    <t>Exploitatie &gt;26-36kV-net</t>
  </si>
  <si>
    <t>Exploitatie &gt;26-36kV-aansluitingen en -meters</t>
  </si>
  <si>
    <t>Het deel van bovenvermeld budget dat distributienetbeheerder i voor jaar j aan klantengroep k aanrekent op basis van de maandpiek. Dit deel is gelijk aan het betreffende tarief (op maandbasis) vermenigvuldigd met het rekenvolume;</t>
  </si>
  <si>
    <t>Het deel van bovenvermeld budget dat distributienetbeheerder i voor jaar j aan klantengroep k aanrekent op basis van het verschil tussen de maandpiek en het toegangsvermogen. Dit deel is gelijk aan het betreffende tarief (op maandbasis) vermenigvuldigd met het rekenvolume.</t>
  </si>
  <si>
    <t>Injectieklanten op &gt;26-36kV</t>
  </si>
  <si>
    <t>Deze bepaling geldt voor de afnameklanten op TRHS, &gt;26-36kV, 26-1kV en TRLS.</t>
  </si>
  <si>
    <t>Afnameklanten op 26-1kV</t>
  </si>
  <si>
    <t>Doorvoer op 26-1kV</t>
  </si>
  <si>
    <t>Injectieklanten op 26-1kV</t>
  </si>
  <si>
    <r>
      <t>kWh</t>
    </r>
    <r>
      <rPr>
        <vertAlign val="subscript"/>
        <sz val="11"/>
        <color theme="1"/>
        <rFont val="Calibri"/>
        <family val="2"/>
      </rPr>
      <t>afn</t>
    </r>
  </si>
  <si>
    <t>DM-MR1</t>
  </si>
  <si>
    <t>DM-MR3</t>
  </si>
  <si>
    <t>Afnameklanten 
op TRHS (∑)</t>
  </si>
  <si>
    <t>Afnameklanten 
op MS (∑)</t>
  </si>
  <si>
    <t>Afnameklanten op TRLS (∑)</t>
  </si>
  <si>
    <t>Injectieklanten (∑)</t>
  </si>
  <si>
    <t>Afnameklanten (∑)</t>
  </si>
  <si>
    <t>In te vullen door de distributienetbeheerder</t>
  </si>
  <si>
    <t>In te vullen door de VREG</t>
  </si>
  <si>
    <r>
      <t>Procentueel aandeel van kVA</t>
    </r>
    <r>
      <rPr>
        <vertAlign val="subscript"/>
        <sz val="11"/>
        <color indexed="8"/>
        <rFont val="Calibri"/>
        <family val="2"/>
      </rPr>
      <t>TV</t>
    </r>
    <r>
      <rPr>
        <sz val="11"/>
        <color theme="1"/>
        <rFont val="Calibri"/>
        <family val="2"/>
        <scheme val="minor"/>
      </rPr>
      <t xml:space="preserve"> in budget 'Netgebruik' (excl. kW</t>
    </r>
    <r>
      <rPr>
        <vertAlign val="subscript"/>
        <sz val="11"/>
        <color theme="1"/>
        <rFont val="Calibri"/>
        <family val="2"/>
        <scheme val="minor"/>
      </rPr>
      <t>MP-TV</t>
    </r>
    <r>
      <rPr>
        <sz val="11"/>
        <color theme="1"/>
        <rFont val="Calibri"/>
        <family val="2"/>
        <scheme val="minor"/>
      </rPr>
      <t>)</t>
    </r>
  </si>
  <si>
    <r>
      <t>Procentueel aandeel van kW</t>
    </r>
    <r>
      <rPr>
        <vertAlign val="subscript"/>
        <sz val="11"/>
        <color indexed="8"/>
        <rFont val="Calibri"/>
        <family val="2"/>
      </rPr>
      <t>MP</t>
    </r>
    <r>
      <rPr>
        <sz val="11"/>
        <color theme="1"/>
        <rFont val="Calibri"/>
        <family val="2"/>
        <scheme val="minor"/>
      </rPr>
      <t xml:space="preserve"> in budget 'Netgebruik' (excl. kW</t>
    </r>
    <r>
      <rPr>
        <vertAlign val="subscript"/>
        <sz val="11"/>
        <color theme="1"/>
        <rFont val="Calibri"/>
        <family val="2"/>
        <scheme val="minor"/>
      </rPr>
      <t>MP-TV</t>
    </r>
    <r>
      <rPr>
        <sz val="11"/>
        <color theme="1"/>
        <rFont val="Calibri"/>
        <family val="2"/>
        <scheme val="minor"/>
      </rPr>
      <t>)</t>
    </r>
  </si>
  <si>
    <r>
      <t>Aandeel van kW</t>
    </r>
    <r>
      <rPr>
        <vertAlign val="subscript"/>
        <sz val="11"/>
        <color indexed="8"/>
        <rFont val="Calibri"/>
        <family val="2"/>
      </rPr>
      <t xml:space="preserve">MP </t>
    </r>
    <r>
      <rPr>
        <sz val="11"/>
        <color indexed="8"/>
        <rFont val="Calibri"/>
        <family val="2"/>
      </rPr>
      <t>t.o.v. aandeel van</t>
    </r>
    <r>
      <rPr>
        <sz val="11"/>
        <color theme="1"/>
        <rFont val="Calibri"/>
        <family val="2"/>
        <scheme val="minor"/>
      </rPr>
      <t xml:space="preserve"> kVA</t>
    </r>
    <r>
      <rPr>
        <vertAlign val="subscript"/>
        <sz val="11"/>
        <color indexed="8"/>
        <rFont val="Calibri"/>
        <family val="2"/>
      </rPr>
      <t>TV</t>
    </r>
    <r>
      <rPr>
        <sz val="11"/>
        <color theme="1"/>
        <rFont val="Calibri"/>
        <family val="2"/>
        <scheme val="minor"/>
      </rPr>
      <t xml:space="preserve"> in budget 'Netgebruik' (excl. kW</t>
    </r>
    <r>
      <rPr>
        <vertAlign val="subscript"/>
        <sz val="11"/>
        <color theme="1"/>
        <rFont val="Calibri"/>
        <family val="2"/>
        <scheme val="minor"/>
      </rPr>
      <t>MP-TV</t>
    </r>
    <r>
      <rPr>
        <sz val="11"/>
        <color theme="1"/>
        <rFont val="Calibri"/>
        <family val="2"/>
        <scheme val="minor"/>
      </rPr>
      <t>)</t>
    </r>
  </si>
  <si>
    <r>
      <t>Procentueel aandeel van kW</t>
    </r>
    <r>
      <rPr>
        <vertAlign val="subscript"/>
        <sz val="11"/>
        <color indexed="8"/>
        <rFont val="Calibri"/>
        <family val="2"/>
      </rPr>
      <t>gem MP</t>
    </r>
    <r>
      <rPr>
        <sz val="11"/>
        <color theme="1"/>
        <rFont val="Calibri"/>
        <family val="2"/>
        <scheme val="minor"/>
      </rPr>
      <t xml:space="preserve"> in budget 'Netgebruik'</t>
    </r>
  </si>
  <si>
    <r>
      <t>Procentueel aandeel van kWh</t>
    </r>
    <r>
      <rPr>
        <vertAlign val="subscript"/>
        <sz val="11"/>
        <color theme="1"/>
        <rFont val="Calibri"/>
        <family val="2"/>
      </rPr>
      <t>afn</t>
    </r>
    <r>
      <rPr>
        <sz val="11"/>
        <color theme="1"/>
        <rFont val="Calibri"/>
        <family val="2"/>
        <scheme val="minor"/>
      </rPr>
      <t xml:space="preserve"> in budget 'Netgebruik'</t>
    </r>
  </si>
  <si>
    <r>
      <t>Tarief voor vast</t>
    </r>
    <r>
      <rPr>
        <vertAlign val="subscript"/>
        <sz val="11"/>
        <color theme="1"/>
        <rFont val="Calibri"/>
        <family val="2"/>
        <scheme val="minor"/>
      </rPr>
      <t>net</t>
    </r>
    <r>
      <rPr>
        <sz val="11"/>
        <color theme="1"/>
        <rFont val="Calibri"/>
        <family val="2"/>
        <scheme val="minor"/>
      </rPr>
      <t xml:space="preserve"> t.o.v. tarief voor kW</t>
    </r>
    <r>
      <rPr>
        <vertAlign val="subscript"/>
        <sz val="11"/>
        <color indexed="8"/>
        <rFont val="Calibri"/>
        <family val="2"/>
      </rPr>
      <t>gemMP</t>
    </r>
  </si>
  <si>
    <t>Consumptieprijsindex voor juli 2020</t>
  </si>
  <si>
    <t>Dimensionering van omvormer- t.o.v. piekvermogen</t>
  </si>
  <si>
    <t>Vollasturen / benuttiging</t>
  </si>
  <si>
    <t>Zelfconsumptie</t>
  </si>
  <si>
    <t>Factor inzake doorvoertarieven</t>
  </si>
  <si>
    <t>Maximale toename t.o.v. budget in 2020</t>
  </si>
  <si>
    <t>Budget 'Toeslagen' in 2020 toegewezen aan afnameklanten op TRHS</t>
  </si>
  <si>
    <t>Budget 'ODV' in 2020 toegewezen aan afnameklanten op TRHS</t>
  </si>
  <si>
    <t>Op basis van deze gelijkheid kunnen we het procentueel aandeel van elke tariefdrager bepalen ten opzichte van het budget dat de distributienetbeheerder aan de tariefcomponent 'Netgebruik' en de afzonderlijke niet-LS klantengroepen toewijst:</t>
  </si>
  <si>
    <t>I. Met betrekking tot de tariefcomponent 'Netgebruik'</t>
  </si>
  <si>
    <t>I. Gelijkgestelde of één-op-één gerelateerde tarieven</t>
  </si>
  <si>
    <r>
      <t>II. Procentueel aandeel van kVA</t>
    </r>
    <r>
      <rPr>
        <b/>
        <u/>
        <vertAlign val="subscript"/>
        <sz val="11"/>
        <color theme="1"/>
        <rFont val="Calibri"/>
        <family val="2"/>
        <scheme val="minor"/>
      </rPr>
      <t>TV</t>
    </r>
    <r>
      <rPr>
        <b/>
        <u/>
        <sz val="11"/>
        <color theme="1"/>
        <rFont val="Calibri"/>
        <family val="2"/>
        <scheme val="minor"/>
      </rPr>
      <t>, kW</t>
    </r>
    <r>
      <rPr>
        <b/>
        <u/>
        <vertAlign val="subscript"/>
        <sz val="11"/>
        <color theme="1"/>
        <rFont val="Calibri"/>
        <family val="2"/>
      </rPr>
      <t>MP</t>
    </r>
    <r>
      <rPr>
        <b/>
        <u/>
        <sz val="11"/>
        <color theme="1"/>
        <rFont val="Calibri"/>
        <family val="2"/>
        <scheme val="minor"/>
      </rPr>
      <t xml:space="preserve"> en kW</t>
    </r>
    <r>
      <rPr>
        <b/>
        <u/>
        <vertAlign val="subscript"/>
        <sz val="11"/>
        <color theme="1"/>
        <rFont val="Calibri"/>
        <family val="2"/>
        <scheme val="minor"/>
      </rPr>
      <t>MP-TV</t>
    </r>
    <r>
      <rPr>
        <b/>
        <u/>
        <sz val="11"/>
        <color theme="1"/>
        <rFont val="Calibri"/>
        <family val="2"/>
        <scheme val="minor"/>
      </rPr>
      <t xml:space="preserve"> in budget 'Netgebruik' toegewezen aan niet-LS klanten</t>
    </r>
  </si>
  <si>
    <t>Zie de toelichting II hieronder.</t>
  </si>
  <si>
    <t>Afnameklanten op LS met piekmeting (∑)</t>
  </si>
  <si>
    <t>Afnameklanten op TRHS (∑)</t>
  </si>
  <si>
    <t>Afnameklanten op MS (∑)</t>
  </si>
  <si>
    <t>Afnameklanten op LS (∑)</t>
  </si>
  <si>
    <r>
      <t>kWh</t>
    </r>
    <r>
      <rPr>
        <vertAlign val="subscript"/>
        <sz val="11"/>
        <color indexed="8"/>
        <rFont val="Calibri"/>
        <family val="2"/>
      </rPr>
      <t>afn</t>
    </r>
    <r>
      <rPr>
        <vertAlign val="subscript"/>
        <sz val="11"/>
        <color theme="1"/>
        <rFont val="Calibri"/>
        <family val="2"/>
        <scheme val="minor"/>
      </rPr>
      <t xml:space="preserve"> - XN</t>
    </r>
  </si>
  <si>
    <r>
      <t>kWh</t>
    </r>
    <r>
      <rPr>
        <vertAlign val="subscript"/>
        <sz val="11"/>
        <color indexed="8"/>
        <rFont val="Calibri"/>
        <family val="2"/>
      </rPr>
      <t>afn</t>
    </r>
    <r>
      <rPr>
        <vertAlign val="subscript"/>
        <sz val="11"/>
        <color theme="1"/>
        <rFont val="Calibri"/>
        <family val="2"/>
        <scheme val="minor"/>
      </rPr>
      <t xml:space="preserve"> - NU</t>
    </r>
  </si>
  <si>
    <r>
      <t>kWh</t>
    </r>
    <r>
      <rPr>
        <vertAlign val="subscript"/>
        <sz val="11"/>
        <color theme="1"/>
        <rFont val="Calibri"/>
        <family val="2"/>
      </rPr>
      <t>afn - SU</t>
    </r>
  </si>
  <si>
    <t>SynchronePiek_TRHS</t>
  </si>
  <si>
    <t>SynchronePiek_MS</t>
  </si>
  <si>
    <t>SynchronePiek_TRLS</t>
  </si>
  <si>
    <r>
      <t>kW</t>
    </r>
    <r>
      <rPr>
        <vertAlign val="subscript"/>
        <sz val="11"/>
        <color theme="1"/>
        <rFont val="Calibri"/>
        <family val="2"/>
      </rPr>
      <t>gemMP</t>
    </r>
  </si>
  <si>
    <r>
      <t>Afnameklanten op TRLS (</t>
    </r>
    <r>
      <rPr>
        <sz val="11"/>
        <rFont val="Calibri"/>
        <family val="2"/>
      </rPr>
      <t>∑</t>
    </r>
    <r>
      <rPr>
        <sz val="8.8000000000000007"/>
        <rFont val="Calibri"/>
        <family val="2"/>
      </rPr>
      <t>)</t>
    </r>
  </si>
  <si>
    <t>Kapitaalkostenvergoeding voor steuncertificatenvoorraad</t>
  </si>
  <si>
    <t>Verdeelsleutel 
klantengroepen 
voor afname op LS</t>
  </si>
  <si>
    <t>Afnameklanten  op TRHS (∑)</t>
  </si>
  <si>
    <t>Injectieklanten  op &gt;26-36kV</t>
  </si>
  <si>
    <t>Werkblad</t>
  </si>
  <si>
    <t>Niet-geïnd budget (%)</t>
  </si>
  <si>
    <t>Budgetverhoging (€)</t>
  </si>
  <si>
    <t>Na budgetverhoging</t>
  </si>
  <si>
    <t>Dit rapporteringsmodel heeft als doel om de distributienetbeheerder op gestandaardiseerde wijze aan de VREG te laten rapporteren over het tariefvoorstel dat de distributienetbeheerder op basis van het door de VREG toegelaten inkomen voor de gereguleerde activiteiten 'Elektriciteit' en 'Aardgas' opmaakte.
Dit rapporteringsmodel omvat enkele tabellen en bijkomend aan te leveren informatie die de vertaling van het toegelaten inkomen naar de periodieke distributienettarieven stapsgewijs en op een overzichtelijk manier weergeven.
De VREG behoudt zich de mogelijkheid om, indien nodig, bijkomende informatie buiten dit rapporteringsmodel op te vragen.
De distributienetbeheerder dient het tariefvoorstel onder de vorm van één afgedrukt exemplaar alsook onder elektronische vorm (Excel-formaat) aan te leveren. In de elektronische vorm zijn geen verwijzingen naar externe bestanden (koppelingen) toegelaten.</t>
  </si>
  <si>
    <t>II. Met betrekking tot de tariefcomponent 'Databeheer'</t>
  </si>
  <si>
    <t>VI. Met betrekking tot de doorvoertarieven</t>
  </si>
  <si>
    <t>ReactieveEnergie</t>
  </si>
  <si>
    <t>Openbare dienstverplichtingen excl. afbouw van regulatoire saldi</t>
  </si>
  <si>
    <t>Max Afname TRHS</t>
  </si>
  <si>
    <t>Max Afname MS</t>
  </si>
  <si>
    <t>Max Afname TRLS</t>
  </si>
  <si>
    <t>Max Afname LS</t>
  </si>
  <si>
    <t>Overige kosten</t>
  </si>
  <si>
    <t>Productiemeter</t>
  </si>
  <si>
    <r>
      <t>kWh</t>
    </r>
    <r>
      <rPr>
        <vertAlign val="subscript"/>
        <sz val="11"/>
        <color indexed="8"/>
        <rFont val="Calibri"/>
        <family val="2"/>
      </rPr>
      <t>afn</t>
    </r>
    <r>
      <rPr>
        <vertAlign val="subscript"/>
        <sz val="11"/>
        <color theme="1"/>
        <rFont val="Calibri"/>
        <family val="2"/>
        <scheme val="minor"/>
      </rPr>
      <t xml:space="preserve"> NU</t>
    </r>
  </si>
  <si>
    <r>
      <t>kWh</t>
    </r>
    <r>
      <rPr>
        <vertAlign val="subscript"/>
        <sz val="11"/>
        <color theme="1"/>
        <rFont val="Calibri"/>
        <family val="2"/>
      </rPr>
      <t>afn SU</t>
    </r>
  </si>
  <si>
    <r>
      <t>kWh</t>
    </r>
    <r>
      <rPr>
        <vertAlign val="subscript"/>
        <sz val="11"/>
        <color theme="1"/>
        <rFont val="Calibri"/>
        <family val="2"/>
      </rPr>
      <t>afn XN</t>
    </r>
  </si>
  <si>
    <r>
      <t>kVArh</t>
    </r>
    <r>
      <rPr>
        <vertAlign val="subscript"/>
        <sz val="11"/>
        <color theme="1"/>
        <rFont val="Calibri"/>
        <family val="2"/>
      </rPr>
      <t>ind</t>
    </r>
  </si>
  <si>
    <r>
      <t>kVArh</t>
    </r>
    <r>
      <rPr>
        <vertAlign val="subscript"/>
        <sz val="11"/>
        <color theme="1"/>
        <rFont val="Calibri"/>
        <family val="2"/>
        <scheme val="minor"/>
      </rPr>
      <t>cap</t>
    </r>
  </si>
  <si>
    <t>Toepassing van maximumtarieven - Afname TRHS</t>
  </si>
  <si>
    <t>Toepassing van maximumtarieven - Afname MS</t>
  </si>
  <si>
    <t>Toepassing van maximumtarieven - Afname TRLS</t>
  </si>
  <si>
    <t>Toepassing van maximumtarieven - Afname LS</t>
  </si>
  <si>
    <r>
      <t>kW</t>
    </r>
    <r>
      <rPr>
        <vertAlign val="subscript"/>
        <sz val="11"/>
        <color theme="1"/>
        <rFont val="Calibri"/>
        <family val="2"/>
        <scheme val="minor"/>
      </rPr>
      <t>gemMP</t>
    </r>
  </si>
  <si>
    <r>
      <t>kWh</t>
    </r>
    <r>
      <rPr>
        <vertAlign val="subscript"/>
        <sz val="11"/>
        <color theme="1"/>
        <rFont val="Calibri"/>
        <family val="2"/>
      </rPr>
      <t>inj</t>
    </r>
  </si>
  <si>
    <t>Afnameklanten op LS met piekmeting (x)</t>
  </si>
  <si>
    <t>Afnameklanten op LS met piekmeting (#)</t>
  </si>
  <si>
    <t>Afnameklanten op LS met piekmeting (%)</t>
  </si>
  <si>
    <t>- Niet-geïnd</t>
  </si>
  <si>
    <t>Retributies en GRB-heffing</t>
  </si>
  <si>
    <t>3.2.</t>
  </si>
  <si>
    <t>Lasten niet-gekapitaliseerde pensioenen</t>
  </si>
  <si>
    <t>3.1.</t>
  </si>
  <si>
    <t>3.</t>
  </si>
  <si>
    <t>Tarief openbare dienstverplichtingen</t>
  </si>
  <si>
    <t>2.</t>
  </si>
  <si>
    <t>Tarief databeheer</t>
  </si>
  <si>
    <t>1.3.</t>
  </si>
  <si>
    <t>Tarief systeembeheer</t>
  </si>
  <si>
    <t>1.2.</t>
  </si>
  <si>
    <t>Tarief overbrenging met het net</t>
  </si>
  <si>
    <t>1.1.</t>
  </si>
  <si>
    <t>Tarief gebruik van het distributienet</t>
  </si>
  <si>
    <t>1.</t>
  </si>
  <si>
    <t>TOTAAL</t>
  </si>
  <si>
    <t>ENDOGEEN</t>
  </si>
  <si>
    <t>EXOGEEN</t>
  </si>
  <si>
    <t>T6</t>
  </si>
  <si>
    <t>T4-T5</t>
  </si>
  <si>
    <t>T1-T2-T3</t>
  </si>
  <si>
    <t>DOORVOER</t>
  </si>
  <si>
    <t>KLANTENGROEP 3</t>
  </si>
  <si>
    <t>KLANTENGROEP 2</t>
  </si>
  <si>
    <t>KLANTENGROEP 1</t>
  </si>
  <si>
    <t>INJECTIE</t>
  </si>
  <si>
    <t>AFNAME</t>
  </si>
  <si>
    <t>TABEL 5: Budget per tariefcomponent voor gereguleerde activiteit 'aardgas'</t>
  </si>
  <si>
    <t>MD</t>
  </si>
  <si>
    <t xml:space="preserve">LD </t>
  </si>
  <si>
    <t>T5</t>
  </si>
  <si>
    <t>T4</t>
  </si>
  <si>
    <t>T3</t>
  </si>
  <si>
    <t>T2</t>
  </si>
  <si>
    <t>T1</t>
  </si>
  <si>
    <t>TELEGEMETEN KLANTEN</t>
  </si>
  <si>
    <t>NIET-TELEGEMETEN KLANTEN</t>
  </si>
  <si>
    <r>
      <t>kW</t>
    </r>
    <r>
      <rPr>
        <vertAlign val="subscript"/>
        <sz val="11"/>
        <rFont val="Calibri"/>
        <family val="2"/>
        <scheme val="minor"/>
      </rPr>
      <t>MAXCAP</t>
    </r>
  </si>
  <si>
    <r>
      <t>kWh</t>
    </r>
    <r>
      <rPr>
        <vertAlign val="subscript"/>
        <sz val="11"/>
        <rFont val="Calibri"/>
        <family val="2"/>
      </rPr>
      <t>inj</t>
    </r>
  </si>
  <si>
    <r>
      <t>kWh</t>
    </r>
    <r>
      <rPr>
        <vertAlign val="subscript"/>
        <sz val="11"/>
        <rFont val="Calibri"/>
        <family val="2"/>
      </rPr>
      <t>afn</t>
    </r>
  </si>
  <si>
    <t>YMR</t>
  </si>
  <si>
    <t>EUR/kWh</t>
  </si>
  <si>
    <r>
      <t xml:space="preserve">Maximumtarief </t>
    </r>
    <r>
      <rPr>
        <sz val="9"/>
        <color theme="1"/>
        <rFont val="Calibri"/>
        <family val="2"/>
        <scheme val="minor"/>
      </rPr>
      <t>(toegepast op som van 1.1 + 1.2 + 4 + 5 + 6 en n.v.t. op noodvoedingen)</t>
    </r>
  </si>
  <si>
    <t>Tarief voor de toeslagen</t>
  </si>
  <si>
    <t xml:space="preserve">EUR/jaar </t>
  </si>
  <si>
    <t>Tarief voor het databeheer</t>
  </si>
  <si>
    <t>EUR/kVARh</t>
  </si>
  <si>
    <r>
      <t xml:space="preserve">Forfaitair toegelaten hoeveelheid reactieve energie </t>
    </r>
    <r>
      <rPr>
        <sz val="9"/>
        <color theme="1"/>
        <rFont val="Calibri"/>
        <family val="2"/>
        <scheme val="minor"/>
      </rPr>
      <t>(% van de afgenomen hoeveelheid actieve energie op kwartierbasis)</t>
    </r>
  </si>
  <si>
    <t>Tarief voor de reactieve energie</t>
  </si>
  <si>
    <t>EUR/kW/maand</t>
  </si>
  <si>
    <t>1.3</t>
  </si>
  <si>
    <r>
      <t xml:space="preserve">Maandpiek </t>
    </r>
    <r>
      <rPr>
        <sz val="9"/>
        <color theme="1"/>
        <rFont val="Calibri"/>
        <family val="2"/>
        <scheme val="minor"/>
      </rPr>
      <t>(maximaal kwartiervermogen per maand)</t>
    </r>
  </si>
  <si>
    <t>1.2</t>
  </si>
  <si>
    <t>EUR/kVA/jaar</t>
  </si>
  <si>
    <r>
      <t xml:space="preserve">Toegangsvermogen </t>
    </r>
    <r>
      <rPr>
        <sz val="9"/>
        <color theme="1"/>
        <rFont val="Calibri"/>
        <family val="2"/>
        <scheme val="minor"/>
      </rPr>
      <t>(gereserveerd door de netgebruiker per jaar)</t>
    </r>
  </si>
  <si>
    <t>1.1</t>
  </si>
  <si>
    <t xml:space="preserve">Afnemers rechtstreeks aangesloten op een transformator tussen het hoogspannings- en het middenspanningsnet </t>
  </si>
  <si>
    <t xml:space="preserve">Eenheid </t>
  </si>
  <si>
    <t xml:space="preserve">Tarief </t>
  </si>
  <si>
    <t>Trans HS</t>
  </si>
  <si>
    <t>AV &lt; 5 MVA</t>
  </si>
  <si>
    <t>AV ≥ 5 MVA</t>
  </si>
  <si>
    <r>
      <t xml:space="preserve">Onderscheid volgens aansluitingsvermogen </t>
    </r>
    <r>
      <rPr>
        <sz val="11"/>
        <color theme="1"/>
        <rFont val="Calibri"/>
        <family val="2"/>
      </rPr>
      <t>≥</t>
    </r>
    <r>
      <rPr>
        <i/>
        <sz val="11"/>
        <color theme="1"/>
        <rFont val="Calibri"/>
        <family val="2"/>
        <scheme val="minor"/>
      </rPr>
      <t xml:space="preserve"> 5 MVA en &lt; 5 MVA</t>
    </r>
  </si>
  <si>
    <t xml:space="preserve">Afnemers aangesloten op het netwerk met een nominale spanning groter dan 26 kV en tot en met 36 kV </t>
  </si>
  <si>
    <t>&gt; 26-36 kV</t>
  </si>
  <si>
    <t>Afnemers aangesloten op het netwerk met een nominale spanning tussen 26 en 1 kV</t>
  </si>
  <si>
    <t>26-1 kV</t>
  </si>
  <si>
    <t>kWh-tarief exclusief nacht</t>
  </si>
  <si>
    <t>kWh-tarief</t>
  </si>
  <si>
    <t>Tarief voor het netgebruik</t>
  </si>
  <si>
    <t>EUR/kW/jaar</t>
  </si>
  <si>
    <r>
      <t>EUR/kWh</t>
    </r>
    <r>
      <rPr>
        <vertAlign val="subscript"/>
        <sz val="11"/>
        <color theme="1"/>
        <rFont val="Calibri"/>
        <family val="2"/>
        <scheme val="minor"/>
      </rPr>
      <t>netto</t>
    </r>
  </si>
  <si>
    <t xml:space="preserve">Afnemers rechtstreeks aangesloten op een transformator tussen het middenspannings- en het laagspanningsnet </t>
  </si>
  <si>
    <t>Trans LS</t>
  </si>
  <si>
    <t>EUR/jaar</t>
  </si>
  <si>
    <r>
      <t xml:space="preserve">Vaste term </t>
    </r>
    <r>
      <rPr>
        <sz val="9"/>
        <color theme="1"/>
        <rFont val="Calibri"/>
        <family val="2"/>
        <scheme val="minor"/>
      </rPr>
      <t>(in bedrag gelijk aan 2,50 kW x het tarief gemiddelde maandpiek van toepassing op LS afnemers met piekmeting)</t>
    </r>
  </si>
  <si>
    <r>
      <t xml:space="preserve">Maximumtarief </t>
    </r>
    <r>
      <rPr>
        <sz val="9"/>
        <color theme="1"/>
        <rFont val="Calibri"/>
        <family val="2"/>
        <scheme val="minor"/>
      </rPr>
      <t>(toegepast op som van 1 + 3 + 4 + 5, minimaal gelijk aan 2,50 kW x  het tarief gemiddelde maandpiek)</t>
    </r>
  </si>
  <si>
    <t>Afnemers aangesloten op het laagspanningsnetwerk (het netwerk met een nominale spanning lager dan 1 kV)</t>
  </si>
  <si>
    <t>LS</t>
  </si>
  <si>
    <r>
      <t xml:space="preserve">Forfaitair toegelaten hoeveelheid reactieve energie </t>
    </r>
    <r>
      <rPr>
        <sz val="9"/>
        <color theme="1"/>
        <rFont val="Calibri"/>
        <family val="2"/>
        <scheme val="minor"/>
      </rPr>
      <t>(% van de afgenomen hoeveelheid actieve energie)</t>
    </r>
  </si>
  <si>
    <t>Koppelpunt op 26-1 kV</t>
  </si>
  <si>
    <t>Overdracht van energie tussen de distributienetbeheerders via de koppelpunten tussen hun distributienetten</t>
  </si>
  <si>
    <t>Doorvoer</t>
  </si>
  <si>
    <t>Uitlezing van productiemeter van de productie-installatie</t>
  </si>
  <si>
    <t>Berekend op basis van een maximumtarief van</t>
  </si>
  <si>
    <t>Maximumtarief</t>
  </si>
  <si>
    <t>Tarieven voor de toeslagen</t>
  </si>
  <si>
    <t>kWh-tarief normaal</t>
  </si>
  <si>
    <t>Tarieven voor het databeheer</t>
  </si>
  <si>
    <r>
      <t>Tarief voor overschrijding forfaitair toegelaten hoeveelheid</t>
    </r>
    <r>
      <rPr>
        <sz val="9"/>
        <color theme="1"/>
        <rFont val="Calibri"/>
        <family val="2"/>
        <scheme val="minor"/>
      </rPr>
      <t xml:space="preserve">                                                                                                                                     </t>
    </r>
  </si>
  <si>
    <t xml:space="preserve">Forfaitair toegelaten hoeveelheid reactieve energie </t>
  </si>
  <si>
    <t>Tarieven voor de aanvullende afname van reactieve energie</t>
  </si>
  <si>
    <t xml:space="preserve">Vaste term </t>
  </si>
  <si>
    <t>Gemiddelde maandpiek</t>
  </si>
  <si>
    <t>LS - piekmeting</t>
  </si>
  <si>
    <t xml:space="preserve">Tarief voor overschrijding toegangsvermogen                                                                                                                                                                                                    </t>
  </si>
  <si>
    <t>Maandpiek</t>
  </si>
  <si>
    <t>Toegangsvermogen</t>
  </si>
  <si>
    <t>TRANS HS, &gt;26-36 kV, 26-1 kV, TRANS LS - piekmeting</t>
  </si>
  <si>
    <t>prosumenten met terugdraaiende teller</t>
  </si>
  <si>
    <t>klassieke meter</t>
  </si>
  <si>
    <t>piekmeting</t>
  </si>
  <si>
    <t>AV &lt; 5MVA</t>
  </si>
  <si>
    <t>TRANS LS</t>
  </si>
  <si>
    <t>&gt;26 - 36 kV</t>
  </si>
  <si>
    <t>TRANS HS</t>
  </si>
  <si>
    <t>TABEL 6: Budget per energierichting en klantengroep voor gereguleerde activiteit 'aardgas'</t>
  </si>
  <si>
    <t>TABEL 8: Rekenvolumes en  reconciliatie van budget voor gereguleerde activiteit 'aardgas'</t>
  </si>
  <si>
    <t>TABEL 7: Periodieke distributienettarieven voor gereguleerde activiteit 'aardgas'</t>
  </si>
  <si>
    <r>
      <t>kW</t>
    </r>
    <r>
      <rPr>
        <vertAlign val="subscript"/>
        <sz val="11"/>
        <color theme="1"/>
        <rFont val="Calibri"/>
        <family val="2"/>
      </rPr>
      <t>MAXCAP</t>
    </r>
  </si>
  <si>
    <t>Overige  lokale, provinciale, gewestelijke en federale belastingen, heffingen, toeslagen, bijdragen en retributies</t>
  </si>
  <si>
    <t>Lasten van niet-gekapitaliseerde pensioenen</t>
  </si>
  <si>
    <t>3)</t>
  </si>
  <si>
    <t>2)</t>
  </si>
  <si>
    <t>1)</t>
  </si>
  <si>
    <t>Jaaropname (o.a. digitale gasmeter G4 en G6 voor huishoudelijk en kleine ondernemingen)</t>
  </si>
  <si>
    <t xml:space="preserve">Het tarief voor het systeembeheer </t>
  </si>
  <si>
    <t>EUR/maxcap</t>
  </si>
  <si>
    <t xml:space="preserve">Capaciteit </t>
  </si>
  <si>
    <t xml:space="preserve">Proportionele term </t>
  </si>
  <si>
    <t>Vaste term</t>
  </si>
  <si>
    <t xml:space="preserve">Het basistarief voor overbrenging met het net </t>
  </si>
  <si>
    <t>I. De tarieven voor het gebruik van het distributienet</t>
  </si>
  <si>
    <t>&gt; 10 000 000</t>
  </si>
  <si>
    <t>&lt; 10 000 000</t>
  </si>
  <si>
    <t>&gt; 1 000 000</t>
  </si>
  <si>
    <t>150 001 - 1 000 000</t>
  </si>
  <si>
    <t>5 001 - 150 000</t>
  </si>
  <si>
    <t>0 - 5 000</t>
  </si>
  <si>
    <t>All-in tarief</t>
  </si>
  <si>
    <t>Jaarverbruik (kWh)</t>
  </si>
  <si>
    <t>LD</t>
  </si>
  <si>
    <t>Doorvervoer</t>
  </si>
  <si>
    <t xml:space="preserve">TELEGEMETEN KLANTEN </t>
  </si>
  <si>
    <t xml:space="preserve">NIET-TELEGEMETEN KLANTEN </t>
  </si>
  <si>
    <t>Afname</t>
  </si>
  <si>
    <t>Injectie</t>
  </si>
  <si>
    <t>Aanvullend capaciteitstarief</t>
  </si>
  <si>
    <t>AARDGAS</t>
  </si>
  <si>
    <t>TABEL 8: Rekenvolumes en reconciliatie van budget voor gereguleerde activiteit 'aardgas'</t>
  </si>
  <si>
    <t>TARIEFLIJSTEN</t>
  </si>
  <si>
    <t>ELEK Afname</t>
  </si>
  <si>
    <t>ELEK Afname Trans HS</t>
  </si>
  <si>
    <t>ELEK Afname &gt;26-36 kV</t>
  </si>
  <si>
    <t>ELEK Afname 26-1 kV</t>
  </si>
  <si>
    <t>ELEK Afname Trans LS</t>
  </si>
  <si>
    <t>ELEK Afname LS</t>
  </si>
  <si>
    <t>ELEK Injectie</t>
  </si>
  <si>
    <t>GAS Afname</t>
  </si>
  <si>
    <t>ELEK Afname Doorvoer</t>
  </si>
  <si>
    <t>Budgettair verschil - vaste tarieven voor de reactieve energie</t>
  </si>
  <si>
    <t>Budgettair verschil - geïndexeerde tarieven voor het databeheer</t>
  </si>
  <si>
    <t>Tarief voor hogere spanningsniveaus in 2021</t>
  </si>
  <si>
    <t>Tarief voor laagspanning met uitlezing van kwartiergegevens in 2021</t>
  </si>
  <si>
    <t>Tarief voor laagspanning met uitlezing op maand/jaarbasis in 2021</t>
  </si>
  <si>
    <t>Tarief voor productiemeters in 2021</t>
  </si>
  <si>
    <t>Doorvoer op LS met piekmeting</t>
  </si>
  <si>
    <t>Doorvoer op LS zonder piekmeting</t>
  </si>
  <si>
    <t>Afnameklanten met klassieke/terugdraaiende meter (∑)</t>
  </si>
  <si>
    <t>Gemiddeld omvormervermogen</t>
  </si>
  <si>
    <r>
      <t>kWh</t>
    </r>
    <r>
      <rPr>
        <vertAlign val="subscript"/>
        <sz val="16.5"/>
        <color theme="0" tint="-0.499984740745262"/>
        <rFont val="Calibri"/>
        <family val="2"/>
      </rPr>
      <t>afn</t>
    </r>
  </si>
  <si>
    <t>Afnameklanten met KM/TT (#)</t>
  </si>
  <si>
    <t>Afnameklanten met KM/TT (x)</t>
  </si>
  <si>
    <t>Afnameklanten met KM/TT (%)</t>
  </si>
  <si>
    <t>Kosten (en opbrengsten) inzake doorvoer - Overige kWh-componenten</t>
  </si>
  <si>
    <t>Kosten (en opbrengsten) inzake doorvoer - Toeslagen</t>
  </si>
  <si>
    <t>Kosten (en opbrengsten) inzake doorvoer - Beheer en ontwikkeling van de netwerkinfrastructuur</t>
  </si>
  <si>
    <t>Kosten (en opbrengsten) inzake doorvoer - Aanvullende afname of injectie van reactieve energie</t>
  </si>
  <si>
    <t>Transmissienetkosten 'Netgebruik'</t>
  </si>
  <si>
    <t>Hogere spanningsniveaus (Trans HS, &gt;26-36 kV, 26-1 kV, Trans LS)</t>
  </si>
  <si>
    <t>Laagspanning - meetregime: per kwartier</t>
  </si>
  <si>
    <t>Laagspanning - meetregime: maandelijks/jaarlijks</t>
  </si>
  <si>
    <t>GAS Injectie</t>
  </si>
  <si>
    <t>De klantengroepen waarvoor dezelfde of één-op-één gerelateerde tarieven gelden (zie paragraaf 11.5.3 punt 1, 5, 12 en 14), worden in de volgende tabbladen als één gezamenlijke groep behandelt.</t>
  </si>
  <si>
    <t>Overeenkomstig paragraaf 11.5.3 punt 10 uit de tariefmethodologie 2021-2024.</t>
  </si>
  <si>
    <t>Overeenkomstig paragraaf 11.5.3 punt 15 uit de tariefmethodologie 2021-2024.</t>
  </si>
  <si>
    <t>PROD</t>
  </si>
  <si>
    <t>LS - klassieke meter / prosumenten met terugdraaiende teller</t>
  </si>
  <si>
    <r>
      <t xml:space="preserve">Vaste term </t>
    </r>
    <r>
      <rPr>
        <sz val="9"/>
        <color theme="1"/>
        <rFont val="Calibri"/>
        <family val="2"/>
      </rPr>
      <t>(in bedrag gelijk aan 2,50 kW x het tarief gemiddelde maandpiek van toepassing op LS afnemers met piekmeting)</t>
    </r>
  </si>
  <si>
    <t>digitale meter</t>
  </si>
  <si>
    <r>
      <t xml:space="preserve">Trans HS, &gt;26-36 kV, 26-1 kV, Trans LS, LS - piekmeting </t>
    </r>
    <r>
      <rPr>
        <sz val="9"/>
        <color theme="1"/>
        <rFont val="Calibri"/>
        <family val="2"/>
        <scheme val="minor"/>
      </rPr>
      <t>(m.u.v. prosumenten)</t>
    </r>
  </si>
  <si>
    <t>Deze bepaling geldt voor de prosumenten met een terugdraaiende teller op LS.</t>
  </si>
  <si>
    <t>* Correctie van een materiële vergissing</t>
  </si>
  <si>
    <t>EUR/kVA/maand</t>
  </si>
  <si>
    <t>of</t>
  </si>
  <si>
    <t xml:space="preserve">of   </t>
  </si>
  <si>
    <t>Direct_TRHS</t>
  </si>
  <si>
    <t>Direct_MS</t>
  </si>
  <si>
    <t>Direct_TRLS</t>
  </si>
  <si>
    <t>Direct_LS</t>
  </si>
  <si>
    <t>Het deel van bovenvermeld budget dat distributienetbeheerder i voor jaar j aan klantengroep k aanrekent op basis van het toegangsvermogen. Dit deel is gelijk aan het betreffende tarief (op maandbasis) vermenigvuldigd met het rekenvolume;</t>
  </si>
  <si>
    <r>
      <t>2 x kVA</t>
    </r>
    <r>
      <rPr>
        <vertAlign val="subscript"/>
        <sz val="11"/>
        <color indexed="23"/>
        <rFont val="Calibri"/>
        <family val="2"/>
      </rPr>
      <t>TV</t>
    </r>
    <r>
      <rPr>
        <sz val="11"/>
        <color indexed="23"/>
        <rFont val="Calibri"/>
        <family val="2"/>
      </rPr>
      <t xml:space="preserve"> + 1,5 kW</t>
    </r>
    <r>
      <rPr>
        <vertAlign val="subscript"/>
        <sz val="11"/>
        <color indexed="23"/>
        <rFont val="Calibri"/>
        <family val="2"/>
      </rPr>
      <t>MP-TV</t>
    </r>
  </si>
  <si>
    <t>Facturatie</t>
  </si>
  <si>
    <t>Procentueel aandeel van subactiviteit 'Distributie' binnen tariefcomponent 'Netgebruik'</t>
  </si>
  <si>
    <t>TABEL 4: Tarieven na toepassing van de maximumtarieven</t>
  </si>
  <si>
    <t>SynchronePiek_LS</t>
  </si>
  <si>
    <t>EUR/kVArh</t>
  </si>
  <si>
    <t>Januari</t>
  </si>
  <si>
    <t>Februari</t>
  </si>
  <si>
    <t>Maart</t>
  </si>
  <si>
    <t>April</t>
  </si>
  <si>
    <t>Mei</t>
  </si>
  <si>
    <t>Juni</t>
  </si>
  <si>
    <t>Juli</t>
  </si>
  <si>
    <t>Augustus</t>
  </si>
  <si>
    <t>September</t>
  </si>
  <si>
    <t>Oktober</t>
  </si>
  <si>
    <t>November</t>
  </si>
  <si>
    <t>December</t>
  </si>
  <si>
    <t>Maand</t>
  </si>
  <si>
    <t>Verdeling
per maand</t>
  </si>
  <si>
    <t>Tarief in
EUR/kW/maand</t>
  </si>
  <si>
    <t>Opmerkingen</t>
  </si>
  <si>
    <t>-</t>
  </si>
  <si>
    <t>** Aanvullend capaciteitstarief voor
prosumenten met terugdraaiende teller</t>
  </si>
  <si>
    <t>Aanvullend capaciteitstarief voor prosumenten met terugdraaiende teller **</t>
  </si>
  <si>
    <t>Tarieven voor het netgebruik *</t>
  </si>
  <si>
    <t xml:space="preserve">Tarieven m.b.t. overige transmissienetkosten  </t>
  </si>
  <si>
    <t>* Aandeel transmissienetkosten in 'Tarieven voor het netgebruik'</t>
  </si>
  <si>
    <t>D</t>
  </si>
  <si>
    <t>T</t>
  </si>
  <si>
    <t>E293</t>
  </si>
  <si>
    <t>D_E293_VDZ</t>
  </si>
  <si>
    <t>E290</t>
  </si>
  <si>
    <t>D_E290_VDZ</t>
  </si>
  <si>
    <t>E294</t>
  </si>
  <si>
    <t>D_E294_VDZ</t>
  </si>
  <si>
    <t>E291</t>
  </si>
  <si>
    <t>D_E291_QPZ</t>
  </si>
  <si>
    <t>E292</t>
  </si>
  <si>
    <t>D_E292_BDZ</t>
  </si>
  <si>
    <t>D_E291_QNZ</t>
  </si>
  <si>
    <t>E310</t>
  </si>
  <si>
    <t>D_E310_QOZ</t>
  </si>
  <si>
    <t>E280</t>
  </si>
  <si>
    <t>D_E280_BDZ</t>
  </si>
  <si>
    <t>E215</t>
  </si>
  <si>
    <t>D_E215_QOH / L</t>
  </si>
  <si>
    <t>D_E215_QOX</t>
  </si>
  <si>
    <t>E801</t>
  </si>
  <si>
    <t>D_E801_QOZ</t>
  </si>
  <si>
    <t>E990</t>
  </si>
  <si>
    <t>T_E990_QOZ</t>
  </si>
  <si>
    <t>E250</t>
  </si>
  <si>
    <t>D_E250_BDZ</t>
  </si>
  <si>
    <t>E298</t>
  </si>
  <si>
    <t>D_E298_QOZ</t>
  </si>
  <si>
    <t>C01</t>
  </si>
  <si>
    <t>C02</t>
  </si>
  <si>
    <t>C90</t>
  </si>
  <si>
    <t>C92</t>
  </si>
  <si>
    <t>C03</t>
  </si>
  <si>
    <t>C16</t>
  </si>
  <si>
    <t>C33</t>
  </si>
  <si>
    <t>C17</t>
  </si>
  <si>
    <t>C72</t>
  </si>
  <si>
    <t>C09</t>
  </si>
  <si>
    <t>C85</t>
  </si>
  <si>
    <t>C39</t>
  </si>
  <si>
    <t>C63</t>
  </si>
  <si>
    <t>C64</t>
  </si>
  <si>
    <t>K09</t>
  </si>
  <si>
    <t>K63</t>
  </si>
  <si>
    <t>K64</t>
  </si>
  <si>
    <t>K81</t>
  </si>
  <si>
    <t>Btw</t>
  </si>
  <si>
    <t>Slim Fast</t>
  </si>
  <si>
    <t>Glob. Code</t>
  </si>
  <si>
    <t>Edielnaam</t>
  </si>
  <si>
    <t>Normaal tarief</t>
  </si>
  <si>
    <t>Noodvoeding (geen maximumtarief)</t>
  </si>
  <si>
    <t>Doorvoer (-25%)</t>
  </si>
  <si>
    <t>Tariefcodes</t>
  </si>
  <si>
    <t>Informative quantities</t>
  </si>
  <si>
    <t>Tarief voor overschrijding toegangsvermogen</t>
  </si>
  <si>
    <t>kWh-tarief Hi</t>
  </si>
  <si>
    <t>kWh-tarief Lo</t>
  </si>
  <si>
    <t>kWh-tarief Ex</t>
  </si>
  <si>
    <t>kWh-tarief Th</t>
  </si>
  <si>
    <t>Tarief voor overschrijding forfaitair toegelaten hoeveelheid</t>
  </si>
  <si>
    <t>Aanvullend capaciteitstarief voor prosumenten met terugdraaiende teller</t>
  </si>
  <si>
    <t>E055</t>
  </si>
  <si>
    <t>Q_A_E055_KVA</t>
  </si>
  <si>
    <t>E051</t>
  </si>
  <si>
    <t>Q_A_E051_KW</t>
  </si>
  <si>
    <t>E056</t>
  </si>
  <si>
    <t>Q_A_E056_KW</t>
  </si>
  <si>
    <t>E010</t>
  </si>
  <si>
    <t>Q_A_E010_KWH_HI</t>
  </si>
  <si>
    <t>E020</t>
  </si>
  <si>
    <t>Q_A_E020_KWH_LO</t>
  </si>
  <si>
    <t>E030</t>
  </si>
  <si>
    <t>Q_A_E030_KWH_EX</t>
  </si>
  <si>
    <t>E040</t>
  </si>
  <si>
    <t>Q_A_E040_KWH_TH</t>
  </si>
  <si>
    <t>E080</t>
  </si>
  <si>
    <t>Q_A_E080_K3</t>
  </si>
  <si>
    <t>E060</t>
  </si>
  <si>
    <t>Q_A_E060_KVA</t>
  </si>
  <si>
    <t>Tarief in
EUR/kW/jaar</t>
  </si>
  <si>
    <t>Tarieven voor de openbaredienstverplichtingen</t>
  </si>
  <si>
    <r>
      <t xml:space="preserve">Tarief voor overschrijding toegangsvermogen
</t>
    </r>
    <r>
      <rPr>
        <sz val="9"/>
        <color theme="1"/>
        <rFont val="Calibri"/>
        <family val="2"/>
        <scheme val="minor"/>
      </rPr>
      <t xml:space="preserve">(toegepast wanneer de maandpiek het toegangsvermogen overschrijdt, op het verschil tussen maandpiek en toegangsvermogen            </t>
    </r>
    <r>
      <rPr>
        <sz val="11"/>
        <color theme="0" tint="-0.499984740745262"/>
        <rFont val="Calibri"/>
        <family val="2"/>
        <scheme val="minor"/>
      </rPr>
      <t>of</t>
    </r>
    <r>
      <rPr>
        <sz val="9"/>
        <color theme="1"/>
        <rFont val="Calibri"/>
        <family val="2"/>
        <scheme val="minor"/>
      </rPr>
      <t xml:space="preserve">
(cos phi = 1), gedurende 12 maanden vanaf de maand van overschrijding)</t>
    </r>
  </si>
  <si>
    <t>Tarief voor de openbaredienstverplichtingen</t>
  </si>
  <si>
    <t>Tarief voor de aanvullende afname van reactieve energie</t>
  </si>
  <si>
    <r>
      <t xml:space="preserve">Tarief voor overschrijding forfaitair toegelaten hoeveelheid
</t>
    </r>
    <r>
      <rPr>
        <sz val="9"/>
        <color theme="1"/>
        <rFont val="Calibri"/>
        <family val="2"/>
        <scheme val="minor"/>
      </rPr>
      <t>(toegepast wanneer de inductieve of capacitieve afgenomen hoeveelheid reactieve energie de forfaitair toegelaten hoeveelheid overschrijdt)</t>
    </r>
  </si>
  <si>
    <t xml:space="preserve">Tarief m.b.t. overige transmissienetkosten  </t>
  </si>
  <si>
    <t>Koppelpunt op LS</t>
  </si>
  <si>
    <r>
      <t xml:space="preserve">Gemiddelde maandpiek </t>
    </r>
    <r>
      <rPr>
        <sz val="9"/>
        <color theme="1"/>
        <rFont val="Calibri"/>
        <family val="2"/>
        <scheme val="minor"/>
      </rPr>
      <t>(gemiddelde van de 12 laatste maandpieken</t>
    </r>
  </si>
  <si>
    <r>
      <t xml:space="preserve">(= maximaal kwartiervermogen per maand) waarbij, in geval een maandpiek kleiner is dan 2,50 kW,                                                                 </t>
    </r>
    <r>
      <rPr>
        <sz val="11"/>
        <color theme="0" tint="-0.499984740745262"/>
        <rFont val="Calibri"/>
        <family val="2"/>
        <scheme val="minor"/>
      </rPr>
      <t>of</t>
    </r>
    <r>
      <rPr>
        <sz val="9"/>
        <color theme="1"/>
        <rFont val="Calibri"/>
        <family val="2"/>
        <scheme val="minor"/>
      </rPr>
      <t xml:space="preserve">
een minimumwaarde van 2,50 kW in rekening wordt genomen)</t>
    </r>
  </si>
  <si>
    <t>Tarief m.b.t. overige transmissienetkosten</t>
  </si>
  <si>
    <t xml:space="preserve">   Koppelpunt op 26-1 kV</t>
  </si>
  <si>
    <t xml:space="preserve">   Koppelpunt op LS</t>
  </si>
  <si>
    <t xml:space="preserve">   digitale meter</t>
  </si>
  <si>
    <t xml:space="preserve">   klassieke meter</t>
  </si>
  <si>
    <t xml:space="preserve">   prosumenten met terugdraaiende teller</t>
  </si>
  <si>
    <t>Tarief voor het netgebruik *</t>
  </si>
  <si>
    <t>** Aanvullend capaciteitstarief voor prosumenten met terugdraaiende teller</t>
  </si>
  <si>
    <t>T46</t>
  </si>
  <si>
    <t>T91</t>
  </si>
  <si>
    <t>T93</t>
  </si>
  <si>
    <t>T47</t>
  </si>
  <si>
    <t>T50</t>
  </si>
  <si>
    <t>T49</t>
  </si>
  <si>
    <t>E210</t>
  </si>
  <si>
    <t>I_E210_QOZ</t>
  </si>
  <si>
    <t>I_E280_BDZ</t>
  </si>
  <si>
    <t>Q_I_E010_KWH_HI</t>
  </si>
  <si>
    <t>Q_I_E020_KWH_LO</t>
  </si>
  <si>
    <t>Q_I_E030_KWH_EX</t>
  </si>
  <si>
    <t>Q_I_E040_KWH_TH</t>
  </si>
  <si>
    <r>
      <t>Tarief voor kW</t>
    </r>
    <r>
      <rPr>
        <vertAlign val="subscript"/>
        <sz val="11"/>
        <color indexed="8"/>
        <rFont val="Calibri"/>
        <family val="2"/>
      </rPr>
      <t>MP-TV</t>
    </r>
    <r>
      <rPr>
        <sz val="11"/>
        <color theme="1"/>
        <rFont val="Calibri"/>
        <family val="2"/>
        <scheme val="minor"/>
      </rPr>
      <t xml:space="preserve"> t.o.v. tarief voor kVA</t>
    </r>
    <r>
      <rPr>
        <vertAlign val="subscript"/>
        <sz val="11"/>
        <color indexed="8"/>
        <rFont val="Calibri"/>
        <family val="2"/>
      </rPr>
      <t>TV</t>
    </r>
    <r>
      <rPr>
        <sz val="11"/>
        <color theme="1"/>
        <rFont val="Calibri"/>
        <family val="2"/>
        <scheme val="minor"/>
      </rPr>
      <t xml:space="preserve"> (beiden op maandbasis)</t>
    </r>
  </si>
  <si>
    <t>III. Met betrekking tot de tariefcomponenten 'Openbaredienstverplichtingen' en 'Toeslagen'</t>
  </si>
  <si>
    <t>IV. Met betrekking tot de tariefcomponent 'Overige transmissienetkosten'</t>
  </si>
  <si>
    <t>V. Met betrekking tot het aanvullende capaciteitstarief voor prosumenten met terugdraaiende teller</t>
  </si>
  <si>
    <t>II. Het tarief openbaredienstverplichtingen</t>
  </si>
  <si>
    <t>21%</t>
  </si>
  <si>
    <t>G140</t>
  </si>
  <si>
    <t>D_G140_BDZ</t>
  </si>
  <si>
    <t>D_G140_QOZ</t>
  </si>
  <si>
    <t>D_G140_VDZ</t>
  </si>
  <si>
    <t>G190</t>
  </si>
  <si>
    <t>D_G190_BDZ</t>
  </si>
  <si>
    <t>G145</t>
  </si>
  <si>
    <t>D_G145_QOZ</t>
  </si>
  <si>
    <t>G840</t>
  </si>
  <si>
    <t>D_G840_QOZ</t>
  </si>
  <si>
    <t>G860</t>
  </si>
  <si>
    <t>D_G860_QOZ</t>
  </si>
  <si>
    <t>T1A</t>
  </si>
  <si>
    <t>T2A</t>
  </si>
  <si>
    <t>T3A</t>
  </si>
  <si>
    <t>T4B/T4C</t>
  </si>
  <si>
    <t>T5A/T5B</t>
  </si>
  <si>
    <t>T6C</t>
  </si>
  <si>
    <t>Gefactureerde piek (Maandpiek ex-Infrax)</t>
  </si>
  <si>
    <t>Gefactureerde piek (Voorschrijdende piek ex-Eandis)</t>
  </si>
  <si>
    <t>G099</t>
  </si>
  <si>
    <t>Q_A_G099_KWH_TH</t>
  </si>
  <si>
    <t>G020/G021</t>
  </si>
  <si>
    <t>Q_A_G020_KW_TH</t>
  </si>
  <si>
    <t>Q_A_G021_KW_TH</t>
  </si>
  <si>
    <t>T9D</t>
  </si>
  <si>
    <t>G150</t>
  </si>
  <si>
    <t>I_G150_QOZ</t>
  </si>
  <si>
    <t>I_G190_BDZ</t>
  </si>
  <si>
    <t>Q_I_G099_KWH_TH</t>
  </si>
  <si>
    <t>III. Belastingen, heffingen, toeslagen, bijdragen en retributies</t>
  </si>
  <si>
    <t>v5</t>
  </si>
  <si>
    <t>Afname+Injectie PV &gt;= 10 kVA</t>
  </si>
  <si>
    <t>Afname+Injectie PV &lt; 10 kVA</t>
  </si>
  <si>
    <t>Naam distributienetbeheerder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</si>
</sst>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 #,##0.00_ ;_ * \-#,##0.00_ ;_ * &quot;-&quot;??_ ;_ @_ "/>
    <numFmt numFmtId="164" formatCode="_-* #,##0.00\ &quot;€&quot;_-;\-* #,##0.00\ &quot;€&quot;_-;_-* &quot;-&quot;??\ &quot;€&quot;_-;_-@_-"/>
    <numFmt numFmtId="165" formatCode="_-* #,##0.00\ _€_-;\-* #,##0.00\ _€_-;_-* &quot;-&quot;??\ _€_-;_-@_-"/>
    <numFmt numFmtId="166" formatCode="0.0%"/>
    <numFmt numFmtId="167" formatCode="#,##0.0000000"/>
    <numFmt numFmtId="168" formatCode="#.##000"/>
    <numFmt numFmtId="169" formatCode="#.##0,"/>
    <numFmt numFmtId="170" formatCode="\$#,#00"/>
    <numFmt numFmtId="171" formatCode="\$#,"/>
    <numFmt numFmtId="172" formatCode="#,#00"/>
    <numFmt numFmtId="173" formatCode="_-* #,##0.000\ _€_-;\-* #,##0.000\ _€_-;_-* &quot;-&quot;??\ _€_-;_-@_-"/>
    <numFmt numFmtId="174" formatCode="&quot;€&quot;\ #,##0.00_);\(&quot;€&quot;\ #,##0.00\)"/>
    <numFmt numFmtId="175" formatCode="%#,#00"/>
    <numFmt numFmtId="176" formatCode="[$€-2]\ #,##0.00"/>
    <numFmt numFmtId="177" formatCode="[$€-2]\ #,##0.0000000"/>
    <numFmt numFmtId="178" formatCode="0.0000000"/>
    <numFmt numFmtId="179" formatCode="#,##0.00\ \k\W"/>
    <numFmt numFmtId="180" formatCode="#,##0\ \h"/>
    <numFmt numFmtId="181" formatCode="0.00000%"/>
    <numFmt numFmtId="182" formatCode="&quot;€&quot;\ #,##0.0000000"/>
  </numFmts>
  <fonts count="90">
    <font>
      <sz val="11"/>
      <color theme="1"/>
      <name val="Calibri"/>
      <family val="2"/>
      <scheme val="minor"/>
    </font>
    <font>
      <sz val="11"/>
      <color indexed="8"/>
      <name val="Calibri"/>
      <family val="2"/>
    </font>
    <font>
      <sz val="10"/>
      <name val="Arial"/>
      <family val="2"/>
    </font>
    <font>
      <b/>
      <sz val="10"/>
      <name val="Arial"/>
      <family val="2"/>
    </font>
    <font>
      <sz val="20"/>
      <name val="Arial"/>
      <family val="2"/>
    </font>
    <font>
      <b/>
      <sz val="20"/>
      <color indexed="9"/>
      <name val="Arial"/>
      <family val="2"/>
    </font>
    <font>
      <b/>
      <u/>
      <sz val="10"/>
      <name val="Arial"/>
      <family val="2"/>
    </font>
    <font>
      <sz val="10"/>
      <name val="Arial"/>
      <family val="2"/>
    </font>
    <font>
      <sz val="10"/>
      <color indexed="8"/>
      <name val="MS Sans Serif"/>
      <family val="2"/>
    </font>
    <font>
      <sz val="10"/>
      <color indexed="8"/>
      <name val="Arial"/>
      <family val="2"/>
    </font>
    <font>
      <u/>
      <sz val="10"/>
      <color indexed="12"/>
      <name val="Arial"/>
      <family val="2"/>
    </font>
    <font>
      <sz val="8"/>
      <name val="Arial"/>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8"/>
      <color indexed="56"/>
      <name val="Cambria"/>
      <family val="2"/>
    </font>
    <font>
      <b/>
      <sz val="11"/>
      <color indexed="8"/>
      <name val="Calibri"/>
      <family val="2"/>
    </font>
    <font>
      <sz val="11"/>
      <color indexed="10"/>
      <name val="Calibri"/>
      <family val="2"/>
    </font>
    <font>
      <b/>
      <sz val="14"/>
      <name val="Arial"/>
      <family val="2"/>
    </font>
    <font>
      <sz val="14"/>
      <name val="Arial"/>
      <family val="2"/>
    </font>
    <font>
      <b/>
      <sz val="12"/>
      <name val="Arial"/>
      <family val="2"/>
    </font>
    <font>
      <b/>
      <sz val="8"/>
      <name val="Arial"/>
      <family val="2"/>
    </font>
    <font>
      <i/>
      <sz val="10"/>
      <name val="Arial"/>
      <family val="2"/>
    </font>
    <font>
      <sz val="10"/>
      <color indexed="12"/>
      <name val="Arial"/>
      <family val="2"/>
    </font>
    <font>
      <b/>
      <sz val="8"/>
      <color indexed="10"/>
      <name val="Arial"/>
      <family val="2"/>
    </font>
    <font>
      <b/>
      <i/>
      <sz val="10"/>
      <name val="Arial"/>
      <family val="2"/>
    </font>
    <font>
      <b/>
      <sz val="11"/>
      <name val="Arial"/>
      <family val="2"/>
    </font>
    <font>
      <sz val="10"/>
      <name val="Arial"/>
      <family val="2"/>
    </font>
    <font>
      <sz val="1"/>
      <color indexed="8"/>
      <name val="Courier"/>
      <family val="3"/>
    </font>
    <font>
      <sz val="12"/>
      <name val="Palatino"/>
      <family val="1"/>
    </font>
    <font>
      <b/>
      <sz val="1"/>
      <color indexed="8"/>
      <name val="Courier"/>
      <family val="3"/>
    </font>
    <font>
      <sz val="9"/>
      <color indexed="8"/>
      <name val="Calibri"/>
      <family val="2"/>
    </font>
    <font>
      <sz val="10"/>
      <name val="Courier"/>
      <family val="3"/>
    </font>
    <font>
      <b/>
      <sz val="9"/>
      <color indexed="9"/>
      <name val="Arial"/>
      <family val="2"/>
    </font>
    <font>
      <sz val="8"/>
      <name val="Calibri"/>
      <family val="2"/>
    </font>
    <font>
      <vertAlign val="subscript"/>
      <sz val="11"/>
      <color indexed="8"/>
      <name val="Calibri"/>
      <family val="2"/>
    </font>
    <font>
      <sz val="11"/>
      <name val="Calibri"/>
      <family val="2"/>
    </font>
    <font>
      <sz val="8.8000000000000007"/>
      <name val="Calibri"/>
      <family val="2"/>
    </font>
    <font>
      <sz val="11"/>
      <color indexed="23"/>
      <name val="Calibri"/>
      <family val="2"/>
    </font>
    <font>
      <vertAlign val="subscript"/>
      <sz val="11"/>
      <color indexed="23"/>
      <name val="Calibri"/>
      <family val="2"/>
    </font>
    <font>
      <sz val="11"/>
      <color theme="1"/>
      <name val="Calibri"/>
      <family val="2"/>
      <scheme val="minor"/>
    </font>
    <font>
      <sz val="9"/>
      <color theme="1"/>
      <name val="Calibri"/>
      <family val="2"/>
      <scheme val="minor"/>
    </font>
    <font>
      <sz val="8"/>
      <color theme="1"/>
      <name val="Arial"/>
      <family val="2"/>
    </font>
    <font>
      <b/>
      <sz val="11"/>
      <color theme="1"/>
      <name val="Calibri"/>
      <family val="2"/>
      <scheme val="minor"/>
    </font>
    <font>
      <b/>
      <u/>
      <sz val="11"/>
      <color theme="1"/>
      <name val="Calibri"/>
      <family val="2"/>
      <scheme val="minor"/>
    </font>
    <font>
      <b/>
      <sz val="8"/>
      <color theme="4" tint="-0.249977111117893"/>
      <name val="Arial"/>
      <family val="2"/>
    </font>
    <font>
      <sz val="11"/>
      <name val="Calibri"/>
      <family val="2"/>
      <scheme val="minor"/>
    </font>
    <font>
      <sz val="10"/>
      <color theme="1"/>
      <name val="Arial"/>
      <family val="2"/>
    </font>
    <font>
      <u/>
      <sz val="10"/>
      <color theme="0" tint="-0.499984740745262"/>
      <name val="Arial"/>
      <family val="2"/>
    </font>
    <font>
      <sz val="11"/>
      <color theme="0" tint="-0.499984740745262"/>
      <name val="Calibri"/>
      <family val="2"/>
      <scheme val="minor"/>
    </font>
    <font>
      <b/>
      <sz val="14"/>
      <color theme="1"/>
      <name val="Calibri"/>
      <family val="2"/>
      <scheme val="minor"/>
    </font>
    <font>
      <sz val="14"/>
      <color theme="1"/>
      <name val="Calibri"/>
      <family val="2"/>
      <scheme val="minor"/>
    </font>
    <font>
      <vertAlign val="subscript"/>
      <sz val="11"/>
      <color theme="1"/>
      <name val="Calibri"/>
      <family val="2"/>
      <scheme val="minor"/>
    </font>
    <font>
      <vertAlign val="subscript"/>
      <sz val="11"/>
      <color theme="1"/>
      <name val="Calibri"/>
      <family val="2"/>
    </font>
    <font>
      <sz val="11"/>
      <color rgb="FFFF0000"/>
      <name val="Calibri"/>
      <family val="2"/>
      <scheme val="minor"/>
    </font>
    <font>
      <b/>
      <u/>
      <vertAlign val="subscript"/>
      <sz val="11"/>
      <color theme="1"/>
      <name val="Calibri"/>
      <family val="2"/>
    </font>
    <font>
      <b/>
      <u/>
      <vertAlign val="subscript"/>
      <sz val="11"/>
      <color theme="1"/>
      <name val="Calibri"/>
      <family val="2"/>
      <scheme val="minor"/>
    </font>
    <font>
      <b/>
      <sz val="11"/>
      <name val="Calibri"/>
      <family val="2"/>
      <scheme val="minor"/>
    </font>
    <font>
      <b/>
      <u/>
      <sz val="11"/>
      <name val="Calibri"/>
      <family val="2"/>
      <scheme val="minor"/>
    </font>
    <font>
      <i/>
      <sz val="11"/>
      <name val="Calibri"/>
      <family val="2"/>
      <scheme val="minor"/>
    </font>
    <font>
      <vertAlign val="subscript"/>
      <sz val="11"/>
      <name val="Calibri"/>
      <family val="2"/>
      <scheme val="minor"/>
    </font>
    <font>
      <vertAlign val="subscript"/>
      <sz val="11"/>
      <name val="Calibri"/>
      <family val="2"/>
    </font>
    <font>
      <i/>
      <sz val="11"/>
      <color theme="1"/>
      <name val="Calibri"/>
      <family val="2"/>
      <scheme val="minor"/>
    </font>
    <font>
      <sz val="11"/>
      <color theme="1"/>
      <name val="Calibri"/>
      <family val="2"/>
    </font>
    <font>
      <b/>
      <sz val="12"/>
      <color theme="1"/>
      <name val="Arial"/>
      <family val="2"/>
    </font>
    <font>
      <sz val="12"/>
      <name val="Arial"/>
      <family val="2"/>
    </font>
    <font>
      <b/>
      <sz val="16"/>
      <name val="Arial"/>
      <family val="2"/>
    </font>
    <font>
      <vertAlign val="subscript"/>
      <sz val="16.5"/>
      <color theme="0" tint="-0.499984740745262"/>
      <name val="Calibri"/>
      <family val="2"/>
    </font>
    <font>
      <sz val="11"/>
      <color theme="0"/>
      <name val="Calibri"/>
      <family val="2"/>
      <scheme val="minor"/>
    </font>
    <font>
      <sz val="9"/>
      <color theme="1"/>
      <name val="Calibri"/>
      <family val="2"/>
    </font>
    <font>
      <sz val="11"/>
      <color theme="8" tint="-0.249977111117893"/>
      <name val="Calibri"/>
      <family val="2"/>
      <scheme val="minor"/>
    </font>
    <font>
      <sz val="9"/>
      <color theme="8" tint="-0.249977111117893"/>
      <name val="Calibri"/>
      <family val="2"/>
      <scheme val="minor"/>
    </font>
    <font>
      <sz val="10"/>
      <color theme="0" tint="-0.499984740745262"/>
      <name val="Arial"/>
      <family val="2"/>
    </font>
    <font>
      <sz val="10"/>
      <color theme="0"/>
      <name val="Arial"/>
      <family val="2"/>
    </font>
  </fonts>
  <fills count="47">
    <fill>
      <patternFill patternType="none"/>
    </fill>
    <fill>
      <patternFill patternType="gray125"/>
    </fill>
    <fill>
      <patternFill patternType="solid">
        <fgColor indexed="47"/>
      </patternFill>
    </fill>
    <fill>
      <patternFill patternType="solid">
        <fgColor indexed="9"/>
      </patternFill>
    </fill>
    <fill>
      <patternFill patternType="solid">
        <fgColor indexed="45"/>
      </patternFill>
    </fill>
    <fill>
      <patternFill patternType="solid">
        <fgColor indexed="22"/>
      </patternFill>
    </fill>
    <fill>
      <patternFill patternType="solid">
        <fgColor indexed="15"/>
      </patternFill>
    </fill>
    <fill>
      <patternFill patternType="solid">
        <fgColor indexed="52"/>
      </patternFill>
    </fill>
    <fill>
      <patternFill patternType="solid">
        <fgColor indexed="55"/>
      </patternFill>
    </fill>
    <fill>
      <patternFill patternType="solid">
        <fgColor indexed="42"/>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29"/>
      </patternFill>
    </fill>
    <fill>
      <patternFill patternType="solid">
        <fgColor indexed="10"/>
      </patternFill>
    </fill>
    <fill>
      <patternFill patternType="solid">
        <fgColor indexed="51"/>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26"/>
        <bgColor indexed="64"/>
      </patternFill>
    </fill>
    <fill>
      <patternFill patternType="solid">
        <fgColor indexed="31"/>
        <bgColor indexed="64"/>
      </patternFill>
    </fill>
    <fill>
      <patternFill patternType="solid">
        <fgColor indexed="9"/>
        <bgColor indexed="64"/>
      </patternFill>
    </fill>
    <fill>
      <patternFill patternType="solid">
        <fgColor theme="0"/>
        <bgColor indexed="64"/>
      </patternFill>
    </fill>
    <fill>
      <patternFill patternType="solid">
        <fgColor rgb="FFFFFFB3"/>
        <bgColor indexed="64"/>
      </patternFill>
    </fill>
    <fill>
      <patternFill patternType="lightUp">
        <bgColor theme="0"/>
      </patternFill>
    </fill>
    <fill>
      <patternFill patternType="solid">
        <fgColor rgb="FFFFFF99"/>
        <bgColor indexed="64"/>
      </patternFill>
    </fill>
    <fill>
      <patternFill patternType="lightUp">
        <bgColor rgb="FFFFFF99"/>
      </patternFill>
    </fill>
    <fill>
      <patternFill patternType="solid">
        <fgColor rgb="FFD0C9F1"/>
        <bgColor indexed="64"/>
      </patternFill>
    </fill>
    <fill>
      <patternFill patternType="solid">
        <fgColor theme="0"/>
        <bgColor theme="1"/>
      </patternFill>
    </fill>
    <fill>
      <patternFill patternType="solid">
        <fgColor theme="1"/>
        <bgColor indexed="64"/>
      </patternFill>
    </fill>
    <fill>
      <patternFill patternType="lightUp">
        <fgColor auto="1"/>
        <bgColor theme="0"/>
      </patternFill>
    </fill>
    <fill>
      <patternFill patternType="solid">
        <fgColor rgb="FFFFFF99"/>
        <bgColor rgb="FFFFC000"/>
      </patternFill>
    </fill>
    <fill>
      <patternFill patternType="lightUp">
        <fgColor auto="1"/>
        <bgColor rgb="FFFFFF99"/>
      </patternFill>
    </fill>
    <fill>
      <patternFill patternType="lightUp">
        <bgColor rgb="FFFFFFB3"/>
      </patternFill>
    </fill>
    <fill>
      <patternFill patternType="solid">
        <fgColor theme="0"/>
        <bgColor rgb="FFFFC000"/>
      </patternFill>
    </fill>
    <fill>
      <patternFill patternType="solid">
        <fgColor theme="0" tint="-0.24994659260841701"/>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4.9989318521683403E-2"/>
        <bgColor indexed="64"/>
      </patternFill>
    </fill>
  </fills>
  <borders count="26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medium">
        <color indexed="9"/>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style="double">
        <color indexed="64"/>
      </left>
      <right style="medium">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style="medium">
        <color indexed="64"/>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style="hair">
        <color indexed="64"/>
      </bottom>
      <diagonal/>
    </border>
    <border>
      <left/>
      <right style="hair">
        <color indexed="64"/>
      </right>
      <top style="medium">
        <color indexed="64"/>
      </top>
      <bottom style="hair">
        <color indexed="64"/>
      </bottom>
      <diagonal/>
    </border>
    <border>
      <left/>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medium">
        <color indexed="64"/>
      </right>
      <top style="hair">
        <color indexed="64"/>
      </top>
      <bottom style="medium">
        <color indexed="64"/>
      </bottom>
      <diagonal/>
    </border>
    <border>
      <left style="double">
        <color indexed="64"/>
      </left>
      <right style="double">
        <color indexed="64"/>
      </right>
      <top style="hair">
        <color indexed="64"/>
      </top>
      <bottom style="medium">
        <color indexed="64"/>
      </bottom>
      <diagonal/>
    </border>
    <border>
      <left style="medium">
        <color indexed="64"/>
      </left>
      <right style="double">
        <color indexed="64"/>
      </right>
      <top style="hair">
        <color indexed="64"/>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right style="hair">
        <color indexed="64"/>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right style="medium">
        <color indexed="64"/>
      </right>
      <top style="medium">
        <color indexed="64"/>
      </top>
      <bottom/>
      <diagonal/>
    </border>
    <border>
      <left style="hair">
        <color indexed="64"/>
      </left>
      <right style="hair">
        <color indexed="64"/>
      </right>
      <top style="medium">
        <color indexed="64"/>
      </top>
      <bottom style="medium">
        <color indexed="64"/>
      </bottom>
      <diagonal/>
    </border>
    <border>
      <left/>
      <right style="hair">
        <color indexed="64"/>
      </right>
      <top/>
      <bottom style="hair">
        <color indexed="64"/>
      </bottom>
      <diagonal/>
    </border>
    <border>
      <left style="hair">
        <color indexed="64"/>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bottom/>
      <diagonal/>
    </border>
    <border>
      <left style="hair">
        <color indexed="64"/>
      </left>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top style="hair">
        <color indexed="64"/>
      </top>
      <bottom style="hair">
        <color indexed="64"/>
      </bottom>
      <diagonal/>
    </border>
    <border>
      <left style="double">
        <color indexed="64"/>
      </left>
      <right style="medium">
        <color indexed="64"/>
      </right>
      <top/>
      <bottom style="hair">
        <color indexed="64"/>
      </bottom>
      <diagonal/>
    </border>
    <border>
      <left/>
      <right style="double">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hair">
        <color indexed="64"/>
      </top>
      <bottom style="medium">
        <color indexed="64"/>
      </bottom>
      <diagonal/>
    </border>
    <border>
      <left style="hair">
        <color indexed="64"/>
      </left>
      <right style="medium">
        <color indexed="64"/>
      </right>
      <top style="medium">
        <color indexed="64"/>
      </top>
      <bottom style="hair">
        <color indexed="64"/>
      </bottom>
      <diagonal/>
    </border>
    <border>
      <left style="hair">
        <color indexed="64"/>
      </left>
      <right style="medium">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double">
        <color indexed="64"/>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style="double">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right style="double">
        <color indexed="64"/>
      </right>
      <top style="medium">
        <color indexed="64"/>
      </top>
      <bottom style="hair">
        <color indexed="64"/>
      </bottom>
      <diagonal/>
    </border>
    <border>
      <left style="hair">
        <color indexed="64"/>
      </left>
      <right style="double">
        <color indexed="64"/>
      </right>
      <top style="hair">
        <color indexed="64"/>
      </top>
      <bottom style="hair">
        <color indexed="64"/>
      </bottom>
      <diagonal/>
    </border>
    <border>
      <left/>
      <right style="double">
        <color indexed="64"/>
      </right>
      <top style="hair">
        <color indexed="64"/>
      </top>
      <bottom style="medium">
        <color indexed="64"/>
      </bottom>
      <diagonal/>
    </border>
    <border>
      <left style="double">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double">
        <color indexed="64"/>
      </right>
      <top style="hair">
        <color indexed="64"/>
      </top>
      <bottom style="medium">
        <color indexed="64"/>
      </bottom>
      <diagonal/>
    </border>
    <border>
      <left style="hair">
        <color indexed="64"/>
      </left>
      <right/>
      <top style="medium">
        <color indexed="64"/>
      </top>
      <bottom style="hair">
        <color indexed="64"/>
      </bottom>
      <diagonal/>
    </border>
    <border>
      <left style="double">
        <color indexed="64"/>
      </left>
      <right style="hair">
        <color indexed="64"/>
      </right>
      <top style="medium">
        <color indexed="64"/>
      </top>
      <bottom style="hair">
        <color indexed="64"/>
      </bottom>
      <diagonal/>
    </border>
    <border>
      <left style="hair">
        <color indexed="64"/>
      </left>
      <right style="double">
        <color indexed="64"/>
      </right>
      <top style="medium">
        <color indexed="64"/>
      </top>
      <bottom style="hair">
        <color indexed="64"/>
      </bottom>
      <diagonal/>
    </border>
    <border>
      <left style="double">
        <color indexed="64"/>
      </left>
      <right style="double">
        <color indexed="64"/>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double">
        <color indexed="64"/>
      </left>
      <right style="hair">
        <color indexed="64"/>
      </right>
      <top/>
      <bottom style="medium">
        <color indexed="64"/>
      </bottom>
      <diagonal/>
    </border>
    <border>
      <left style="hair">
        <color indexed="64"/>
      </left>
      <right style="double">
        <color indexed="64"/>
      </right>
      <top style="hair">
        <color indexed="64"/>
      </top>
      <bottom/>
      <diagonal/>
    </border>
    <border>
      <left style="double">
        <color indexed="64"/>
      </left>
      <right style="double">
        <color indexed="64"/>
      </right>
      <top style="hair">
        <color indexed="64"/>
      </top>
      <bottom/>
      <diagonal/>
    </border>
    <border>
      <left style="double">
        <color indexed="64"/>
      </left>
      <right style="double">
        <color indexed="64"/>
      </right>
      <top/>
      <bottom style="medium">
        <color indexed="64"/>
      </bottom>
      <diagonal/>
    </border>
    <border>
      <left style="hair">
        <color indexed="64"/>
      </left>
      <right style="double">
        <color indexed="64"/>
      </right>
      <top/>
      <bottom style="medium">
        <color indexed="64"/>
      </bottom>
      <diagonal/>
    </border>
    <border>
      <left style="double">
        <color indexed="64"/>
      </left>
      <right style="hair">
        <color indexed="64"/>
      </right>
      <top style="hair">
        <color indexed="64"/>
      </top>
      <bottom/>
      <diagonal/>
    </border>
    <border>
      <left/>
      <right style="thin">
        <color indexed="64"/>
      </right>
      <top style="thin">
        <color indexed="64"/>
      </top>
      <bottom style="thin">
        <color indexed="64"/>
      </bottom>
      <diagonal/>
    </border>
    <border>
      <left/>
      <right style="double">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style="hair">
        <color indexed="64"/>
      </left>
      <right/>
      <top/>
      <bottom style="hair">
        <color indexed="64"/>
      </bottom>
      <diagonal/>
    </border>
    <border>
      <left style="double">
        <color indexed="64"/>
      </left>
      <right style="hair">
        <color indexed="64"/>
      </right>
      <top/>
      <bottom style="hair">
        <color indexed="64"/>
      </bottom>
      <diagonal/>
    </border>
    <border>
      <left style="hair">
        <color indexed="64"/>
      </left>
      <right style="double">
        <color indexed="64"/>
      </right>
      <top/>
      <bottom style="hair">
        <color indexed="64"/>
      </bottom>
      <diagonal/>
    </border>
    <border>
      <left style="double">
        <color indexed="64"/>
      </left>
      <right/>
      <top style="medium">
        <color indexed="64"/>
      </top>
      <bottom/>
      <diagonal/>
    </border>
    <border>
      <left/>
      <right style="double">
        <color indexed="64"/>
      </right>
      <top style="medium">
        <color indexed="64"/>
      </top>
      <bottom/>
      <diagonal/>
    </border>
    <border>
      <left/>
      <right style="double">
        <color indexed="64"/>
      </right>
      <top/>
      <bottom style="medium">
        <color indexed="64"/>
      </bottom>
      <diagonal/>
    </border>
    <border>
      <left style="double">
        <color indexed="64"/>
      </left>
      <right/>
      <top style="medium">
        <color indexed="64"/>
      </top>
      <bottom style="hair">
        <color indexed="64"/>
      </bottom>
      <diagonal/>
    </border>
    <border>
      <left style="hair">
        <color indexed="64"/>
      </left>
      <right style="medium">
        <color indexed="64"/>
      </right>
      <top style="hair">
        <color indexed="64"/>
      </top>
      <bottom/>
      <diagonal/>
    </border>
    <border>
      <left style="medium">
        <color indexed="64"/>
      </left>
      <right style="dotted">
        <color indexed="64"/>
      </right>
      <top style="medium">
        <color indexed="64"/>
      </top>
      <bottom style="hair">
        <color indexed="64"/>
      </bottom>
      <diagonal/>
    </border>
    <border>
      <left style="dotted">
        <color indexed="64"/>
      </left>
      <right/>
      <top style="medium">
        <color indexed="64"/>
      </top>
      <bottom style="hair">
        <color indexed="64"/>
      </bottom>
      <diagonal/>
    </border>
    <border>
      <left style="dotted">
        <color indexed="64"/>
      </left>
      <right style="medium">
        <color indexed="64"/>
      </right>
      <top style="medium">
        <color indexed="64"/>
      </top>
      <bottom style="hair">
        <color indexed="64"/>
      </bottom>
      <diagonal/>
    </border>
    <border>
      <left style="medium">
        <color theme="0" tint="-0.499984740745262"/>
      </left>
      <right/>
      <top style="medium">
        <color theme="0" tint="-0.499984740745262"/>
      </top>
      <bottom style="hair">
        <color theme="0" tint="-0.499984740745262"/>
      </bottom>
      <diagonal/>
    </border>
    <border>
      <left style="double">
        <color theme="0" tint="-0.499984740745262"/>
      </left>
      <right style="double">
        <color theme="0" tint="-0.499984740745262"/>
      </right>
      <top style="medium">
        <color theme="0" tint="-0.499984740745262"/>
      </top>
      <bottom style="hair">
        <color theme="0" tint="-0.499984740745262"/>
      </bottom>
      <diagonal/>
    </border>
    <border>
      <left style="hair">
        <color indexed="64"/>
      </left>
      <right style="hair">
        <color indexed="64"/>
      </right>
      <top style="medium">
        <color theme="0" tint="-0.499984740745262"/>
      </top>
      <bottom style="hair">
        <color theme="0" tint="-0.499984740745262"/>
      </bottom>
      <diagonal/>
    </border>
    <border>
      <left style="hair">
        <color indexed="64"/>
      </left>
      <right style="double">
        <color theme="0" tint="-0.499984740745262"/>
      </right>
      <top style="medium">
        <color theme="0" tint="-0.499984740745262"/>
      </top>
      <bottom style="hair">
        <color theme="0" tint="-0.499984740745262"/>
      </bottom>
      <diagonal/>
    </border>
    <border>
      <left/>
      <right style="medium">
        <color theme="0" tint="-0.499984740745262"/>
      </right>
      <top style="medium">
        <color theme="0" tint="-0.499984740745262"/>
      </top>
      <bottom style="hair">
        <color theme="0" tint="-0.499984740745262"/>
      </bottom>
      <diagonal/>
    </border>
    <border>
      <left style="medium">
        <color theme="0" tint="-0.499984740745262"/>
      </left>
      <right/>
      <top style="hair">
        <color theme="0" tint="-0.499984740745262"/>
      </top>
      <bottom style="medium">
        <color theme="0" tint="-0.499984740745262"/>
      </bottom>
      <diagonal/>
    </border>
    <border>
      <left style="double">
        <color theme="0" tint="-0.499984740745262"/>
      </left>
      <right style="double">
        <color theme="0" tint="-0.499984740745262"/>
      </right>
      <top style="hair">
        <color theme="0" tint="-0.499984740745262"/>
      </top>
      <bottom style="medium">
        <color theme="0" tint="-0.499984740745262"/>
      </bottom>
      <diagonal/>
    </border>
    <border>
      <left style="hair">
        <color indexed="64"/>
      </left>
      <right style="hair">
        <color indexed="64"/>
      </right>
      <top style="hair">
        <color theme="0" tint="-0.499984740745262"/>
      </top>
      <bottom style="medium">
        <color theme="0" tint="-0.499984740745262"/>
      </bottom>
      <diagonal/>
    </border>
    <border>
      <left style="hair">
        <color indexed="64"/>
      </left>
      <right style="double">
        <color theme="0" tint="-0.499984740745262"/>
      </right>
      <top style="hair">
        <color theme="0" tint="-0.499984740745262"/>
      </top>
      <bottom style="medium">
        <color theme="0" tint="-0.499984740745262"/>
      </bottom>
      <diagonal/>
    </border>
    <border>
      <left/>
      <right style="medium">
        <color theme="0" tint="-0.499984740745262"/>
      </right>
      <top style="hair">
        <color theme="0" tint="-0.499984740745262"/>
      </top>
      <bottom style="medium">
        <color theme="0" tint="-0.499984740745262"/>
      </bottom>
      <diagonal/>
    </border>
    <border>
      <left/>
      <right/>
      <top style="medium">
        <color theme="0" tint="-0.499984740745262"/>
      </top>
      <bottom style="hair">
        <color theme="0" tint="-0.499984740745262"/>
      </bottom>
      <diagonal/>
    </border>
    <border>
      <left style="double">
        <color theme="0" tint="-0.499984740745262"/>
      </left>
      <right style="hair">
        <color theme="0" tint="-0.499984740745262"/>
      </right>
      <top style="medium">
        <color theme="0" tint="-0.499984740745262"/>
      </top>
      <bottom style="hair">
        <color theme="0" tint="-0.499984740745262"/>
      </bottom>
      <diagonal/>
    </border>
    <border>
      <left style="medium">
        <color theme="0" tint="-0.499984740745262"/>
      </left>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style="double">
        <color theme="0" tint="-0.499984740745262"/>
      </left>
      <right style="hair">
        <color theme="0" tint="-0.499984740745262"/>
      </right>
      <top style="hair">
        <color theme="0" tint="-0.499984740745262"/>
      </top>
      <bottom style="hair">
        <color theme="0" tint="-0.499984740745262"/>
      </bottom>
      <diagonal/>
    </border>
    <border>
      <left style="double">
        <color theme="0" tint="-0.499984740745262"/>
      </left>
      <right style="double">
        <color theme="0" tint="-0.499984740745262"/>
      </right>
      <top style="hair">
        <color theme="0" tint="-0.499984740745262"/>
      </top>
      <bottom style="hair">
        <color theme="0" tint="-0.499984740745262"/>
      </bottom>
      <diagonal/>
    </border>
    <border>
      <left/>
      <right/>
      <top style="hair">
        <color theme="0" tint="-0.499984740745262"/>
      </top>
      <bottom style="medium">
        <color theme="0" tint="-0.499984740745262"/>
      </bottom>
      <diagonal/>
    </border>
    <border>
      <left style="double">
        <color theme="0" tint="-0.499984740745262"/>
      </left>
      <right style="hair">
        <color theme="0" tint="-0.499984740745262"/>
      </right>
      <top style="hair">
        <color theme="0" tint="-0.499984740745262"/>
      </top>
      <bottom style="medium">
        <color theme="0" tint="-0.499984740745262"/>
      </bottom>
      <diagonal/>
    </border>
    <border>
      <left style="double">
        <color indexed="64"/>
      </left>
      <right style="hair">
        <color indexed="64"/>
      </right>
      <top style="medium">
        <color auto="1"/>
      </top>
      <bottom style="medium">
        <color indexed="64"/>
      </bottom>
      <diagonal/>
    </border>
    <border>
      <left style="double">
        <color indexed="64"/>
      </left>
      <right style="double">
        <color indexed="64"/>
      </right>
      <top style="medium">
        <color indexed="64"/>
      </top>
      <bottom style="medium">
        <color indexed="64"/>
      </bottom>
      <diagonal/>
    </border>
    <border>
      <left style="double">
        <color auto="1"/>
      </left>
      <right style="hair">
        <color auto="1"/>
      </right>
      <top style="medium">
        <color theme="0" tint="-0.499984740745262"/>
      </top>
      <bottom style="hair">
        <color theme="0" tint="-0.499984740745262"/>
      </bottom>
      <diagonal/>
    </border>
    <border>
      <left style="hair">
        <color auto="1"/>
      </left>
      <right/>
      <top style="medium">
        <color theme="0" tint="-0.499984740745262"/>
      </top>
      <bottom style="hair">
        <color theme="0" tint="-0.499984740745262"/>
      </bottom>
      <diagonal/>
    </border>
    <border>
      <left style="double">
        <color auto="1"/>
      </left>
      <right style="hair">
        <color auto="1"/>
      </right>
      <top style="hair">
        <color theme="0" tint="-0.499984740745262"/>
      </top>
      <bottom style="hair">
        <color theme="0" tint="-0.499984740745262"/>
      </bottom>
      <diagonal/>
    </border>
    <border>
      <left style="hair">
        <color auto="1"/>
      </left>
      <right style="hair">
        <color auto="1"/>
      </right>
      <top style="hair">
        <color theme="0" tint="-0.499984740745262"/>
      </top>
      <bottom style="hair">
        <color theme="0" tint="-0.499984740745262"/>
      </bottom>
      <diagonal/>
    </border>
    <border>
      <left style="double">
        <color auto="1"/>
      </left>
      <right style="hair">
        <color auto="1"/>
      </right>
      <top style="hair">
        <color theme="0" tint="-0.499984740745262"/>
      </top>
      <bottom style="medium">
        <color theme="0" tint="-0.499984740745262"/>
      </bottom>
      <diagonal/>
    </border>
    <border>
      <left style="hair">
        <color auto="1"/>
      </left>
      <right/>
      <top style="hair">
        <color theme="0" tint="-0.499984740745262"/>
      </top>
      <bottom style="medium">
        <color theme="0" tint="-0.499984740745262"/>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double">
        <color indexed="64"/>
      </right>
      <top style="medium">
        <color auto="1"/>
      </top>
      <bottom style="medium">
        <color indexed="64"/>
      </bottom>
      <diagonal/>
    </border>
    <border>
      <left style="double">
        <color indexed="64"/>
      </left>
      <right style="hair">
        <color indexed="64"/>
      </right>
      <top style="medium">
        <color auto="1"/>
      </top>
      <bottom style="medium">
        <color indexed="64"/>
      </bottom>
      <diagonal/>
    </border>
    <border>
      <left style="double">
        <color indexed="64"/>
      </left>
      <right style="double">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auto="1"/>
      </left>
      <right style="medium">
        <color auto="1"/>
      </right>
      <top style="medium">
        <color auto="1"/>
      </top>
      <bottom style="medium">
        <color auto="1"/>
      </bottom>
      <diagonal/>
    </border>
    <border>
      <left style="double">
        <color indexed="64"/>
      </left>
      <right/>
      <top/>
      <bottom style="medium">
        <color indexed="64"/>
      </bottom>
      <diagonal/>
    </border>
    <border>
      <left style="double">
        <color indexed="64"/>
      </left>
      <right/>
      <top style="hair">
        <color indexed="64"/>
      </top>
      <bottom/>
      <diagonal/>
    </border>
    <border>
      <left/>
      <right style="double">
        <color indexed="64"/>
      </right>
      <top style="medium">
        <color auto="1"/>
      </top>
      <bottom/>
      <diagonal/>
    </border>
    <border>
      <left style="double">
        <color indexed="64"/>
      </left>
      <right style="double">
        <color indexed="64"/>
      </right>
      <top style="medium">
        <color indexed="64"/>
      </top>
      <bottom/>
      <diagonal/>
    </border>
    <border>
      <left style="double">
        <color indexed="64"/>
      </left>
      <right style="hair">
        <color indexed="64"/>
      </right>
      <top style="medium">
        <color auto="1"/>
      </top>
      <bottom/>
      <diagonal/>
    </border>
    <border>
      <left style="hair">
        <color indexed="64"/>
      </left>
      <right style="hair">
        <color indexed="64"/>
      </right>
      <top style="medium">
        <color indexed="64"/>
      </top>
      <bottom/>
      <diagonal/>
    </border>
    <border>
      <left style="hair">
        <color indexed="64"/>
      </left>
      <right/>
      <top style="medium">
        <color indexed="64"/>
      </top>
      <bottom/>
      <diagonal/>
    </border>
    <border>
      <left style="double">
        <color auto="1"/>
      </left>
      <right/>
      <top style="medium">
        <color auto="1"/>
      </top>
      <bottom/>
      <diagonal/>
    </border>
    <border>
      <left style="medium">
        <color indexed="64"/>
      </left>
      <right style="hair">
        <color indexed="64"/>
      </right>
      <top style="hair">
        <color indexed="64"/>
      </top>
      <bottom/>
      <diagonal/>
    </border>
    <border>
      <left/>
      <right style="hair">
        <color indexed="64"/>
      </right>
      <top style="medium">
        <color theme="0" tint="-0.499984740745262"/>
      </top>
      <bottom style="hair">
        <color theme="0" tint="-0.499984740745262"/>
      </bottom>
      <diagonal/>
    </border>
    <border>
      <left/>
      <right style="hair">
        <color indexed="64"/>
      </right>
      <top style="hair">
        <color theme="0" tint="-0.499984740745262"/>
      </top>
      <bottom style="medium">
        <color theme="0" tint="-0.499984740745262"/>
      </bottom>
      <diagonal/>
    </border>
    <border>
      <left/>
      <right/>
      <top style="medium">
        <color indexed="64"/>
      </top>
      <bottom style="medium">
        <color theme="0" tint="-0.499984740745262"/>
      </bottom>
      <diagonal/>
    </border>
    <border>
      <left style="double">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double">
        <color indexed="64"/>
      </left>
      <right style="medium">
        <color indexed="64"/>
      </right>
      <top style="medium">
        <color indexed="64"/>
      </top>
      <bottom style="hair">
        <color indexed="64"/>
      </bottom>
      <diagonal/>
    </border>
    <border>
      <left style="medium">
        <color theme="0" tint="-0.499984740745262"/>
      </left>
      <right/>
      <top style="hair">
        <color theme="0" tint="-0.499984740745262"/>
      </top>
      <bottom/>
      <diagonal/>
    </border>
    <border>
      <left/>
      <right/>
      <top style="hair">
        <color theme="0" tint="-0.499984740745262"/>
      </top>
      <bottom/>
      <diagonal/>
    </border>
    <border>
      <left style="double">
        <color auto="1"/>
      </left>
      <right style="hair">
        <color auto="1"/>
      </right>
      <top style="hair">
        <color theme="0" tint="-0.499984740745262"/>
      </top>
      <bottom/>
      <diagonal/>
    </border>
    <border>
      <left style="hair">
        <color auto="1"/>
      </left>
      <right style="hair">
        <color auto="1"/>
      </right>
      <top style="hair">
        <color theme="0" tint="-0.499984740745262"/>
      </top>
      <bottom/>
      <diagonal/>
    </border>
    <border>
      <left style="double">
        <color theme="0" tint="-0.499984740745262"/>
      </left>
      <right style="hair">
        <color theme="0" tint="-0.499984740745262"/>
      </right>
      <top style="hair">
        <color theme="0" tint="-0.499984740745262"/>
      </top>
      <bottom/>
      <diagonal/>
    </border>
    <border>
      <left style="double">
        <color theme="0" tint="-0.499984740745262"/>
      </left>
      <right style="double">
        <color theme="0" tint="-0.499984740745262"/>
      </right>
      <top style="hair">
        <color theme="0" tint="-0.499984740745262"/>
      </top>
      <bottom/>
      <diagonal/>
    </border>
    <border>
      <left style="hair">
        <color indexed="64"/>
      </left>
      <right style="double">
        <color indexed="64"/>
      </right>
      <top style="medium">
        <color indexed="64"/>
      </top>
      <bottom/>
      <diagonal/>
    </border>
    <border>
      <left style="double">
        <color indexed="64"/>
      </left>
      <right style="hair">
        <color indexed="64"/>
      </right>
      <top/>
      <bottom/>
      <diagonal/>
    </border>
    <border>
      <left style="hair">
        <color indexed="64"/>
      </left>
      <right style="double">
        <color indexed="64"/>
      </right>
      <top/>
      <bottom/>
      <diagonal/>
    </border>
    <border>
      <left style="double">
        <color indexed="64"/>
      </left>
      <right style="medium">
        <color indexed="64"/>
      </right>
      <top style="medium">
        <color indexed="64"/>
      </top>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double">
        <color indexed="64"/>
      </left>
      <right style="medium">
        <color indexed="64"/>
      </right>
      <top style="hair">
        <color indexed="64"/>
      </top>
      <bottom/>
      <diagonal/>
    </border>
    <border>
      <left style="hair">
        <color auto="1"/>
      </left>
      <right style="medium">
        <color indexed="64"/>
      </right>
      <top style="medium">
        <color auto="1"/>
      </top>
      <bottom/>
      <diagonal/>
    </border>
    <border>
      <left/>
      <right style="double">
        <color indexed="64"/>
      </right>
      <top/>
      <bottom/>
      <diagonal/>
    </border>
    <border>
      <left style="hair">
        <color indexed="64"/>
      </left>
      <right style="medium">
        <color indexed="64"/>
      </right>
      <top/>
      <bottom/>
      <diagonal/>
    </border>
    <border>
      <left/>
      <right style="hair">
        <color indexed="64"/>
      </right>
      <top style="medium">
        <color indexed="64"/>
      </top>
      <bottom/>
      <diagonal/>
    </border>
    <border>
      <left style="medium">
        <color indexed="64"/>
      </left>
      <right style="double">
        <color indexed="64"/>
      </right>
      <top style="medium">
        <color indexed="64"/>
      </top>
      <bottom/>
      <diagonal/>
    </border>
    <border>
      <left style="medium">
        <color indexed="64"/>
      </left>
      <right style="double">
        <color indexed="64"/>
      </right>
      <top/>
      <bottom style="medium">
        <color indexed="64"/>
      </bottom>
      <diagonal/>
    </border>
    <border>
      <left style="double">
        <color indexed="64"/>
      </left>
      <right/>
      <top/>
      <bottom style="hair">
        <color indexed="64"/>
      </bottom>
      <diagonal/>
    </border>
    <border>
      <left/>
      <right style="medium">
        <color indexed="64"/>
      </right>
      <top/>
      <bottom/>
      <diagonal/>
    </border>
    <border>
      <left/>
      <right style="medium">
        <color indexed="64"/>
      </right>
      <top style="hair">
        <color indexed="64"/>
      </top>
      <bottom/>
      <diagonal/>
    </border>
    <border>
      <left style="double">
        <color indexed="64"/>
      </left>
      <right/>
      <top/>
      <bottom/>
      <diagonal/>
    </border>
    <border>
      <left/>
      <right style="double">
        <color indexed="64"/>
      </right>
      <top/>
      <bottom style="hair">
        <color indexed="64"/>
      </bottom>
      <diagonal/>
    </border>
    <border>
      <left style="double">
        <color auto="1"/>
      </left>
      <right style="double">
        <color auto="1"/>
      </right>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style="hair">
        <color indexed="64"/>
      </right>
      <top/>
      <bottom style="medium">
        <color indexed="64"/>
      </bottom>
      <diagonal/>
    </border>
    <border>
      <left/>
      <right style="medium">
        <color indexed="64"/>
      </right>
      <top/>
      <bottom style="hair">
        <color indexed="64"/>
      </bottom>
      <diagonal/>
    </border>
    <border>
      <left style="medium">
        <color indexed="64"/>
      </left>
      <right style="hair">
        <color indexed="64"/>
      </right>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theme="0" tint="-0.499984740745262"/>
      </left>
      <right/>
      <top/>
      <bottom/>
      <diagonal/>
    </border>
    <border>
      <left style="double">
        <color theme="0" tint="-0.499984740745262"/>
      </left>
      <right style="double">
        <color theme="0" tint="-0.499984740745262"/>
      </right>
      <top/>
      <bottom/>
      <diagonal/>
    </border>
    <border>
      <left style="hair">
        <color indexed="64"/>
      </left>
      <right style="double">
        <color theme="0" tint="-0.499984740745262"/>
      </right>
      <top/>
      <bottom/>
      <diagonal/>
    </border>
    <border>
      <left/>
      <right style="medium">
        <color theme="0" tint="-0.499984740745262"/>
      </right>
      <top/>
      <bottom/>
      <diagonal/>
    </border>
    <border>
      <left style="double">
        <color theme="0" tint="-0.499984740745262"/>
      </left>
      <right style="hair">
        <color indexed="64"/>
      </right>
      <top style="medium">
        <color theme="0" tint="-0.499984740745262"/>
      </top>
      <bottom style="hair">
        <color theme="0" tint="-0.499984740745262"/>
      </bottom>
      <diagonal/>
    </border>
    <border>
      <left style="double">
        <color theme="0" tint="-0.499984740745262"/>
      </left>
      <right style="hair">
        <color indexed="64"/>
      </right>
      <top/>
      <bottom/>
      <diagonal/>
    </border>
    <border>
      <left style="double">
        <color theme="0" tint="-0.499984740745262"/>
      </left>
      <right style="hair">
        <color indexed="64"/>
      </right>
      <top style="hair">
        <color theme="0" tint="-0.499984740745262"/>
      </top>
      <bottom style="medium">
        <color theme="0" tint="-0.499984740745262"/>
      </bottom>
      <diagonal/>
    </border>
    <border>
      <left style="hair">
        <color indexed="64"/>
      </left>
      <right/>
      <top style="hair">
        <color theme="0" tint="-0.499984740745262"/>
      </top>
      <bottom style="hair">
        <color theme="0" tint="-0.499984740745262"/>
      </bottom>
      <diagonal/>
    </border>
    <border>
      <left style="hair">
        <color indexed="64"/>
      </left>
      <right/>
      <top style="hair">
        <color theme="0" tint="-0.499984740745262"/>
      </top>
      <bottom/>
      <diagonal/>
    </border>
    <border>
      <left style="hair">
        <color theme="0" tint="-0.499984740745262"/>
      </left>
      <right style="double">
        <color theme="0" tint="-0.499984740745262"/>
      </right>
      <top style="medium">
        <color theme="0" tint="-0.499984740745262"/>
      </top>
      <bottom style="hair">
        <color theme="0" tint="-0.499984740745262"/>
      </bottom>
      <diagonal/>
    </border>
    <border>
      <left style="double">
        <color theme="0" tint="-0.499984740745262"/>
      </left>
      <right style="medium">
        <color theme="0" tint="-0.499984740745262"/>
      </right>
      <top style="medium">
        <color theme="0" tint="-0.499984740745262"/>
      </top>
      <bottom style="hair">
        <color theme="0" tint="-0.499984740745262"/>
      </bottom>
      <diagonal/>
    </border>
    <border>
      <left style="hair">
        <color theme="0" tint="-0.499984740745262"/>
      </left>
      <right style="double">
        <color theme="0" tint="-0.499984740745262"/>
      </right>
      <top style="hair">
        <color theme="0" tint="-0.499984740745262"/>
      </top>
      <bottom style="hair">
        <color theme="0" tint="-0.499984740745262"/>
      </bottom>
      <diagonal/>
    </border>
    <border>
      <left style="double">
        <color theme="0" tint="-0.499984740745262"/>
      </left>
      <right style="medium">
        <color theme="0" tint="-0.499984740745262"/>
      </right>
      <top style="hair">
        <color theme="0" tint="-0.499984740745262"/>
      </top>
      <bottom style="hair">
        <color theme="0" tint="-0.499984740745262"/>
      </bottom>
      <diagonal/>
    </border>
    <border>
      <left style="hair">
        <color theme="0" tint="-0.499984740745262"/>
      </left>
      <right style="double">
        <color theme="0" tint="-0.499984740745262"/>
      </right>
      <top style="hair">
        <color theme="0" tint="-0.499984740745262"/>
      </top>
      <bottom/>
      <diagonal/>
    </border>
    <border>
      <left style="double">
        <color theme="0" tint="-0.499984740745262"/>
      </left>
      <right style="medium">
        <color theme="0" tint="-0.499984740745262"/>
      </right>
      <top style="hair">
        <color theme="0" tint="-0.499984740745262"/>
      </top>
      <bottom/>
      <diagonal/>
    </border>
    <border>
      <left style="hair">
        <color theme="0" tint="-0.499984740745262"/>
      </left>
      <right style="double">
        <color theme="0" tint="-0.499984740745262"/>
      </right>
      <top style="hair">
        <color theme="0" tint="-0.499984740745262"/>
      </top>
      <bottom style="medium">
        <color theme="0" tint="-0.499984740745262"/>
      </bottom>
      <diagonal/>
    </border>
    <border>
      <left style="double">
        <color theme="0" tint="-0.499984740745262"/>
      </left>
      <right style="medium">
        <color theme="0" tint="-0.499984740745262"/>
      </right>
      <top style="hair">
        <color theme="0" tint="-0.499984740745262"/>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style="double">
        <color auto="1"/>
      </left>
      <right style="hair">
        <color auto="1"/>
      </right>
      <top style="medium">
        <color theme="0" tint="-0.499984740745262"/>
      </top>
      <bottom style="medium">
        <color theme="0" tint="-0.499984740745262"/>
      </bottom>
      <diagonal/>
    </border>
    <border>
      <left style="hair">
        <color indexed="64"/>
      </left>
      <right style="hair">
        <color indexed="64"/>
      </right>
      <top style="medium">
        <color theme="0" tint="-0.499984740745262"/>
      </top>
      <bottom style="medium">
        <color theme="0" tint="-0.499984740745262"/>
      </bottom>
      <diagonal/>
    </border>
    <border>
      <left style="hair">
        <color auto="1"/>
      </left>
      <right/>
      <top style="medium">
        <color theme="0" tint="-0.499984740745262"/>
      </top>
      <bottom style="medium">
        <color theme="0" tint="-0.499984740745262"/>
      </bottom>
      <diagonal/>
    </border>
    <border>
      <left style="double">
        <color theme="0" tint="-0.499984740745262"/>
      </left>
      <right style="double">
        <color theme="0" tint="-0.499984740745262"/>
      </right>
      <top style="medium">
        <color theme="0" tint="-0.499984740745262"/>
      </top>
      <bottom style="medium">
        <color theme="0" tint="-0.499984740745262"/>
      </bottom>
      <diagonal/>
    </border>
    <border>
      <left style="double">
        <color theme="0" tint="-0.499984740745262"/>
      </left>
      <right style="hair">
        <color theme="0" tint="-0.499984740745262"/>
      </right>
      <top style="medium">
        <color theme="0" tint="-0.499984740745262"/>
      </top>
      <bottom style="medium">
        <color theme="0" tint="-0.499984740745262"/>
      </bottom>
      <diagonal/>
    </border>
    <border>
      <left style="hair">
        <color theme="0" tint="-0.499984740745262"/>
      </left>
      <right style="double">
        <color theme="0" tint="-0.499984740745262"/>
      </right>
      <top style="medium">
        <color theme="0" tint="-0.499984740745262"/>
      </top>
      <bottom style="medium">
        <color theme="0" tint="-0.499984740745262"/>
      </bottom>
      <diagonal/>
    </border>
    <border>
      <left style="double">
        <color theme="0" tint="-0.499984740745262"/>
      </left>
      <right style="medium">
        <color theme="0" tint="-0.499984740745262"/>
      </right>
      <top style="medium">
        <color theme="0" tint="-0.499984740745262"/>
      </top>
      <bottom style="medium">
        <color theme="0" tint="-0.499984740745262"/>
      </bottom>
      <diagonal/>
    </border>
    <border>
      <left/>
      <right/>
      <top style="medium">
        <color auto="1"/>
      </top>
      <bottom style="medium">
        <color indexed="64"/>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auto="1"/>
      </left>
      <right/>
      <top style="medium">
        <color auto="1"/>
      </top>
      <bottom/>
      <diagonal/>
    </border>
    <border>
      <left style="thin">
        <color auto="1"/>
      </left>
      <right/>
      <top/>
      <bottom/>
      <diagonal/>
    </border>
    <border>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style="medium">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right style="double">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auto="1"/>
      </top>
      <bottom/>
      <diagonal/>
    </border>
    <border>
      <left style="hair">
        <color indexed="64"/>
      </left>
      <right style="hair">
        <color indexed="64"/>
      </right>
      <top style="medium">
        <color indexed="64"/>
      </top>
      <bottom/>
      <diagonal/>
    </border>
    <border>
      <left style="double">
        <color indexed="64"/>
      </left>
      <right style="hair">
        <color indexed="64"/>
      </right>
      <top style="medium">
        <color auto="1"/>
      </top>
      <bottom/>
      <diagonal/>
    </border>
    <border>
      <left style="double">
        <color indexed="64"/>
      </left>
      <right style="medium">
        <color indexed="64"/>
      </right>
      <top style="medium">
        <color indexed="64"/>
      </top>
      <bottom/>
      <diagonal/>
    </border>
    <border>
      <left style="medium">
        <color auto="1"/>
      </left>
      <right style="hair">
        <color auto="1"/>
      </right>
      <top style="medium">
        <color auto="1"/>
      </top>
      <bottom style="medium">
        <color indexed="64"/>
      </bottom>
      <diagonal/>
    </border>
    <border>
      <left style="hair">
        <color auto="1"/>
      </left>
      <right style="hair">
        <color auto="1"/>
      </right>
      <top style="medium">
        <color auto="1"/>
      </top>
      <bottom style="medium">
        <color indexed="64"/>
      </bottom>
      <diagonal/>
    </border>
    <border>
      <left style="hair">
        <color auto="1"/>
      </left>
      <right style="medium">
        <color auto="1"/>
      </right>
      <top style="medium">
        <color auto="1"/>
      </top>
      <bottom style="medium">
        <color indexed="64"/>
      </bottom>
      <diagonal/>
    </border>
    <border>
      <left style="medium">
        <color auto="1"/>
      </left>
      <right style="hair">
        <color auto="1"/>
      </right>
      <top style="medium">
        <color auto="1"/>
      </top>
      <bottom/>
      <diagonal/>
    </border>
    <border>
      <left style="hair">
        <color auto="1"/>
      </left>
      <right style="medium">
        <color auto="1"/>
      </right>
      <top style="medium">
        <color auto="1"/>
      </top>
      <bottom/>
      <diagonal/>
    </border>
    <border>
      <left style="hair">
        <color auto="1"/>
      </left>
      <right style="hair">
        <color auto="1"/>
      </right>
      <top/>
      <bottom style="hair">
        <color indexed="64"/>
      </bottom>
      <diagonal/>
    </border>
    <border>
      <left style="hair">
        <color auto="1"/>
      </left>
      <right style="medium">
        <color auto="1"/>
      </right>
      <top/>
      <bottom style="hair">
        <color indexed="64"/>
      </bottom>
      <diagonal/>
    </border>
    <border>
      <left/>
      <right/>
      <top style="medium">
        <color auto="1"/>
      </top>
      <bottom style="medium">
        <color indexed="64"/>
      </bottom>
      <diagonal/>
    </border>
  </borders>
  <cellStyleXfs count="269">
    <xf numFmtId="0" fontId="0" fillId="0" borderId="0"/>
    <xf numFmtId="0" fontId="2" fillId="0" borderId="0"/>
    <xf numFmtId="0" fontId="12" fillId="4" borderId="0" applyNumberFormat="0" applyBorder="0" applyAlignment="0" applyProtection="0"/>
    <xf numFmtId="0" fontId="13" fillId="5" borderId="1" applyNumberFormat="0" applyAlignment="0" applyProtection="0"/>
    <xf numFmtId="0" fontId="14" fillId="8" borderId="2" applyNumberFormat="0" applyAlignment="0" applyProtection="0"/>
    <xf numFmtId="168" fontId="44" fillId="0" borderId="0">
      <protection locked="0"/>
    </xf>
    <xf numFmtId="165" fontId="2" fillId="0" borderId="0" applyFont="0" applyFill="0" applyBorder="0" applyAlignment="0" applyProtection="0"/>
    <xf numFmtId="169" fontId="44" fillId="0" borderId="0">
      <protection locked="0"/>
    </xf>
    <xf numFmtId="170" fontId="44" fillId="0" borderId="0">
      <protection locked="0"/>
    </xf>
    <xf numFmtId="171" fontId="44" fillId="0" borderId="0">
      <protection locked="0"/>
    </xf>
    <xf numFmtId="0" fontId="44" fillId="0" borderId="0">
      <protection locked="0"/>
    </xf>
    <xf numFmtId="0" fontId="45" fillId="0" borderId="0" applyNumberFormat="0" applyFill="0" applyBorder="0" applyAlignment="0" applyProtection="0"/>
    <xf numFmtId="164" fontId="2" fillId="0" borderId="0" applyFont="0" applyFill="0" applyBorder="0" applyAlignment="0" applyProtection="0"/>
    <xf numFmtId="0" fontId="15" fillId="0" borderId="0" applyNumberFormat="0" applyFill="0" applyBorder="0" applyAlignment="0" applyProtection="0"/>
    <xf numFmtId="172" fontId="44" fillId="0" borderId="0">
      <protection locked="0"/>
    </xf>
    <xf numFmtId="0" fontId="16" fillId="9" borderId="0" applyNumberFormat="0" applyBorder="0" applyAlignment="0" applyProtection="0"/>
    <xf numFmtId="0" fontId="17" fillId="0" borderId="4" applyNumberFormat="0" applyFill="0" applyAlignment="0" applyProtection="0"/>
    <xf numFmtId="0" fontId="18" fillId="0" borderId="5" applyNumberFormat="0" applyFill="0" applyAlignment="0" applyProtection="0"/>
    <xf numFmtId="0" fontId="19" fillId="0" borderId="6" applyNumberFormat="0" applyFill="0" applyAlignment="0" applyProtection="0"/>
    <xf numFmtId="0" fontId="19" fillId="0" borderId="0" applyNumberFormat="0" applyFill="0" applyBorder="0" applyAlignment="0" applyProtection="0"/>
    <xf numFmtId="0" fontId="46" fillId="0" borderId="0">
      <protection locked="0"/>
    </xf>
    <xf numFmtId="0" fontId="46" fillId="0" borderId="0">
      <protection locked="0"/>
    </xf>
    <xf numFmtId="0" fontId="10" fillId="0" borderId="0" applyNumberFormat="0" applyFill="0" applyBorder="0" applyAlignment="0" applyProtection="0">
      <alignment vertical="top"/>
      <protection locked="0"/>
    </xf>
    <xf numFmtId="0" fontId="20" fillId="2" borderId="1" applyNumberFormat="0" applyAlignment="0" applyProtection="0"/>
    <xf numFmtId="0" fontId="2" fillId="0" borderId="0" applyFont="0" applyFill="0" applyBorder="0" applyAlignment="0" applyProtection="0"/>
    <xf numFmtId="0" fontId="2" fillId="0" borderId="0" applyFont="0" applyFill="0" applyBorder="0" applyAlignment="0" applyProtection="0"/>
    <xf numFmtId="173"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xf numFmtId="0" fontId="2" fillId="0" borderId="0" applyFont="0" applyFill="0" applyBorder="0" applyAlignment="0" applyProtection="0"/>
    <xf numFmtId="165" fontId="2" fillId="0" borderId="0" applyFont="0" applyFill="0" applyBorder="0" applyAlignment="0" applyProtection="0"/>
    <xf numFmtId="43" fontId="47" fillId="0" borderId="0" applyFont="0" applyFill="0" applyBorder="0" applyAlignment="0" applyProtection="0"/>
    <xf numFmtId="174" fontId="2" fillId="0" borderId="0" applyFont="0" applyFill="0" applyBorder="0" applyAlignment="0" applyProtection="0"/>
    <xf numFmtId="166" fontId="47" fillId="0" borderId="0" applyFont="0" applyFill="0" applyBorder="0" applyAlignment="0" applyProtection="0"/>
    <xf numFmtId="43" fontId="47"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70" fontId="2" fillId="0" borderId="0" applyFont="0" applyFill="0" applyBorder="0" applyAlignment="0" applyProtection="0"/>
    <xf numFmtId="165" fontId="2" fillId="0" borderId="0" applyFont="0" applyFill="0" applyBorder="0" applyAlignment="0" applyProtection="0"/>
    <xf numFmtId="43" fontId="57"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1" fillId="0" borderId="3" applyNumberFormat="0" applyFill="0" applyAlignment="0" applyProtection="0"/>
    <xf numFmtId="165" fontId="2" fillId="0" borderId="0" applyFont="0" applyFill="0" applyBorder="0" applyAlignment="0" applyProtection="0"/>
    <xf numFmtId="165" fontId="56" fillId="0" borderId="0" applyFont="0" applyFill="0" applyBorder="0" applyAlignment="0" applyProtection="0"/>
    <xf numFmtId="165" fontId="2" fillId="0" borderId="0" applyFont="0" applyFill="0" applyBorder="0" applyAlignment="0" applyProtection="0"/>
    <xf numFmtId="0" fontId="22" fillId="10" borderId="0" applyNumberFormat="0" applyBorder="0" applyAlignment="0" applyProtection="0"/>
    <xf numFmtId="0" fontId="2"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2" fillId="0" borderId="0"/>
    <xf numFmtId="0" fontId="2" fillId="0" borderId="0"/>
    <xf numFmtId="0" fontId="2" fillId="0" borderId="0"/>
    <xf numFmtId="0" fontId="2" fillId="0" borderId="0"/>
    <xf numFmtId="0" fontId="2" fillId="0" borderId="0"/>
    <xf numFmtId="0" fontId="2"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2" fillId="0" borderId="0"/>
    <xf numFmtId="0" fontId="2"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2"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2" fillId="0" borderId="0"/>
    <xf numFmtId="0" fontId="56" fillId="0" borderId="0"/>
    <xf numFmtId="0" fontId="56" fillId="0" borderId="0"/>
    <xf numFmtId="0" fontId="56" fillId="0" borderId="0"/>
    <xf numFmtId="0" fontId="56" fillId="0" borderId="0"/>
    <xf numFmtId="0" fontId="56" fillId="0" borderId="0"/>
    <xf numFmtId="0" fontId="2" fillId="0" borderId="0"/>
    <xf numFmtId="0" fontId="8" fillId="0" borderId="0"/>
    <xf numFmtId="0" fontId="2" fillId="11" borderId="7" applyNumberFormat="0" applyFont="0" applyAlignment="0" applyProtection="0"/>
    <xf numFmtId="0" fontId="48" fillId="0" borderId="0"/>
    <xf numFmtId="0" fontId="23" fillId="5" borderId="8" applyNumberFormat="0" applyAlignment="0" applyProtection="0"/>
    <xf numFmtId="175" fontId="44" fillId="0" borderId="0">
      <protection locked="0"/>
    </xf>
    <xf numFmtId="9" fontId="2" fillId="0" borderId="0" applyFont="0" applyFill="0" applyBorder="0" applyAlignment="0" applyProtection="0"/>
    <xf numFmtId="9" fontId="2" fillId="0" borderId="0" applyFont="0" applyFill="0" applyBorder="0" applyAlignment="0" applyProtection="0"/>
    <xf numFmtId="9" fontId="5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6" fillId="0" borderId="0" applyFont="0" applyFill="0" applyBorder="0" applyAlignment="0" applyProtection="0"/>
    <xf numFmtId="9" fontId="56" fillId="0" borderId="0" applyFont="0" applyFill="0" applyBorder="0" applyAlignment="0" applyProtection="0"/>
    <xf numFmtId="9" fontId="56" fillId="0" borderId="0" applyFont="0" applyFill="0" applyBorder="0" applyAlignment="0" applyProtection="0"/>
    <xf numFmtId="9" fontId="56"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 fontId="24" fillId="10" borderId="9" applyNumberFormat="0" applyProtection="0">
      <alignment vertical="center"/>
    </xf>
    <xf numFmtId="4" fontId="25" fillId="12" borderId="9" applyNumberFormat="0" applyProtection="0">
      <alignment vertical="center"/>
    </xf>
    <xf numFmtId="4" fontId="24" fillId="12" borderId="9" applyNumberFormat="0" applyProtection="0">
      <alignment horizontal="left" vertical="center" indent="1"/>
    </xf>
    <xf numFmtId="0" fontId="24" fillId="12" borderId="9" applyNumberFormat="0" applyProtection="0">
      <alignment horizontal="left" vertical="top" indent="1"/>
    </xf>
    <xf numFmtId="4" fontId="24" fillId="13" borderId="0" applyNumberFormat="0" applyProtection="0">
      <alignment horizontal="left" vertical="center" indent="1"/>
    </xf>
    <xf numFmtId="4" fontId="24" fillId="14" borderId="0" applyNumberFormat="0" applyProtection="0">
      <alignment horizontal="left" vertical="center" indent="1"/>
    </xf>
    <xf numFmtId="4" fontId="9" fillId="4" borderId="9" applyNumberFormat="0" applyProtection="0">
      <alignment horizontal="right" vertical="center"/>
    </xf>
    <xf numFmtId="4" fontId="9" fillId="15" borderId="9" applyNumberFormat="0" applyProtection="0">
      <alignment horizontal="right" vertical="center"/>
    </xf>
    <xf numFmtId="4" fontId="9" fillId="16" borderId="9" applyNumberFormat="0" applyProtection="0">
      <alignment horizontal="right" vertical="center"/>
    </xf>
    <xf numFmtId="4" fontId="9" fillId="17" borderId="9" applyNumberFormat="0" applyProtection="0">
      <alignment horizontal="right" vertical="center"/>
    </xf>
    <xf numFmtId="4" fontId="9" fillId="7" borderId="9" applyNumberFormat="0" applyProtection="0">
      <alignment horizontal="right" vertical="center"/>
    </xf>
    <xf numFmtId="4" fontId="9" fillId="18" borderId="9" applyNumberFormat="0" applyProtection="0">
      <alignment horizontal="right" vertical="center"/>
    </xf>
    <xf numFmtId="4" fontId="9" fillId="19" borderId="9" applyNumberFormat="0" applyProtection="0">
      <alignment horizontal="right" vertical="center"/>
    </xf>
    <xf numFmtId="4" fontId="9" fillId="20" borderId="9" applyNumberFormat="0" applyProtection="0">
      <alignment horizontal="right" vertical="center"/>
    </xf>
    <xf numFmtId="4" fontId="9" fillId="21" borderId="9" applyNumberFormat="0" applyProtection="0">
      <alignment horizontal="right" vertical="center"/>
    </xf>
    <xf numFmtId="4" fontId="24" fillId="22" borderId="10" applyNumberFormat="0" applyProtection="0">
      <alignment horizontal="left" vertical="center" indent="1"/>
    </xf>
    <xf numFmtId="4" fontId="9" fillId="23" borderId="0" applyNumberFormat="0" applyProtection="0">
      <alignment horizontal="left" vertical="center" indent="1"/>
    </xf>
    <xf numFmtId="4" fontId="26" fillId="24" borderId="0" applyNumberFormat="0" applyProtection="0">
      <alignment horizontal="left" vertical="center" indent="1"/>
    </xf>
    <xf numFmtId="4" fontId="9" fillId="14" borderId="9" applyNumberFormat="0" applyProtection="0">
      <alignment horizontal="right" vertical="center"/>
    </xf>
    <xf numFmtId="4" fontId="9" fillId="23" borderId="0" applyNumberFormat="0" applyProtection="0">
      <alignment horizontal="left" vertical="center" indent="1"/>
    </xf>
    <xf numFmtId="4" fontId="9" fillId="13" borderId="0" applyNumberFormat="0" applyProtection="0">
      <alignment horizontal="left" vertical="center" indent="1"/>
    </xf>
    <xf numFmtId="0" fontId="2" fillId="24" borderId="9" applyNumberFormat="0" applyProtection="0">
      <alignment horizontal="left" vertical="center" indent="1"/>
    </xf>
    <xf numFmtId="0" fontId="2" fillId="24" borderId="9" applyNumberFormat="0" applyProtection="0">
      <alignment horizontal="left" vertical="top" indent="1"/>
    </xf>
    <xf numFmtId="0" fontId="2" fillId="13" borderId="9" applyNumberFormat="0" applyProtection="0">
      <alignment horizontal="left" vertical="center" indent="1"/>
    </xf>
    <xf numFmtId="0" fontId="2" fillId="13" borderId="9" applyNumberFormat="0" applyProtection="0">
      <alignment horizontal="left" vertical="top" indent="1"/>
    </xf>
    <xf numFmtId="0" fontId="2" fillId="25" borderId="9" applyNumberFormat="0" applyProtection="0">
      <alignment horizontal="left" vertical="center" indent="1"/>
    </xf>
    <xf numFmtId="0" fontId="2" fillId="25" borderId="9" applyNumberFormat="0" applyProtection="0">
      <alignment horizontal="left" vertical="top" indent="1"/>
    </xf>
    <xf numFmtId="0" fontId="2" fillId="26" borderId="9" applyNumberFormat="0" applyProtection="0">
      <alignment horizontal="left" vertical="center" indent="1"/>
    </xf>
    <xf numFmtId="0" fontId="2" fillId="26" borderId="9" applyNumberFormat="0" applyProtection="0">
      <alignment horizontal="left" vertical="top" indent="1"/>
    </xf>
    <xf numFmtId="0" fontId="2" fillId="3" borderId="11" applyNumberFormat="0">
      <protection locked="0"/>
    </xf>
    <xf numFmtId="4" fontId="9" fillId="27" borderId="9" applyNumberFormat="0" applyProtection="0">
      <alignment vertical="center"/>
    </xf>
    <xf numFmtId="4" fontId="27" fillId="27" borderId="9" applyNumberFormat="0" applyProtection="0">
      <alignment vertical="center"/>
    </xf>
    <xf numFmtId="4" fontId="9" fillId="27" borderId="9" applyNumberFormat="0" applyProtection="0">
      <alignment horizontal="left" vertical="center" indent="1"/>
    </xf>
    <xf numFmtId="0" fontId="9" fillId="27" borderId="9" applyNumberFormat="0" applyProtection="0">
      <alignment horizontal="left" vertical="top" indent="1"/>
    </xf>
    <xf numFmtId="4" fontId="9" fillId="23" borderId="9" applyNumberFormat="0" applyProtection="0">
      <alignment horizontal="right" vertical="center"/>
    </xf>
    <xf numFmtId="4" fontId="27" fillId="23" borderId="9" applyNumberFormat="0" applyProtection="0">
      <alignment horizontal="right" vertical="center"/>
    </xf>
    <xf numFmtId="4" fontId="9" fillId="14" borderId="9" applyNumberFormat="0" applyProtection="0">
      <alignment horizontal="left" vertical="center" indent="1"/>
    </xf>
    <xf numFmtId="4" fontId="9" fillId="14" borderId="9" applyNumberFormat="0" applyProtection="0">
      <alignment horizontal="left" vertical="center" indent="1"/>
    </xf>
    <xf numFmtId="0" fontId="9" fillId="13" borderId="9" applyNumberFormat="0" applyProtection="0">
      <alignment horizontal="left" vertical="top" indent="1"/>
    </xf>
    <xf numFmtId="4" fontId="28" fillId="6" borderId="0" applyNumberFormat="0" applyProtection="0">
      <alignment horizontal="left" vertical="center" indent="1"/>
    </xf>
    <xf numFmtId="4" fontId="29" fillId="23" borderId="9" applyNumberFormat="0" applyProtection="0">
      <alignment horizontal="right" vertical="center"/>
    </xf>
    <xf numFmtId="0" fontId="30" fillId="0" borderId="0" applyNumberFormat="0" applyFill="0" applyBorder="0" applyAlignment="0" applyProtection="0"/>
    <xf numFmtId="0" fontId="2" fillId="0" borderId="0"/>
    <xf numFmtId="0" fontId="2" fillId="0" borderId="0"/>
    <xf numFmtId="0" fontId="2" fillId="0" borderId="0"/>
    <xf numFmtId="0" fontId="7" fillId="0" borderId="0"/>
    <xf numFmtId="0" fontId="2" fillId="0" borderId="0">
      <alignment vertical="top"/>
    </xf>
    <xf numFmtId="0" fontId="2" fillId="0" borderId="0"/>
    <xf numFmtId="0" fontId="2" fillId="0" borderId="0">
      <alignment vertical="top"/>
    </xf>
    <xf numFmtId="0" fontId="2" fillId="0" borderId="0"/>
    <xf numFmtId="0" fontId="2"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xf numFmtId="0" fontId="2" fillId="0" borderId="0">
      <alignment vertical="top"/>
    </xf>
    <xf numFmtId="0" fontId="2" fillId="0" borderId="0">
      <alignment vertical="top"/>
    </xf>
    <xf numFmtId="0" fontId="2" fillId="0" borderId="0"/>
    <xf numFmtId="0" fontId="2" fillId="0" borderId="0"/>
    <xf numFmtId="0" fontId="56" fillId="0" borderId="0"/>
    <xf numFmtId="0" fontId="2" fillId="0" borderId="0">
      <alignment vertical="top"/>
    </xf>
    <xf numFmtId="0" fontId="56" fillId="0" borderId="0"/>
    <xf numFmtId="0" fontId="56" fillId="0" borderId="0"/>
    <xf numFmtId="0" fontId="56" fillId="0" borderId="0"/>
    <xf numFmtId="0" fontId="56" fillId="0" borderId="0"/>
    <xf numFmtId="0" fontId="56" fillId="0" borderId="0"/>
    <xf numFmtId="0" fontId="1" fillId="0" borderId="0"/>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2" fillId="0" borderId="0">
      <alignment vertical="top"/>
    </xf>
    <xf numFmtId="0" fontId="58" fillId="0" borderId="0"/>
    <xf numFmtId="0" fontId="2" fillId="0" borderId="0"/>
    <xf numFmtId="0" fontId="2" fillId="0" borderId="0"/>
    <xf numFmtId="0" fontId="2" fillId="0" borderId="0"/>
    <xf numFmtId="0" fontId="57" fillId="0" borderId="0"/>
    <xf numFmtId="0" fontId="43" fillId="0" borderId="0"/>
    <xf numFmtId="0" fontId="8" fillId="0" borderId="0"/>
    <xf numFmtId="0" fontId="2" fillId="0" borderId="0"/>
    <xf numFmtId="0" fontId="9" fillId="0" borderId="0">
      <alignment vertical="top"/>
    </xf>
    <xf numFmtId="0" fontId="9" fillId="0" borderId="0">
      <alignment vertical="top"/>
    </xf>
    <xf numFmtId="0" fontId="31" fillId="0" borderId="0" applyNumberFormat="0" applyFill="0" applyBorder="0" applyAlignment="0" applyProtection="0"/>
    <xf numFmtId="0" fontId="32" fillId="0" borderId="12" applyNumberFormat="0" applyFill="0" applyAlignment="0" applyProtection="0"/>
    <xf numFmtId="164" fontId="2" fillId="0" borderId="0" applyFont="0" applyFill="0" applyBorder="0" applyAlignment="0" applyProtection="0"/>
    <xf numFmtId="0" fontId="33" fillId="0" borderId="0" applyNumberFormat="0" applyFill="0" applyBorder="0" applyAlignment="0" applyProtection="0"/>
    <xf numFmtId="0" fontId="49" fillId="28" borderId="13"/>
    <xf numFmtId="0" fontId="63" fillId="0" borderId="0"/>
    <xf numFmtId="0" fontId="9" fillId="0" borderId="0">
      <alignment vertical="top"/>
    </xf>
    <xf numFmtId="0" fontId="56" fillId="0" borderId="0"/>
  </cellStyleXfs>
  <cellXfs count="2018">
    <xf numFmtId="0" fontId="0" fillId="0" borderId="0" xfId="0"/>
    <xf numFmtId="0" fontId="0" fillId="30" borderId="0" xfId="0" applyFill="1"/>
    <xf numFmtId="0" fontId="2" fillId="0" borderId="0" xfId="231" applyFont="1" applyFill="1" applyAlignment="1" applyProtection="1">
      <alignment vertical="center"/>
    </xf>
    <xf numFmtId="0" fontId="0" fillId="30" borderId="0" xfId="0" applyFill="1" applyAlignment="1" applyProtection="1">
      <alignment vertical="center"/>
    </xf>
    <xf numFmtId="0" fontId="2" fillId="30" borderId="0" xfId="224" applyFont="1" applyFill="1" applyAlignment="1" applyProtection="1">
      <alignment vertical="center"/>
    </xf>
    <xf numFmtId="0" fontId="2" fillId="30" borderId="0" xfId="231" applyFont="1" applyFill="1" applyAlignment="1" applyProtection="1">
      <alignment vertical="center"/>
    </xf>
    <xf numFmtId="0" fontId="0" fillId="30" borderId="0" xfId="0" applyFill="1" applyAlignment="1">
      <alignment vertical="center"/>
    </xf>
    <xf numFmtId="0" fontId="0" fillId="0" borderId="0" xfId="0" applyAlignment="1">
      <alignment vertical="center"/>
    </xf>
    <xf numFmtId="0" fontId="2" fillId="0" borderId="0" xfId="224" applyFont="1" applyFill="1" applyAlignment="1" applyProtection="1">
      <alignment vertical="center"/>
    </xf>
    <xf numFmtId="0" fontId="3" fillId="0" borderId="0" xfId="224" applyFont="1" applyFill="1" applyAlignment="1" applyProtection="1">
      <alignment vertical="center"/>
    </xf>
    <xf numFmtId="0" fontId="3" fillId="0" borderId="0" xfId="224" applyFont="1" applyFill="1" applyAlignment="1" applyProtection="1">
      <alignment horizontal="center" vertical="center"/>
    </xf>
    <xf numFmtId="0" fontId="4" fillId="0" borderId="0" xfId="224" applyFont="1" applyFill="1" applyAlignment="1" applyProtection="1">
      <alignment vertical="center"/>
    </xf>
    <xf numFmtId="0" fontId="3" fillId="31" borderId="19" xfId="263" applyNumberFormat="1" applyFont="1" applyFill="1" applyBorder="1" applyAlignment="1" applyProtection="1">
      <alignment horizontal="center" vertical="center"/>
      <protection locked="0"/>
    </xf>
    <xf numFmtId="0" fontId="3" fillId="30" borderId="0" xfId="224" applyFont="1" applyFill="1" applyAlignment="1" applyProtection="1">
      <alignment vertical="center"/>
    </xf>
    <xf numFmtId="164" fontId="2" fillId="30" borderId="0" xfId="263" applyFont="1" applyFill="1" applyBorder="1" applyAlignment="1" applyProtection="1">
      <alignment horizontal="center" vertical="center"/>
    </xf>
    <xf numFmtId="0" fontId="3" fillId="30" borderId="0" xfId="220" applyFont="1" applyFill="1" applyAlignment="1" applyProtection="1">
      <alignment vertical="center"/>
    </xf>
    <xf numFmtId="0" fontId="3" fillId="30" borderId="19" xfId="220" applyFont="1" applyFill="1" applyBorder="1" applyAlignment="1" applyProtection="1">
      <alignment vertical="center"/>
    </xf>
    <xf numFmtId="0" fontId="6" fillId="0" borderId="0" xfId="224" applyFont="1" applyFill="1" applyAlignment="1" applyProtection="1">
      <alignment vertical="center"/>
    </xf>
    <xf numFmtId="0" fontId="2" fillId="0" borderId="0" xfId="224" applyFont="1" applyAlignment="1" applyProtection="1">
      <alignment vertical="center"/>
    </xf>
    <xf numFmtId="0" fontId="2" fillId="0" borderId="0" xfId="224" quotePrefix="1" applyFont="1" applyAlignment="1" applyProtection="1">
      <alignment vertical="center"/>
    </xf>
    <xf numFmtId="0" fontId="2" fillId="0" borderId="0" xfId="224" applyNumberFormat="1" applyFont="1" applyAlignment="1" applyProtection="1">
      <alignment vertical="center"/>
    </xf>
    <xf numFmtId="0" fontId="2" fillId="0" borderId="0" xfId="1" applyFont="1" applyAlignment="1" applyProtection="1">
      <alignment vertical="center"/>
    </xf>
    <xf numFmtId="0" fontId="2" fillId="29" borderId="0" xfId="257" applyFont="1" applyFill="1" applyBorder="1" applyAlignment="1" applyProtection="1">
      <alignment vertical="center"/>
    </xf>
    <xf numFmtId="0" fontId="2" fillId="30" borderId="11" xfId="257" applyFont="1" applyFill="1" applyBorder="1" applyAlignment="1" applyProtection="1">
      <alignment horizontal="left" vertical="center" wrapText="1"/>
    </xf>
    <xf numFmtId="0" fontId="2" fillId="30" borderId="0" xfId="224" applyFont="1" applyFill="1" applyBorder="1" applyAlignment="1" applyProtection="1">
      <alignment vertical="center"/>
    </xf>
    <xf numFmtId="0" fontId="2" fillId="30" borderId="0" xfId="257" applyFont="1" applyFill="1" applyBorder="1" applyAlignment="1" applyProtection="1">
      <alignment horizontal="left" vertical="center"/>
    </xf>
    <xf numFmtId="0" fontId="9" fillId="29" borderId="0" xfId="257" applyFont="1" applyFill="1" applyBorder="1" applyAlignment="1" applyProtection="1">
      <alignment vertical="center"/>
    </xf>
    <xf numFmtId="0" fontId="2" fillId="30" borderId="0" xfId="1" applyFont="1" applyFill="1" applyAlignment="1" applyProtection="1">
      <alignment vertical="center"/>
    </xf>
    <xf numFmtId="0" fontId="2" fillId="32" borderId="11" xfId="257" applyFont="1" applyFill="1" applyBorder="1" applyAlignment="1" applyProtection="1">
      <alignment horizontal="left" vertical="center" wrapText="1"/>
    </xf>
    <xf numFmtId="0" fontId="2" fillId="30" borderId="0" xfId="224" applyFont="1" applyFill="1" applyAlignment="1" applyProtection="1">
      <alignment horizontal="left" vertical="center"/>
    </xf>
    <xf numFmtId="0" fontId="2" fillId="30" borderId="0" xfId="224" applyFont="1" applyFill="1" applyAlignment="1" applyProtection="1">
      <alignment vertical="center" wrapText="1"/>
    </xf>
    <xf numFmtId="0" fontId="10" fillId="0" borderId="0" xfId="22" applyAlignment="1" applyProtection="1">
      <alignment vertical="center"/>
    </xf>
    <xf numFmtId="0" fontId="10" fillId="0" borderId="0" xfId="22" applyFill="1" applyAlignment="1" applyProtection="1">
      <alignment vertical="center"/>
    </xf>
    <xf numFmtId="0" fontId="38" fillId="30" borderId="0" xfId="258" applyFont="1" applyFill="1" applyAlignment="1" applyProtection="1">
      <alignment vertical="center" wrapText="1"/>
    </xf>
    <xf numFmtId="0" fontId="2" fillId="30" borderId="0" xfId="224" quotePrefix="1" applyFont="1" applyFill="1" applyAlignment="1" applyProtection="1">
      <alignment vertical="center"/>
    </xf>
    <xf numFmtId="0" fontId="38" fillId="30" borderId="0" xfId="231" applyFont="1" applyFill="1" applyAlignment="1" applyProtection="1">
      <alignment vertical="center"/>
    </xf>
    <xf numFmtId="0" fontId="2" fillId="0" borderId="0" xfId="224" quotePrefix="1" applyFont="1" applyFill="1" applyAlignment="1" applyProtection="1">
      <alignment vertical="center"/>
    </xf>
    <xf numFmtId="0" fontId="64" fillId="0" borderId="0" xfId="22" applyFont="1" applyAlignment="1" applyProtection="1"/>
    <xf numFmtId="0" fontId="64" fillId="0" borderId="0" xfId="22" applyFont="1" applyAlignment="1" applyProtection="1">
      <alignment vertical="center"/>
    </xf>
    <xf numFmtId="0" fontId="35" fillId="30" borderId="0" xfId="231" applyFont="1" applyFill="1" applyAlignment="1" applyProtection="1">
      <alignment vertical="center"/>
    </xf>
    <xf numFmtId="0" fontId="61" fillId="30" borderId="0" xfId="258" applyFont="1" applyFill="1" applyAlignment="1" applyProtection="1">
      <alignment vertical="center"/>
    </xf>
    <xf numFmtId="0" fontId="11" fillId="30" borderId="0" xfId="231" applyFont="1" applyFill="1" applyAlignment="1" applyProtection="1">
      <alignment vertical="center"/>
    </xf>
    <xf numFmtId="0" fontId="42" fillId="30" borderId="0" xfId="258" applyFont="1" applyFill="1" applyAlignment="1" applyProtection="1">
      <alignment vertical="center"/>
    </xf>
    <xf numFmtId="0" fontId="37" fillId="30" borderId="0" xfId="258" applyFont="1" applyFill="1" applyAlignment="1" applyProtection="1">
      <alignment vertical="center"/>
    </xf>
    <xf numFmtId="4" fontId="40" fillId="30" borderId="0" xfId="258" applyNumberFormat="1" applyFont="1" applyFill="1" applyAlignment="1" applyProtection="1">
      <alignment vertical="center"/>
    </xf>
    <xf numFmtId="0" fontId="40" fillId="30" borderId="0" xfId="258" applyFont="1" applyFill="1" applyAlignment="1" applyProtection="1">
      <alignment vertical="center"/>
    </xf>
    <xf numFmtId="0" fontId="2" fillId="0" borderId="0" xfId="231" applyFill="1" applyAlignment="1" applyProtection="1">
      <alignment vertical="center"/>
    </xf>
    <xf numFmtId="0" fontId="36" fillId="0" borderId="0" xfId="231" applyFont="1" applyFill="1" applyAlignment="1" applyProtection="1">
      <alignment vertical="center"/>
    </xf>
    <xf numFmtId="0" fontId="37" fillId="0" borderId="0" xfId="231" applyFont="1" applyFill="1" applyAlignment="1" applyProtection="1">
      <alignment vertical="center"/>
    </xf>
    <xf numFmtId="0" fontId="39" fillId="0" borderId="0" xfId="231" applyFont="1" applyFill="1" applyAlignment="1" applyProtection="1">
      <alignment vertical="center"/>
    </xf>
    <xf numFmtId="0" fontId="11" fillId="0" borderId="0" xfId="231" applyFont="1" applyFill="1" applyAlignment="1" applyProtection="1">
      <alignment vertical="center"/>
    </xf>
    <xf numFmtId="0" fontId="2" fillId="0" borderId="0" xfId="231" applyFill="1" applyAlignment="1" applyProtection="1">
      <alignment horizontal="right" vertical="center"/>
    </xf>
    <xf numFmtId="0" fontId="34" fillId="30" borderId="0" xfId="258" applyFont="1" applyFill="1" applyBorder="1" applyAlignment="1" applyProtection="1">
      <alignment horizontal="center" vertical="center"/>
    </xf>
    <xf numFmtId="0" fontId="35" fillId="30" borderId="0" xfId="231" applyFont="1" applyFill="1" applyAlignment="1" applyProtection="1">
      <alignment horizontal="center" vertical="center"/>
    </xf>
    <xf numFmtId="0" fontId="61" fillId="30" borderId="0" xfId="258" applyFont="1" applyFill="1" applyAlignment="1" applyProtection="1">
      <alignment horizontal="center" vertical="center"/>
    </xf>
    <xf numFmtId="0" fontId="11" fillId="30" borderId="0" xfId="231" applyFont="1" applyFill="1" applyAlignment="1" applyProtection="1">
      <alignment horizontal="center" vertical="center"/>
    </xf>
    <xf numFmtId="0" fontId="0" fillId="30" borderId="0" xfId="0" applyFill="1" applyAlignment="1" applyProtection="1">
      <alignment horizontal="center" vertical="center"/>
    </xf>
    <xf numFmtId="0" fontId="42" fillId="30" borderId="0" xfId="258" applyFont="1" applyFill="1" applyAlignment="1" applyProtection="1">
      <alignment horizontal="center" vertical="center"/>
    </xf>
    <xf numFmtId="0" fontId="37" fillId="30" borderId="0" xfId="258" applyFont="1" applyFill="1" applyAlignment="1" applyProtection="1">
      <alignment horizontal="center" vertical="center"/>
    </xf>
    <xf numFmtId="4" fontId="40" fillId="30" borderId="0" xfId="258" applyNumberFormat="1" applyFont="1" applyFill="1" applyAlignment="1" applyProtection="1">
      <alignment horizontal="center" vertical="center"/>
    </xf>
    <xf numFmtId="0" fontId="0" fillId="30" borderId="0" xfId="0" applyFill="1" applyAlignment="1">
      <alignment horizontal="center" vertical="center"/>
    </xf>
    <xf numFmtId="0" fontId="2" fillId="30" borderId="0" xfId="231" applyFill="1" applyAlignment="1" applyProtection="1">
      <alignment horizontal="center" vertical="center"/>
    </xf>
    <xf numFmtId="0" fontId="62" fillId="30" borderId="0" xfId="0" applyFont="1" applyFill="1" applyAlignment="1">
      <alignment horizontal="center" vertical="center"/>
    </xf>
    <xf numFmtId="0" fontId="34" fillId="30" borderId="0" xfId="258" applyFont="1" applyFill="1" applyBorder="1" applyAlignment="1" applyProtection="1">
      <alignment horizontal="left" vertical="center"/>
    </xf>
    <xf numFmtId="0" fontId="11" fillId="30" borderId="0" xfId="231" applyFont="1" applyFill="1" applyAlignment="1" applyProtection="1">
      <alignment horizontal="left" vertical="center"/>
    </xf>
    <xf numFmtId="0" fontId="62" fillId="30" borderId="0" xfId="0" applyFont="1" applyFill="1" applyAlignment="1">
      <alignment horizontal="left" vertical="center"/>
    </xf>
    <xf numFmtId="0" fontId="37" fillId="30" borderId="0" xfId="258" applyFont="1" applyFill="1" applyBorder="1" applyAlignment="1" applyProtection="1">
      <alignment horizontal="left" vertical="center"/>
    </xf>
    <xf numFmtId="0" fontId="35" fillId="30" borderId="0" xfId="231" applyFont="1" applyFill="1" applyAlignment="1" applyProtection="1">
      <alignment horizontal="left" vertical="center"/>
    </xf>
    <xf numFmtId="4" fontId="40" fillId="30" borderId="0" xfId="258" applyNumberFormat="1" applyFont="1" applyFill="1" applyAlignment="1" applyProtection="1">
      <alignment horizontal="left" vertical="center"/>
    </xf>
    <xf numFmtId="0" fontId="40" fillId="30" borderId="0" xfId="258" applyFont="1" applyFill="1" applyAlignment="1" applyProtection="1">
      <alignment horizontal="left" vertical="center"/>
    </xf>
    <xf numFmtId="0" fontId="0" fillId="30" borderId="0" xfId="0" applyFill="1" applyAlignment="1" applyProtection="1">
      <alignment horizontal="left" vertical="center"/>
    </xf>
    <xf numFmtId="0" fontId="2" fillId="30" borderId="0" xfId="231" applyFill="1" applyAlignment="1" applyProtection="1">
      <alignment horizontal="left" vertical="center"/>
    </xf>
    <xf numFmtId="0" fontId="62" fillId="30" borderId="26" xfId="0" applyFont="1" applyFill="1" applyBorder="1" applyAlignment="1">
      <alignment horizontal="center" vertical="center"/>
    </xf>
    <xf numFmtId="0" fontId="62" fillId="30" borderId="26" xfId="0" applyFont="1" applyFill="1" applyBorder="1" applyAlignment="1">
      <alignment horizontal="left" vertical="center"/>
    </xf>
    <xf numFmtId="0" fontId="0" fillId="30" borderId="25" xfId="0" applyFill="1" applyBorder="1" applyAlignment="1">
      <alignment horizontal="center" vertical="center"/>
    </xf>
    <xf numFmtId="0" fontId="62" fillId="30" borderId="73" xfId="0" applyFont="1" applyFill="1" applyBorder="1" applyAlignment="1">
      <alignment horizontal="center" vertical="center" wrapText="1"/>
    </xf>
    <xf numFmtId="0" fontId="62" fillId="30" borderId="50" xfId="0" applyFont="1" applyFill="1" applyBorder="1" applyAlignment="1">
      <alignment horizontal="center" vertical="center" wrapText="1"/>
    </xf>
    <xf numFmtId="0" fontId="62" fillId="30" borderId="74" xfId="0" applyFont="1" applyFill="1" applyBorder="1" applyAlignment="1">
      <alignment horizontal="center" vertical="center" wrapText="1"/>
    </xf>
    <xf numFmtId="0" fontId="0" fillId="30" borderId="44" xfId="0" applyFill="1" applyBorder="1" applyAlignment="1">
      <alignment horizontal="left" vertical="center"/>
    </xf>
    <xf numFmtId="0" fontId="0" fillId="30" borderId="38" xfId="0" applyFill="1" applyBorder="1" applyAlignment="1">
      <alignment horizontal="left" vertical="center"/>
    </xf>
    <xf numFmtId="0" fontId="0" fillId="30" borderId="75" xfId="0" applyFill="1" applyBorder="1" applyAlignment="1">
      <alignment horizontal="left" vertical="center" wrapText="1"/>
    </xf>
    <xf numFmtId="0" fontId="0" fillId="30" borderId="15" xfId="0" applyFill="1" applyBorder="1" applyAlignment="1">
      <alignment horizontal="left" vertical="center"/>
    </xf>
    <xf numFmtId="0" fontId="0" fillId="30" borderId="14" xfId="0" applyFill="1" applyBorder="1" applyAlignment="1">
      <alignment horizontal="left" vertical="center"/>
    </xf>
    <xf numFmtId="0" fontId="0" fillId="30" borderId="71" xfId="0" applyFill="1" applyBorder="1" applyAlignment="1">
      <alignment horizontal="left" vertical="center" wrapText="1"/>
    </xf>
    <xf numFmtId="0" fontId="0" fillId="30" borderId="76" xfId="0" applyFill="1" applyBorder="1" applyAlignment="1">
      <alignment horizontal="center" vertical="center"/>
    </xf>
    <xf numFmtId="0" fontId="0" fillId="30" borderId="78" xfId="0" applyFill="1" applyBorder="1" applyAlignment="1">
      <alignment horizontal="center" vertical="center"/>
    </xf>
    <xf numFmtId="0" fontId="0" fillId="30" borderId="79" xfId="0" applyFill="1" applyBorder="1" applyAlignment="1">
      <alignment horizontal="center" vertical="center"/>
    </xf>
    <xf numFmtId="0" fontId="0" fillId="30" borderId="80" xfId="0" applyFill="1" applyBorder="1" applyAlignment="1">
      <alignment horizontal="center" vertical="center"/>
    </xf>
    <xf numFmtId="0" fontId="2" fillId="33" borderId="11" xfId="257" applyFont="1" applyFill="1" applyBorder="1" applyAlignment="1" applyProtection="1">
      <alignment vertical="center"/>
    </xf>
    <xf numFmtId="176" fontId="0" fillId="30" borderId="82" xfId="0" applyNumberFormat="1" applyFill="1" applyBorder="1" applyAlignment="1">
      <alignment horizontal="right" vertical="center"/>
    </xf>
    <xf numFmtId="176" fontId="0" fillId="30" borderId="52" xfId="0" applyNumberFormat="1" applyFill="1" applyBorder="1" applyAlignment="1">
      <alignment horizontal="right" vertical="center"/>
    </xf>
    <xf numFmtId="176" fontId="0" fillId="30" borderId="83" xfId="0" applyNumberFormat="1" applyFill="1" applyBorder="1" applyAlignment="1">
      <alignment horizontal="right" vertical="center"/>
    </xf>
    <xf numFmtId="176" fontId="0" fillId="30" borderId="84" xfId="0" applyNumberFormat="1" applyFill="1" applyBorder="1" applyAlignment="1">
      <alignment horizontal="right" vertical="center"/>
    </xf>
    <xf numFmtId="176" fontId="0" fillId="30" borderId="72" xfId="0" applyNumberFormat="1" applyFill="1" applyBorder="1" applyAlignment="1">
      <alignment horizontal="right" vertical="center"/>
    </xf>
    <xf numFmtId="176" fontId="0" fillId="30" borderId="76" xfId="0" applyNumberFormat="1" applyFill="1" applyBorder="1" applyAlignment="1">
      <alignment horizontal="right" vertical="center"/>
    </xf>
    <xf numFmtId="176" fontId="0" fillId="30" borderId="30" xfId="0" applyNumberFormat="1" applyFill="1" applyBorder="1" applyAlignment="1">
      <alignment horizontal="right" vertical="center"/>
    </xf>
    <xf numFmtId="176" fontId="0" fillId="30" borderId="78" xfId="0" applyNumberFormat="1" applyFill="1" applyBorder="1" applyAlignment="1">
      <alignment horizontal="right" vertical="center"/>
    </xf>
    <xf numFmtId="176" fontId="0" fillId="30" borderId="79" xfId="0" applyNumberFormat="1" applyFill="1" applyBorder="1" applyAlignment="1">
      <alignment horizontal="right" vertical="center"/>
    </xf>
    <xf numFmtId="176" fontId="0" fillId="30" borderId="80" xfId="0" applyNumberFormat="1" applyFill="1" applyBorder="1" applyAlignment="1">
      <alignment horizontal="right" vertical="center"/>
    </xf>
    <xf numFmtId="176" fontId="0" fillId="30" borderId="57" xfId="0" applyNumberFormat="1" applyFill="1" applyBorder="1" applyAlignment="1">
      <alignment horizontal="right" vertical="center"/>
    </xf>
    <xf numFmtId="176" fontId="0" fillId="30" borderId="73" xfId="0" applyNumberFormat="1" applyFill="1" applyBorder="1" applyAlignment="1">
      <alignment horizontal="right" vertical="center"/>
    </xf>
    <xf numFmtId="176" fontId="0" fillId="30" borderId="50" xfId="0" applyNumberFormat="1" applyFill="1" applyBorder="1" applyAlignment="1">
      <alignment horizontal="right" vertical="center"/>
    </xf>
    <xf numFmtId="176" fontId="0" fillId="30" borderId="74" xfId="0" applyNumberFormat="1" applyFill="1" applyBorder="1" applyAlignment="1">
      <alignment horizontal="right" vertical="center"/>
    </xf>
    <xf numFmtId="0" fontId="0" fillId="0" borderId="0" xfId="0" applyAlignment="1" applyProtection="1">
      <alignment vertical="center"/>
    </xf>
    <xf numFmtId="0" fontId="59" fillId="0" borderId="49" xfId="0" applyFont="1" applyBorder="1" applyAlignment="1" applyProtection="1">
      <alignment horizontal="center" vertical="center"/>
    </xf>
    <xf numFmtId="0" fontId="0" fillId="0" borderId="78" xfId="0" applyBorder="1" applyAlignment="1" applyProtection="1">
      <alignment horizontal="center" vertical="center"/>
    </xf>
    <xf numFmtId="0" fontId="0" fillId="0" borderId="80" xfId="0" applyBorder="1" applyAlignment="1" applyProtection="1">
      <alignment horizontal="center" vertical="center"/>
    </xf>
    <xf numFmtId="0" fontId="0" fillId="0" borderId="23" xfId="0" applyBorder="1" applyAlignment="1" applyProtection="1">
      <alignment horizontal="center" vertical="center"/>
    </xf>
    <xf numFmtId="0" fontId="0" fillId="0" borderId="44" xfId="0" applyBorder="1" applyAlignment="1" applyProtection="1">
      <alignment vertical="center"/>
    </xf>
    <xf numFmtId="0" fontId="0" fillId="0" borderId="38" xfId="0" applyBorder="1" applyAlignment="1" applyProtection="1">
      <alignment vertical="center"/>
    </xf>
    <xf numFmtId="176" fontId="0" fillId="0" borderId="82" xfId="0" applyNumberFormat="1" applyBorder="1" applyAlignment="1" applyProtection="1">
      <alignment vertical="center"/>
    </xf>
    <xf numFmtId="10" fontId="56" fillId="0" borderId="83" xfId="158" applyNumberFormat="1" applyFont="1" applyBorder="1" applyAlignment="1" applyProtection="1">
      <alignment vertical="center"/>
    </xf>
    <xf numFmtId="176" fontId="0" fillId="0" borderId="53" xfId="0" applyNumberFormat="1" applyBorder="1" applyAlignment="1" applyProtection="1">
      <alignment vertical="center"/>
    </xf>
    <xf numFmtId="0" fontId="0" fillId="0" borderId="15" xfId="0" applyBorder="1" applyAlignment="1" applyProtection="1">
      <alignment vertical="center"/>
    </xf>
    <xf numFmtId="0" fontId="0" fillId="0" borderId="14" xfId="0" applyBorder="1" applyAlignment="1" applyProtection="1">
      <alignment vertical="center"/>
    </xf>
    <xf numFmtId="176" fontId="0" fillId="0" borderId="72" xfId="0" applyNumberFormat="1" applyBorder="1" applyAlignment="1" applyProtection="1">
      <alignment vertical="center"/>
    </xf>
    <xf numFmtId="10" fontId="56" fillId="0" borderId="76" xfId="158" applyNumberFormat="1" applyFont="1" applyBorder="1" applyAlignment="1" applyProtection="1">
      <alignment vertical="center"/>
    </xf>
    <xf numFmtId="176" fontId="0" fillId="0" borderId="31" xfId="0" applyNumberFormat="1" applyBorder="1" applyAlignment="1" applyProtection="1">
      <alignment vertical="center"/>
    </xf>
    <xf numFmtId="0" fontId="0" fillId="0" borderId="70" xfId="0" applyBorder="1" applyAlignment="1" applyProtection="1">
      <alignment vertical="center"/>
    </xf>
    <xf numFmtId="0" fontId="0" fillId="0" borderId="67" xfId="0" applyBorder="1" applyAlignment="1" applyProtection="1">
      <alignment vertical="center"/>
    </xf>
    <xf numFmtId="176" fontId="0" fillId="0" borderId="78" xfId="0" applyNumberFormat="1" applyBorder="1" applyAlignment="1" applyProtection="1">
      <alignment vertical="center"/>
    </xf>
    <xf numFmtId="10" fontId="56" fillId="0" borderId="80" xfId="158" applyNumberFormat="1" applyFont="1" applyBorder="1" applyAlignment="1" applyProtection="1">
      <alignment vertical="center"/>
    </xf>
    <xf numFmtId="176" fontId="0" fillId="0" borderId="35" xfId="0" applyNumberFormat="1" applyBorder="1" applyAlignment="1" applyProtection="1">
      <alignment vertical="center"/>
    </xf>
    <xf numFmtId="0" fontId="59" fillId="0" borderId="25" xfId="0" applyFont="1" applyBorder="1" applyAlignment="1" applyProtection="1">
      <alignment vertical="center"/>
    </xf>
    <xf numFmtId="0" fontId="59" fillId="0" borderId="26" xfId="0" applyFont="1" applyBorder="1" applyAlignment="1" applyProtection="1">
      <alignment vertical="center"/>
    </xf>
    <xf numFmtId="176" fontId="59" fillId="0" borderId="73" xfId="0" applyNumberFormat="1" applyFont="1" applyBorder="1" applyAlignment="1" applyProtection="1">
      <alignment vertical="center"/>
    </xf>
    <xf numFmtId="10" fontId="59" fillId="0" borderId="74" xfId="158" applyNumberFormat="1" applyFont="1" applyBorder="1" applyAlignment="1" applyProtection="1">
      <alignment vertical="center"/>
    </xf>
    <xf numFmtId="176" fontId="59" fillId="0" borderId="20" xfId="0" applyNumberFormat="1" applyFont="1" applyBorder="1" applyAlignment="1" applyProtection="1">
      <alignment vertical="center"/>
    </xf>
    <xf numFmtId="4" fontId="0" fillId="30" borderId="76" xfId="0" applyNumberFormat="1" applyFill="1" applyBorder="1" applyAlignment="1">
      <alignment horizontal="right" vertical="center"/>
    </xf>
    <xf numFmtId="0" fontId="42" fillId="30" borderId="0" xfId="258" applyFont="1" applyFill="1" applyAlignment="1" applyProtection="1">
      <alignment horizontal="left" vertical="center"/>
    </xf>
    <xf numFmtId="0" fontId="0" fillId="30" borderId="22" xfId="0" applyFill="1" applyBorder="1" applyAlignment="1">
      <alignment horizontal="center" vertical="center"/>
    </xf>
    <xf numFmtId="0" fontId="0" fillId="30" borderId="38" xfId="0" applyFill="1" applyBorder="1" applyAlignment="1">
      <alignment vertical="center"/>
    </xf>
    <xf numFmtId="0" fontId="0" fillId="30" borderId="14" xfId="0" applyFill="1" applyBorder="1"/>
    <xf numFmtId="0" fontId="0" fillId="30" borderId="33" xfId="0" applyFill="1" applyBorder="1"/>
    <xf numFmtId="0" fontId="42" fillId="30" borderId="0" xfId="258" applyFont="1" applyFill="1" applyBorder="1" applyAlignment="1" applyProtection="1">
      <alignment horizontal="center" vertical="center"/>
    </xf>
    <xf numFmtId="0" fontId="2" fillId="35" borderId="11" xfId="257" applyFont="1" applyFill="1" applyBorder="1" applyAlignment="1" applyProtection="1">
      <alignment vertical="center"/>
    </xf>
    <xf numFmtId="0" fontId="0" fillId="30" borderId="0" xfId="0" applyFill="1" applyAlignment="1">
      <alignment horizontal="center"/>
    </xf>
    <xf numFmtId="0" fontId="65" fillId="30" borderId="109" xfId="0" applyFont="1" applyFill="1" applyBorder="1" applyAlignment="1">
      <alignment horizontal="center" vertical="center"/>
    </xf>
    <xf numFmtId="0" fontId="65" fillId="30" borderId="119" xfId="0" applyFont="1" applyFill="1" applyBorder="1" applyAlignment="1">
      <alignment horizontal="center" vertical="center"/>
    </xf>
    <xf numFmtId="0" fontId="65" fillId="30" borderId="121" xfId="0" applyFont="1" applyFill="1" applyBorder="1" applyAlignment="1">
      <alignment horizontal="center" vertical="center"/>
    </xf>
    <xf numFmtId="0" fontId="65" fillId="30" borderId="122" xfId="0" applyFont="1" applyFill="1" applyBorder="1" applyAlignment="1">
      <alignment horizontal="center" vertical="center"/>
    </xf>
    <xf numFmtId="0" fontId="65" fillId="30" borderId="114" xfId="0" applyFont="1" applyFill="1" applyBorder="1" applyAlignment="1">
      <alignment horizontal="left" vertical="center"/>
    </xf>
    <xf numFmtId="0" fontId="65" fillId="30" borderId="125" xfId="0" applyFont="1" applyFill="1" applyBorder="1" applyAlignment="1">
      <alignment horizontal="left" vertical="center"/>
    </xf>
    <xf numFmtId="0" fontId="65" fillId="30" borderId="125" xfId="0" applyFont="1" applyFill="1" applyBorder="1" applyAlignment="1">
      <alignment horizontal="left" vertical="center" wrapText="1"/>
    </xf>
    <xf numFmtId="0" fontId="62" fillId="30" borderId="60" xfId="0" applyFont="1" applyFill="1" applyBorder="1" applyAlignment="1">
      <alignment horizontal="center" vertical="center" wrapText="1"/>
    </xf>
    <xf numFmtId="0" fontId="62" fillId="30" borderId="91" xfId="0" applyFont="1" applyFill="1" applyBorder="1" applyAlignment="1">
      <alignment horizontal="center" vertical="center" wrapText="1"/>
    </xf>
    <xf numFmtId="0" fontId="62" fillId="30" borderId="90" xfId="0" applyFont="1" applyFill="1" applyBorder="1" applyAlignment="1">
      <alignment horizontal="center" vertical="center" wrapText="1"/>
    </xf>
    <xf numFmtId="0" fontId="62" fillId="30" borderId="22" xfId="0" applyFont="1" applyFill="1" applyBorder="1" applyAlignment="1">
      <alignment horizontal="center" vertical="center" wrapText="1"/>
    </xf>
    <xf numFmtId="0" fontId="0" fillId="30" borderId="38" xfId="0" applyFill="1" applyBorder="1"/>
    <xf numFmtId="0" fontId="0" fillId="30" borderId="84" xfId="0" applyFill="1" applyBorder="1"/>
    <xf numFmtId="0" fontId="0" fillId="30" borderId="30" xfId="0" applyFill="1" applyBorder="1"/>
    <xf numFmtId="0" fontId="0" fillId="30" borderId="89" xfId="0" applyFill="1" applyBorder="1"/>
    <xf numFmtId="0" fontId="0" fillId="30" borderId="44" xfId="0" applyFill="1" applyBorder="1"/>
    <xf numFmtId="0" fontId="0" fillId="30" borderId="15" xfId="0" applyFill="1" applyBorder="1"/>
    <xf numFmtId="0" fontId="0" fillId="30" borderId="32" xfId="0" applyFill="1" applyBorder="1"/>
    <xf numFmtId="0" fontId="62" fillId="30" borderId="90" xfId="0" applyFont="1" applyFill="1" applyBorder="1" applyAlignment="1">
      <alignment horizontal="center" vertical="center"/>
    </xf>
    <xf numFmtId="0" fontId="62" fillId="30" borderId="87" xfId="0" applyFont="1" applyFill="1" applyBorder="1" applyAlignment="1">
      <alignment horizontal="center" vertical="center" wrapText="1"/>
    </xf>
    <xf numFmtId="4" fontId="0" fillId="30" borderId="19" xfId="0" applyNumberFormat="1" applyFill="1" applyBorder="1"/>
    <xf numFmtId="0" fontId="0" fillId="30" borderId="95" xfId="0" applyFill="1" applyBorder="1"/>
    <xf numFmtId="0" fontId="0" fillId="30" borderId="96" xfId="0" applyFill="1" applyBorder="1"/>
    <xf numFmtId="0" fontId="0" fillId="30" borderId="97" xfId="0" applyFill="1" applyBorder="1"/>
    <xf numFmtId="0" fontId="0" fillId="30" borderId="0" xfId="0" applyFill="1" applyBorder="1"/>
    <xf numFmtId="0" fontId="0" fillId="30" borderId="46" xfId="0" applyFill="1" applyBorder="1"/>
    <xf numFmtId="0" fontId="0" fillId="30" borderId="0" xfId="0" applyFill="1" applyBorder="1" applyAlignment="1">
      <alignment horizontal="right"/>
    </xf>
    <xf numFmtId="4" fontId="0" fillId="30" borderId="0" xfId="0" applyNumberFormat="1" applyFill="1" applyBorder="1"/>
    <xf numFmtId="0" fontId="0" fillId="30" borderId="98" xfId="0" applyFill="1" applyBorder="1"/>
    <xf numFmtId="0" fontId="0" fillId="30" borderId="28" xfId="0" applyFill="1" applyBorder="1"/>
    <xf numFmtId="0" fontId="0" fillId="30" borderId="51" xfId="0" applyFill="1" applyBorder="1"/>
    <xf numFmtId="0" fontId="42" fillId="30" borderId="0" xfId="258" applyFont="1" applyFill="1" applyBorder="1" applyAlignment="1" applyProtection="1">
      <alignment vertical="center"/>
    </xf>
    <xf numFmtId="0" fontId="0" fillId="30" borderId="25" xfId="0" applyFill="1" applyBorder="1"/>
    <xf numFmtId="0" fontId="0" fillId="30" borderId="78" xfId="0" applyFill="1" applyBorder="1" applyAlignment="1">
      <alignment horizontal="center"/>
    </xf>
    <xf numFmtId="0" fontId="0" fillId="30" borderId="80" xfId="0" applyFill="1" applyBorder="1" applyAlignment="1">
      <alignment horizontal="center"/>
    </xf>
    <xf numFmtId="176" fontId="0" fillId="30" borderId="82" xfId="0" applyNumberFormat="1" applyFill="1" applyBorder="1"/>
    <xf numFmtId="0" fontId="0" fillId="30" borderId="15" xfId="0" applyFill="1" applyBorder="1" applyAlignment="1"/>
    <xf numFmtId="176" fontId="0" fillId="30" borderId="72" xfId="0" applyNumberFormat="1" applyFill="1" applyBorder="1"/>
    <xf numFmtId="176" fontId="0" fillId="30" borderId="76" xfId="0" applyNumberFormat="1" applyFill="1" applyBorder="1"/>
    <xf numFmtId="176" fontId="0" fillId="30" borderId="92" xfId="0" applyNumberFormat="1" applyFill="1" applyBorder="1"/>
    <xf numFmtId="0" fontId="0" fillId="30" borderId="27" xfId="0" applyFill="1" applyBorder="1"/>
    <xf numFmtId="0" fontId="0" fillId="30" borderId="21" xfId="0" applyFill="1" applyBorder="1" applyAlignment="1">
      <alignment vertical="center" wrapText="1"/>
    </xf>
    <xf numFmtId="0" fontId="0" fillId="30" borderId="82" xfId="0" applyFill="1" applyBorder="1" applyAlignment="1">
      <alignment horizontal="left" vertical="center"/>
    </xf>
    <xf numFmtId="0" fontId="0" fillId="30" borderId="52" xfId="0" applyFill="1" applyBorder="1" applyAlignment="1">
      <alignment horizontal="left" vertical="center"/>
    </xf>
    <xf numFmtId="0" fontId="0" fillId="30" borderId="72" xfId="0" applyFill="1" applyBorder="1" applyAlignment="1">
      <alignment horizontal="left" vertical="center"/>
    </xf>
    <xf numFmtId="0" fontId="0" fillId="30" borderId="48" xfId="0" applyFill="1" applyBorder="1" applyAlignment="1">
      <alignment horizontal="left" vertical="center"/>
    </xf>
    <xf numFmtId="0" fontId="0" fillId="30" borderId="73" xfId="0" applyFill="1" applyBorder="1" applyAlignment="1">
      <alignment horizontal="center" vertical="center"/>
    </xf>
    <xf numFmtId="0" fontId="0" fillId="30" borderId="74" xfId="0" applyFill="1" applyBorder="1" applyAlignment="1">
      <alignment horizontal="center" vertical="center"/>
    </xf>
    <xf numFmtId="3" fontId="0" fillId="30" borderId="73" xfId="0" applyNumberFormat="1" applyFill="1" applyBorder="1" applyAlignment="1">
      <alignment horizontal="center" vertical="center"/>
    </xf>
    <xf numFmtId="3" fontId="0" fillId="30" borderId="50" xfId="0" applyNumberFormat="1" applyFill="1" applyBorder="1" applyAlignment="1">
      <alignment horizontal="center" vertical="center"/>
    </xf>
    <xf numFmtId="3" fontId="0" fillId="30" borderId="58" xfId="0" applyNumberFormat="1" applyFill="1" applyBorder="1" applyAlignment="1">
      <alignment horizontal="center" vertical="center"/>
    </xf>
    <xf numFmtId="0" fontId="0" fillId="30" borderId="34" xfId="0" applyFill="1" applyBorder="1" applyAlignment="1">
      <alignment horizontal="center" vertical="center"/>
    </xf>
    <xf numFmtId="0" fontId="0" fillId="30" borderId="69" xfId="0" applyFill="1" applyBorder="1" applyAlignment="1">
      <alignment horizontal="center" vertical="center"/>
    </xf>
    <xf numFmtId="0" fontId="0" fillId="30" borderId="83" xfId="0" applyFill="1" applyBorder="1" applyAlignment="1">
      <alignment horizontal="center" vertical="center"/>
    </xf>
    <xf numFmtId="3" fontId="0" fillId="30" borderId="82" xfId="0" applyNumberFormat="1" applyFill="1" applyBorder="1" applyAlignment="1">
      <alignment horizontal="right" vertical="center"/>
    </xf>
    <xf numFmtId="3" fontId="0" fillId="30" borderId="52" xfId="0" applyNumberFormat="1" applyFill="1" applyBorder="1" applyAlignment="1">
      <alignment horizontal="right" vertical="center"/>
    </xf>
    <xf numFmtId="3" fontId="0" fillId="30" borderId="68" xfId="0" applyNumberFormat="1" applyFill="1" applyBorder="1" applyAlignment="1">
      <alignment horizontal="right" vertical="center"/>
    </xf>
    <xf numFmtId="176" fontId="0" fillId="30" borderId="68" xfId="0" applyNumberFormat="1" applyFill="1" applyBorder="1" applyAlignment="1">
      <alignment horizontal="right" vertical="center"/>
    </xf>
    <xf numFmtId="176" fontId="0" fillId="30" borderId="39" xfId="0" applyNumberFormat="1" applyFill="1" applyBorder="1" applyAlignment="1">
      <alignment horizontal="right" vertical="center"/>
    </xf>
    <xf numFmtId="176" fontId="0" fillId="30" borderId="55" xfId="0" applyNumberFormat="1" applyFill="1" applyBorder="1" applyAlignment="1">
      <alignment horizontal="right" vertical="center"/>
    </xf>
    <xf numFmtId="3" fontId="0" fillId="30" borderId="78" xfId="0" applyNumberFormat="1" applyFill="1" applyBorder="1" applyAlignment="1">
      <alignment horizontal="right" vertical="center"/>
    </xf>
    <xf numFmtId="3" fontId="0" fillId="30" borderId="79" xfId="0" applyNumberFormat="1" applyFill="1" applyBorder="1" applyAlignment="1">
      <alignment horizontal="right" vertical="center"/>
    </xf>
    <xf numFmtId="3" fontId="0" fillId="30" borderId="69" xfId="0" applyNumberFormat="1" applyFill="1" applyBorder="1" applyAlignment="1">
      <alignment horizontal="right" vertical="center"/>
    </xf>
    <xf numFmtId="176" fontId="0" fillId="30" borderId="34" xfId="0" applyNumberFormat="1" applyFill="1" applyBorder="1" applyAlignment="1">
      <alignment horizontal="right" vertical="center"/>
    </xf>
    <xf numFmtId="176" fontId="0" fillId="30" borderId="86" xfId="0" applyNumberFormat="1" applyFill="1" applyBorder="1" applyAlignment="1">
      <alignment horizontal="right" vertical="center"/>
    </xf>
    <xf numFmtId="176" fontId="0" fillId="30" borderId="69" xfId="0" applyNumberFormat="1" applyFill="1" applyBorder="1" applyAlignment="1">
      <alignment horizontal="right" vertical="center"/>
    </xf>
    <xf numFmtId="3" fontId="0" fillId="30" borderId="58" xfId="0" applyNumberFormat="1" applyFill="1" applyBorder="1" applyAlignment="1">
      <alignment horizontal="right" vertical="center"/>
    </xf>
    <xf numFmtId="176" fontId="0" fillId="30" borderId="47" xfId="0" applyNumberFormat="1" applyFill="1" applyBorder="1" applyAlignment="1">
      <alignment horizontal="right" vertical="center"/>
    </xf>
    <xf numFmtId="176" fontId="0" fillId="30" borderId="58" xfId="0" applyNumberFormat="1" applyFill="1" applyBorder="1" applyAlignment="1">
      <alignment horizontal="right" vertical="center"/>
    </xf>
    <xf numFmtId="0" fontId="0" fillId="32" borderId="87" xfId="0" applyFill="1" applyBorder="1" applyAlignment="1">
      <alignment horizontal="left" vertical="center"/>
    </xf>
    <xf numFmtId="0" fontId="0" fillId="32" borderId="60" xfId="0" applyFill="1" applyBorder="1" applyAlignment="1">
      <alignment horizontal="left" vertical="center"/>
    </xf>
    <xf numFmtId="0" fontId="0" fillId="32" borderId="78" xfId="0" applyFill="1" applyBorder="1" applyAlignment="1">
      <alignment horizontal="left" vertical="center"/>
    </xf>
    <xf numFmtId="0" fontId="0" fillId="32" borderId="69" xfId="0" applyFill="1" applyBorder="1" applyAlignment="1">
      <alignment horizontal="left" vertical="center"/>
    </xf>
    <xf numFmtId="0" fontId="0" fillId="30" borderId="83" xfId="0" applyFill="1" applyBorder="1" applyAlignment="1">
      <alignment horizontal="left" vertical="center"/>
    </xf>
    <xf numFmtId="0" fontId="0" fillId="30" borderId="76" xfId="0" applyFill="1" applyBorder="1" applyAlignment="1">
      <alignment horizontal="left" vertical="center"/>
    </xf>
    <xf numFmtId="0" fontId="0" fillId="30" borderId="85" xfId="0" applyFill="1" applyBorder="1" applyAlignment="1">
      <alignment horizontal="left" vertical="center"/>
    </xf>
    <xf numFmtId="0" fontId="0" fillId="30" borderId="80" xfId="0" applyFill="1" applyBorder="1" applyAlignment="1">
      <alignment horizontal="left" vertical="center"/>
    </xf>
    <xf numFmtId="176" fontId="0" fillId="30" borderId="36" xfId="0" applyNumberFormat="1" applyFill="1" applyBorder="1" applyAlignment="1">
      <alignment horizontal="right" vertical="center"/>
    </xf>
    <xf numFmtId="176" fontId="0" fillId="30" borderId="81" xfId="0" applyNumberFormat="1" applyFill="1" applyBorder="1" applyAlignment="1">
      <alignment horizontal="right" vertical="center"/>
    </xf>
    <xf numFmtId="3" fontId="0" fillId="30" borderId="73" xfId="0" applyNumberFormat="1" applyFill="1" applyBorder="1" applyAlignment="1">
      <alignment horizontal="right" vertical="center"/>
    </xf>
    <xf numFmtId="3" fontId="0" fillId="30" borderId="50" xfId="0" applyNumberFormat="1" applyFill="1" applyBorder="1" applyAlignment="1">
      <alignment horizontal="right" vertical="center"/>
    </xf>
    <xf numFmtId="0" fontId="0" fillId="30" borderId="67" xfId="0" applyFill="1" applyBorder="1" applyAlignment="1">
      <alignment horizontal="center" vertical="center"/>
    </xf>
    <xf numFmtId="0" fontId="0" fillId="30" borderId="70" xfId="0" applyFill="1" applyBorder="1" applyAlignment="1">
      <alignment vertical="center"/>
    </xf>
    <xf numFmtId="0" fontId="0" fillId="30" borderId="44" xfId="0" applyFill="1" applyBorder="1" applyAlignment="1">
      <alignment vertical="center"/>
    </xf>
    <xf numFmtId="0" fontId="0" fillId="30" borderId="75" xfId="0" applyFill="1" applyBorder="1" applyAlignment="1">
      <alignment vertical="center"/>
    </xf>
    <xf numFmtId="0" fontId="41" fillId="0" borderId="0" xfId="224" applyFont="1" applyAlignment="1" applyProtection="1">
      <alignment vertical="center"/>
    </xf>
    <xf numFmtId="0" fontId="0" fillId="30" borderId="92" xfId="0" applyFill="1" applyBorder="1" applyAlignment="1">
      <alignment horizontal="center" vertical="center"/>
    </xf>
    <xf numFmtId="0" fontId="0" fillId="30" borderId="88" xfId="0" applyFill="1" applyBorder="1" applyAlignment="1">
      <alignment horizontal="center" vertical="center"/>
    </xf>
    <xf numFmtId="0" fontId="0" fillId="30" borderId="82" xfId="0" applyFill="1" applyBorder="1" applyAlignment="1">
      <alignment horizontal="center" vertical="center"/>
    </xf>
    <xf numFmtId="0" fontId="0" fillId="30" borderId="72" xfId="0" applyFill="1" applyBorder="1" applyAlignment="1">
      <alignment horizontal="center" vertical="center"/>
    </xf>
    <xf numFmtId="0" fontId="0" fillId="30" borderId="48" xfId="0" applyFill="1" applyBorder="1" applyAlignment="1">
      <alignment horizontal="center" vertical="center"/>
    </xf>
    <xf numFmtId="0" fontId="70" fillId="30" borderId="0" xfId="0" applyFont="1" applyFill="1" applyAlignment="1">
      <alignment horizontal="left" vertical="center"/>
    </xf>
    <xf numFmtId="0" fontId="0" fillId="30" borderId="78" xfId="0" applyFill="1" applyBorder="1" applyAlignment="1">
      <alignment horizontal="center" vertical="center" wrapText="1"/>
    </xf>
    <xf numFmtId="0" fontId="0" fillId="30" borderId="80" xfId="0" applyFill="1" applyBorder="1" applyAlignment="1">
      <alignment horizontal="center" vertical="center" wrapText="1"/>
    </xf>
    <xf numFmtId="4" fontId="0" fillId="30" borderId="82" xfId="0" applyNumberFormat="1" applyFill="1" applyBorder="1" applyAlignment="1">
      <alignment horizontal="right" vertical="center"/>
    </xf>
    <xf numFmtId="4" fontId="0" fillId="30" borderId="52" xfId="0" applyNumberFormat="1" applyFill="1" applyBorder="1" applyAlignment="1">
      <alignment horizontal="right" vertical="center"/>
    </xf>
    <xf numFmtId="4" fontId="0" fillId="30" borderId="83" xfId="0" applyNumberFormat="1" applyFill="1" applyBorder="1" applyAlignment="1">
      <alignment horizontal="right" vertical="center"/>
    </xf>
    <xf numFmtId="4" fontId="0" fillId="30" borderId="72" xfId="0" applyNumberFormat="1" applyFill="1" applyBorder="1" applyAlignment="1">
      <alignment horizontal="right" vertical="center"/>
    </xf>
    <xf numFmtId="4" fontId="0" fillId="30" borderId="48" xfId="0" applyNumberFormat="1" applyFill="1" applyBorder="1" applyAlignment="1">
      <alignment horizontal="right" vertical="center"/>
    </xf>
    <xf numFmtId="0" fontId="62" fillId="30" borderId="127" xfId="0" applyFont="1" applyFill="1" applyBorder="1" applyAlignment="1">
      <alignment horizontal="center" vertical="center" wrapText="1"/>
    </xf>
    <xf numFmtId="0" fontId="0" fillId="30" borderId="50" xfId="0" applyFill="1" applyBorder="1" applyAlignment="1">
      <alignment horizontal="left" vertical="center"/>
    </xf>
    <xf numFmtId="0" fontId="65" fillId="30" borderId="129" xfId="0" applyFont="1" applyFill="1" applyBorder="1" applyAlignment="1">
      <alignment horizontal="center" vertical="center"/>
    </xf>
    <xf numFmtId="0" fontId="65" fillId="30" borderId="111" xfId="0" applyFont="1" applyFill="1" applyBorder="1" applyAlignment="1">
      <alignment horizontal="center" vertical="center"/>
    </xf>
    <xf numFmtId="0" fontId="65" fillId="30" borderId="131" xfId="0" applyFont="1" applyFill="1" applyBorder="1" applyAlignment="1">
      <alignment horizontal="center" vertical="center"/>
    </xf>
    <xf numFmtId="0" fontId="65" fillId="30" borderId="132" xfId="0" applyFont="1" applyFill="1" applyBorder="1" applyAlignment="1">
      <alignment horizontal="center" vertical="center"/>
    </xf>
    <xf numFmtId="0" fontId="65" fillId="30" borderId="133" xfId="0" applyFont="1" applyFill="1" applyBorder="1" applyAlignment="1">
      <alignment horizontal="left" vertical="center"/>
    </xf>
    <xf numFmtId="0" fontId="65" fillId="30" borderId="116" xfId="0" applyFont="1" applyFill="1" applyBorder="1" applyAlignment="1">
      <alignment horizontal="left" vertical="center"/>
    </xf>
    <xf numFmtId="0" fontId="62" fillId="30" borderId="128" xfId="0" applyFont="1" applyFill="1" applyBorder="1" applyAlignment="1">
      <alignment horizontal="center" vertical="center"/>
    </xf>
    <xf numFmtId="0" fontId="0" fillId="30" borderId="52" xfId="0" applyFill="1" applyBorder="1" applyAlignment="1">
      <alignment horizontal="center" vertical="center"/>
    </xf>
    <xf numFmtId="10" fontId="0" fillId="30" borderId="82" xfId="0" applyNumberFormat="1" applyFill="1" applyBorder="1" applyAlignment="1">
      <alignment horizontal="right" vertical="center"/>
    </xf>
    <xf numFmtId="10" fontId="0" fillId="30" borderId="72" xfId="0" applyNumberFormat="1" applyFill="1" applyBorder="1" applyAlignment="1">
      <alignment horizontal="right" vertical="center"/>
    </xf>
    <xf numFmtId="10" fontId="0" fillId="30" borderId="92" xfId="0" applyNumberFormat="1" applyFill="1" applyBorder="1" applyAlignment="1">
      <alignment horizontal="right" vertical="center"/>
    </xf>
    <xf numFmtId="10" fontId="0" fillId="30" borderId="52" xfId="0" applyNumberFormat="1" applyFill="1" applyBorder="1" applyAlignment="1">
      <alignment horizontal="right" vertical="center"/>
    </xf>
    <xf numFmtId="10" fontId="0" fillId="30" borderId="48" xfId="0" applyNumberFormat="1" applyFill="1" applyBorder="1" applyAlignment="1">
      <alignment horizontal="right" vertical="center"/>
    </xf>
    <xf numFmtId="0" fontId="0" fillId="0" borderId="0" xfId="0" applyFill="1" applyAlignment="1">
      <alignment horizontal="center" vertical="center"/>
    </xf>
    <xf numFmtId="0" fontId="34" fillId="30" borderId="16" xfId="258" applyFont="1" applyFill="1" applyBorder="1" applyAlignment="1" applyProtection="1">
      <alignment vertical="center"/>
    </xf>
    <xf numFmtId="0" fontId="0" fillId="30" borderId="22" xfId="0" applyFill="1" applyBorder="1" applyAlignment="1">
      <alignment horizontal="center" vertical="center"/>
    </xf>
    <xf numFmtId="0" fontId="0" fillId="30" borderId="22" xfId="0" applyFill="1" applyBorder="1" applyAlignment="1">
      <alignment horizontal="center" vertical="center"/>
    </xf>
    <xf numFmtId="0" fontId="70" fillId="30" borderId="0" xfId="0" applyFont="1" applyFill="1"/>
    <xf numFmtId="176" fontId="0" fillId="30" borderId="84" xfId="0" applyNumberFormat="1" applyFill="1" applyBorder="1"/>
    <xf numFmtId="176" fontId="0" fillId="30" borderId="52" xfId="0" applyNumberFormat="1" applyFill="1" applyBorder="1"/>
    <xf numFmtId="176" fontId="0" fillId="30" borderId="81" xfId="0" applyNumberFormat="1" applyFill="1" applyBorder="1"/>
    <xf numFmtId="176" fontId="0" fillId="30" borderId="30" xfId="0" applyNumberFormat="1" applyFill="1" applyBorder="1"/>
    <xf numFmtId="176" fontId="0" fillId="30" borderId="48" xfId="0" applyNumberFormat="1" applyFill="1" applyBorder="1"/>
    <xf numFmtId="176" fontId="0" fillId="32" borderId="85" xfId="0" applyNumberFormat="1" applyFill="1" applyBorder="1"/>
    <xf numFmtId="176" fontId="0" fillId="30" borderId="85" xfId="0" applyNumberFormat="1" applyFill="1" applyBorder="1"/>
    <xf numFmtId="176" fontId="0" fillId="30" borderId="89" xfId="0" applyNumberFormat="1" applyFill="1" applyBorder="1"/>
    <xf numFmtId="176" fontId="0" fillId="30" borderId="54" xfId="0" applyNumberFormat="1" applyFill="1" applyBorder="1"/>
    <xf numFmtId="176" fontId="0" fillId="30" borderId="95" xfId="0" applyNumberFormat="1" applyFill="1" applyBorder="1"/>
    <xf numFmtId="0" fontId="62" fillId="30" borderId="61" xfId="0" applyFont="1" applyFill="1" applyBorder="1" applyAlignment="1">
      <alignment horizontal="center" vertical="center" wrapText="1"/>
    </xf>
    <xf numFmtId="0" fontId="62" fillId="30" borderId="103" xfId="0" applyFont="1" applyFill="1" applyBorder="1" applyAlignment="1">
      <alignment horizontal="center" vertical="center" wrapText="1"/>
    </xf>
    <xf numFmtId="0" fontId="62" fillId="30" borderId="59" xfId="0" applyFont="1" applyFill="1" applyBorder="1" applyAlignment="1">
      <alignment horizontal="center" vertical="center" wrapText="1"/>
    </xf>
    <xf numFmtId="176" fontId="0" fillId="32" borderId="95" xfId="0" applyNumberFormat="1" applyFill="1" applyBorder="1"/>
    <xf numFmtId="0" fontId="0" fillId="30" borderId="141" xfId="0" applyFill="1" applyBorder="1"/>
    <xf numFmtId="176" fontId="0" fillId="30" borderId="148" xfId="0" applyNumberFormat="1" applyFill="1" applyBorder="1"/>
    <xf numFmtId="176" fontId="0" fillId="30" borderId="149" xfId="0" applyNumberFormat="1" applyFill="1" applyBorder="1"/>
    <xf numFmtId="176" fontId="0" fillId="30" borderId="150" xfId="0" applyNumberFormat="1" applyFill="1" applyBorder="1"/>
    <xf numFmtId="176" fontId="0" fillId="30" borderId="151" xfId="0" applyNumberFormat="1" applyFill="1" applyBorder="1"/>
    <xf numFmtId="0" fontId="62" fillId="30" borderId="138" xfId="0" applyFont="1" applyFill="1" applyBorder="1" applyAlignment="1">
      <alignment horizontal="center" vertical="center" wrapText="1"/>
    </xf>
    <xf numFmtId="0" fontId="0" fillId="30" borderId="140" xfId="0" applyFill="1" applyBorder="1" applyAlignment="1">
      <alignment horizontal="left" vertical="center"/>
    </xf>
    <xf numFmtId="0" fontId="0" fillId="30" borderId="141" xfId="0" applyFill="1" applyBorder="1" applyAlignment="1">
      <alignment horizontal="left" vertical="center"/>
    </xf>
    <xf numFmtId="10" fontId="0" fillId="30" borderId="68" xfId="0" applyNumberFormat="1" applyFill="1" applyBorder="1" applyAlignment="1">
      <alignment horizontal="right" vertical="center"/>
    </xf>
    <xf numFmtId="10" fontId="0" fillId="30" borderId="55" xfId="0" applyNumberFormat="1" applyFill="1" applyBorder="1" applyAlignment="1">
      <alignment horizontal="right" vertical="center"/>
    </xf>
    <xf numFmtId="10" fontId="0" fillId="30" borderId="105" xfId="0" applyNumberFormat="1" applyFill="1" applyBorder="1" applyAlignment="1">
      <alignment horizontal="right" vertical="center"/>
    </xf>
    <xf numFmtId="0" fontId="0" fillId="30" borderId="39" xfId="0" applyFill="1" applyBorder="1" applyAlignment="1">
      <alignment horizontal="left" vertical="center"/>
    </xf>
    <xf numFmtId="0" fontId="0" fillId="30" borderId="153" xfId="0" applyFill="1" applyBorder="1" applyAlignment="1">
      <alignment horizontal="left" vertical="center"/>
    </xf>
    <xf numFmtId="0" fontId="62" fillId="0" borderId="36" xfId="0" applyFont="1" applyFill="1" applyBorder="1" applyAlignment="1">
      <alignment horizontal="left" vertical="center"/>
    </xf>
    <xf numFmtId="0" fontId="62" fillId="0" borderId="83" xfId="0" applyFont="1" applyFill="1" applyBorder="1" applyAlignment="1">
      <alignment horizontal="center" vertical="center"/>
    </xf>
    <xf numFmtId="0" fontId="0" fillId="30" borderId="36" xfId="0" applyFill="1" applyBorder="1" applyAlignment="1">
      <alignment horizontal="left" vertical="center"/>
    </xf>
    <xf numFmtId="4" fontId="0" fillId="30" borderId="92" xfId="0" applyNumberFormat="1" applyFill="1" applyBorder="1" applyAlignment="1">
      <alignment horizontal="right" vertical="center"/>
    </xf>
    <xf numFmtId="4" fontId="0" fillId="30" borderId="88" xfId="0" applyNumberFormat="1" applyFill="1" applyBorder="1" applyAlignment="1">
      <alignment horizontal="right" vertical="center"/>
    </xf>
    <xf numFmtId="176" fontId="65" fillId="30" borderId="120" xfId="0" applyNumberFormat="1" applyFont="1" applyFill="1" applyBorder="1" applyAlignment="1">
      <alignment horizontal="center" vertical="center"/>
    </xf>
    <xf numFmtId="176" fontId="65" fillId="30" borderId="123" xfId="0" applyNumberFormat="1" applyFont="1" applyFill="1" applyBorder="1" applyAlignment="1">
      <alignment horizontal="center" vertical="center"/>
    </xf>
    <xf numFmtId="0" fontId="0" fillId="30" borderId="0" xfId="0" applyFill="1" applyBorder="1" applyAlignment="1">
      <alignment vertical="center"/>
    </xf>
    <xf numFmtId="0" fontId="0" fillId="30" borderId="0" xfId="0" applyFill="1" applyBorder="1" applyAlignment="1">
      <alignment horizontal="left" vertical="center"/>
    </xf>
    <xf numFmtId="4" fontId="0" fillId="30" borderId="68" xfId="0" applyNumberFormat="1" applyFill="1" applyBorder="1" applyAlignment="1">
      <alignment horizontal="right" vertical="center"/>
    </xf>
    <xf numFmtId="0" fontId="0" fillId="30" borderId="34" xfId="0" applyFill="1" applyBorder="1" applyAlignment="1">
      <alignment horizontal="center" vertical="center" wrapText="1"/>
    </xf>
    <xf numFmtId="0" fontId="34" fillId="30" borderId="0" xfId="258" applyFont="1" applyFill="1" applyBorder="1" applyAlignment="1" applyProtection="1">
      <alignment vertical="center"/>
    </xf>
    <xf numFmtId="0" fontId="0" fillId="30" borderId="36" xfId="0" applyFont="1" applyFill="1" applyBorder="1" applyAlignment="1">
      <alignment horizontal="left" vertical="center"/>
    </xf>
    <xf numFmtId="0" fontId="62" fillId="30" borderId="25" xfId="0" applyFont="1" applyFill="1" applyBorder="1" applyAlignment="1">
      <alignment horizontal="center" vertical="center"/>
    </xf>
    <xf numFmtId="0" fontId="62" fillId="30" borderId="128" xfId="0" applyFont="1" applyFill="1" applyBorder="1" applyAlignment="1">
      <alignment horizontal="center" vertical="center" wrapText="1"/>
    </xf>
    <xf numFmtId="176" fontId="65" fillId="30" borderId="110" xfId="0" applyNumberFormat="1" applyFont="1" applyFill="1" applyBorder="1" applyAlignment="1">
      <alignment horizontal="center" vertical="center"/>
    </xf>
    <xf numFmtId="176" fontId="65" fillId="30" borderId="124" xfId="0" applyNumberFormat="1" applyFont="1" applyFill="1" applyBorder="1" applyAlignment="1">
      <alignment horizontal="center" vertical="center"/>
    </xf>
    <xf numFmtId="176" fontId="65" fillId="30" borderId="126" xfId="0" applyNumberFormat="1" applyFont="1" applyFill="1" applyBorder="1" applyAlignment="1">
      <alignment horizontal="center" vertical="center"/>
    </xf>
    <xf numFmtId="176" fontId="65" fillId="30" borderId="115" xfId="0" applyNumberFormat="1" applyFont="1" applyFill="1" applyBorder="1" applyAlignment="1">
      <alignment horizontal="center" vertical="center"/>
    </xf>
    <xf numFmtId="0" fontId="0" fillId="30" borderId="156" xfId="0" applyFill="1" applyBorder="1" applyAlignment="1">
      <alignment horizontal="center" vertical="center"/>
    </xf>
    <xf numFmtId="0" fontId="70" fillId="0" borderId="0" xfId="0" applyFont="1" applyAlignment="1" applyProtection="1">
      <alignment vertical="center"/>
    </xf>
    <xf numFmtId="4" fontId="0" fillId="30" borderId="83" xfId="0" applyNumberFormat="1" applyFill="1" applyBorder="1" applyAlignment="1">
      <alignment horizontal="center" vertical="center"/>
    </xf>
    <xf numFmtId="4" fontId="0" fillId="30" borderId="76" xfId="0" applyNumberFormat="1" applyFill="1" applyBorder="1" applyAlignment="1">
      <alignment horizontal="center" vertical="center"/>
    </xf>
    <xf numFmtId="177" fontId="0" fillId="30" borderId="63" xfId="0" applyNumberFormat="1" applyFill="1" applyBorder="1"/>
    <xf numFmtId="177" fontId="0" fillId="30" borderId="72" xfId="0" applyNumberFormat="1" applyFill="1" applyBorder="1"/>
    <xf numFmtId="177" fontId="0" fillId="30" borderId="76" xfId="0" applyNumberFormat="1" applyFill="1" applyBorder="1"/>
    <xf numFmtId="177" fontId="0" fillId="30" borderId="14" xfId="0" applyNumberFormat="1" applyFill="1" applyBorder="1"/>
    <xf numFmtId="177" fontId="0" fillId="30" borderId="48" xfId="0" applyNumberFormat="1" applyFill="1" applyBorder="1"/>
    <xf numFmtId="177" fontId="0" fillId="32" borderId="48" xfId="0" applyNumberFormat="1" applyFill="1" applyBorder="1"/>
    <xf numFmtId="177" fontId="0" fillId="32" borderId="76" xfId="0" applyNumberFormat="1" applyFill="1" applyBorder="1"/>
    <xf numFmtId="177" fontId="0" fillId="30" borderId="40" xfId="0" applyNumberFormat="1" applyFill="1" applyBorder="1"/>
    <xf numFmtId="177" fontId="0" fillId="32" borderId="72" xfId="0" applyNumberFormat="1" applyFill="1" applyBorder="1"/>
    <xf numFmtId="177" fontId="0" fillId="32" borderId="30" xfId="0" applyNumberFormat="1" applyFill="1" applyBorder="1"/>
    <xf numFmtId="177" fontId="0" fillId="32" borderId="14" xfId="0" applyNumberFormat="1" applyFill="1" applyBorder="1"/>
    <xf numFmtId="177" fontId="0" fillId="32" borderId="63" xfId="0" applyNumberFormat="1" applyFill="1" applyBorder="1"/>
    <xf numFmtId="177" fontId="0" fillId="32" borderId="40" xfId="0" applyNumberFormat="1" applyFill="1" applyBorder="1"/>
    <xf numFmtId="177" fontId="0" fillId="30" borderId="72" xfId="0" quotePrefix="1" applyNumberFormat="1" applyFill="1" applyBorder="1"/>
    <xf numFmtId="177" fontId="0" fillId="30" borderId="30" xfId="0" applyNumberFormat="1" applyFill="1" applyBorder="1"/>
    <xf numFmtId="177" fontId="0" fillId="30" borderId="146" xfId="0" applyNumberFormat="1" applyFill="1" applyBorder="1"/>
    <xf numFmtId="177" fontId="0" fillId="30" borderId="92" xfId="0" applyNumberFormat="1" applyFill="1" applyBorder="1"/>
    <xf numFmtId="177" fontId="0" fillId="30" borderId="88" xfId="0" applyNumberFormat="1" applyFill="1" applyBorder="1"/>
    <xf numFmtId="177" fontId="0" fillId="30" borderId="33" xfId="0" applyNumberFormat="1" applyFill="1" applyBorder="1"/>
    <xf numFmtId="177" fontId="0" fillId="30" borderId="54" xfId="0" applyNumberFormat="1" applyFill="1" applyBorder="1"/>
    <xf numFmtId="177" fontId="0" fillId="32" borderId="54" xfId="0" applyNumberFormat="1" applyFill="1" applyBorder="1"/>
    <xf numFmtId="177" fontId="0" fillId="32" borderId="89" xfId="0" applyNumberFormat="1" applyFill="1" applyBorder="1"/>
    <xf numFmtId="177" fontId="0" fillId="32" borderId="33" xfId="0" applyNumberFormat="1" applyFill="1" applyBorder="1"/>
    <xf numFmtId="177" fontId="0" fillId="32" borderId="146" xfId="0" applyNumberFormat="1" applyFill="1" applyBorder="1"/>
    <xf numFmtId="177" fontId="0" fillId="32" borderId="92" xfId="0" applyNumberFormat="1" applyFill="1" applyBorder="1"/>
    <xf numFmtId="177" fontId="0" fillId="32" borderId="88" xfId="0" applyNumberFormat="1" applyFill="1" applyBorder="1"/>
    <xf numFmtId="177" fontId="0" fillId="32" borderId="96" xfId="0" applyNumberFormat="1" applyFill="1" applyBorder="1"/>
    <xf numFmtId="177" fontId="0" fillId="32" borderId="71" xfId="0" applyNumberFormat="1" applyFill="1" applyBorder="1"/>
    <xf numFmtId="177" fontId="0" fillId="30" borderId="71" xfId="0" applyNumberFormat="1" applyFill="1" applyBorder="1"/>
    <xf numFmtId="177" fontId="0" fillId="32" borderId="94" xfId="0" applyNumberFormat="1" applyFill="1" applyBorder="1"/>
    <xf numFmtId="177" fontId="0" fillId="32" borderId="85" xfId="0" applyNumberFormat="1" applyFill="1" applyBorder="1"/>
    <xf numFmtId="0" fontId="0" fillId="30" borderId="48" xfId="0" applyNumberFormat="1" applyFill="1" applyBorder="1"/>
    <xf numFmtId="0" fontId="0" fillId="30" borderId="42" xfId="0" applyFill="1" applyBorder="1"/>
    <xf numFmtId="0" fontId="0" fillId="30" borderId="135" xfId="0" applyFill="1" applyBorder="1"/>
    <xf numFmtId="0" fontId="62" fillId="30" borderId="157" xfId="0" applyFont="1" applyFill="1" applyBorder="1" applyAlignment="1">
      <alignment horizontal="center" vertical="center"/>
    </xf>
    <xf numFmtId="0" fontId="62" fillId="30" borderId="139" xfId="0" applyFont="1" applyFill="1" applyBorder="1" applyAlignment="1">
      <alignment horizontal="center" vertical="center" wrapText="1"/>
    </xf>
    <xf numFmtId="176" fontId="0" fillId="32" borderId="48" xfId="0" applyNumberFormat="1" applyFill="1" applyBorder="1"/>
    <xf numFmtId="176" fontId="0" fillId="32" borderId="76" xfId="0" applyNumberFormat="1" applyFill="1" applyBorder="1"/>
    <xf numFmtId="176" fontId="0" fillId="32" borderId="30" xfId="0" applyNumberFormat="1" applyFill="1" applyBorder="1"/>
    <xf numFmtId="176" fontId="0" fillId="32" borderId="72" xfId="0" applyNumberFormat="1" applyFill="1" applyBorder="1"/>
    <xf numFmtId="176" fontId="0" fillId="30" borderId="63" xfId="0" applyNumberFormat="1" applyFill="1" applyBorder="1"/>
    <xf numFmtId="176" fontId="0" fillId="32" borderId="63" xfId="0" applyNumberFormat="1" applyFill="1" applyBorder="1"/>
    <xf numFmtId="176" fontId="0" fillId="30" borderId="71" xfId="0" applyNumberFormat="1" applyFill="1" applyBorder="1"/>
    <xf numFmtId="176" fontId="0" fillId="30" borderId="14" xfId="0" applyNumberFormat="1" applyFill="1" applyBorder="1"/>
    <xf numFmtId="0" fontId="65" fillId="30" borderId="161" xfId="0" applyFont="1" applyFill="1" applyBorder="1" applyAlignment="1">
      <alignment horizontal="center" vertical="center"/>
    </xf>
    <xf numFmtId="0" fontId="65" fillId="30" borderId="162" xfId="0" applyFont="1" applyFill="1" applyBorder="1" applyAlignment="1">
      <alignment horizontal="center" vertical="center"/>
    </xf>
    <xf numFmtId="0" fontId="65" fillId="30" borderId="162" xfId="0" applyFont="1" applyFill="1" applyBorder="1" applyAlignment="1">
      <alignment horizontal="left" vertical="center"/>
    </xf>
    <xf numFmtId="0" fontId="65" fillId="30" borderId="163" xfId="0" applyFont="1" applyFill="1" applyBorder="1" applyAlignment="1">
      <alignment horizontal="center" vertical="center"/>
    </xf>
    <xf numFmtId="0" fontId="65" fillId="30" borderId="164" xfId="0" applyFont="1" applyFill="1" applyBorder="1" applyAlignment="1">
      <alignment horizontal="center" vertical="center"/>
    </xf>
    <xf numFmtId="176" fontId="65" fillId="30" borderId="165" xfId="0" applyNumberFormat="1" applyFont="1" applyFill="1" applyBorder="1" applyAlignment="1">
      <alignment horizontal="center" vertical="center"/>
    </xf>
    <xf numFmtId="176" fontId="65" fillId="30" borderId="166" xfId="0" applyNumberFormat="1" applyFont="1" applyFill="1" applyBorder="1" applyAlignment="1">
      <alignment horizontal="center" vertical="center"/>
    </xf>
    <xf numFmtId="10" fontId="56" fillId="30" borderId="72" xfId="158" applyNumberFormat="1" applyFont="1" applyFill="1" applyBorder="1" applyAlignment="1">
      <alignment horizontal="center" vertical="center"/>
    </xf>
    <xf numFmtId="10" fontId="56" fillId="36" borderId="73" xfId="158" applyNumberFormat="1" applyFont="1" applyFill="1" applyBorder="1" applyAlignment="1">
      <alignment horizontal="center" vertical="center"/>
    </xf>
    <xf numFmtId="0" fontId="0" fillId="32" borderId="73" xfId="0" applyFill="1" applyBorder="1" applyAlignment="1">
      <alignment horizontal="center" vertical="center"/>
    </xf>
    <xf numFmtId="10" fontId="0" fillId="30" borderId="72" xfId="158" applyNumberFormat="1" applyFont="1" applyFill="1" applyBorder="1" applyAlignment="1">
      <alignment horizontal="center" vertical="center"/>
    </xf>
    <xf numFmtId="10" fontId="0" fillId="30" borderId="127" xfId="158" applyNumberFormat="1" applyFont="1" applyFill="1" applyBorder="1" applyAlignment="1">
      <alignment horizontal="center" vertical="center"/>
    </xf>
    <xf numFmtId="10" fontId="56" fillId="30" borderId="87" xfId="158" applyNumberFormat="1" applyFont="1" applyFill="1" applyBorder="1" applyAlignment="1">
      <alignment horizontal="center" vertical="center"/>
    </xf>
    <xf numFmtId="176" fontId="0" fillId="32" borderId="74" xfId="0" applyNumberFormat="1" applyFill="1" applyBorder="1" applyAlignment="1">
      <alignment horizontal="right" vertical="center"/>
    </xf>
    <xf numFmtId="0" fontId="0" fillId="30" borderId="31" xfId="0" applyFill="1" applyBorder="1" applyAlignment="1">
      <alignment horizontal="left" vertical="center"/>
    </xf>
    <xf numFmtId="0" fontId="0" fillId="38" borderId="31" xfId="0" applyFill="1" applyBorder="1" applyAlignment="1">
      <alignment horizontal="left" vertical="center"/>
    </xf>
    <xf numFmtId="0" fontId="0" fillId="38" borderId="20" xfId="0" applyFill="1" applyBorder="1" applyAlignment="1">
      <alignment horizontal="left" vertical="center"/>
    </xf>
    <xf numFmtId="0" fontId="0" fillId="38" borderId="23" xfId="0" applyFill="1" applyBorder="1" applyAlignment="1">
      <alignment horizontal="left" vertical="center"/>
    </xf>
    <xf numFmtId="0" fontId="0" fillId="0" borderId="71" xfId="0" applyFill="1" applyBorder="1" applyAlignment="1">
      <alignment horizontal="left" vertical="center" wrapText="1"/>
    </xf>
    <xf numFmtId="0" fontId="62" fillId="0" borderId="65" xfId="0" applyFont="1" applyFill="1" applyBorder="1" applyAlignment="1">
      <alignment horizontal="left" vertical="center"/>
    </xf>
    <xf numFmtId="0" fontId="62" fillId="0" borderId="136" xfId="0" applyFont="1" applyFill="1" applyBorder="1" applyAlignment="1">
      <alignment horizontal="center" vertical="center" wrapText="1"/>
    </xf>
    <xf numFmtId="176" fontId="0" fillId="30" borderId="127" xfId="0" applyNumberFormat="1" applyFill="1" applyBorder="1" applyAlignment="1">
      <alignment horizontal="right" vertical="center"/>
    </xf>
    <xf numFmtId="3" fontId="0" fillId="30" borderId="57" xfId="0" applyNumberFormat="1" applyFill="1" applyBorder="1" applyAlignment="1">
      <alignment horizontal="center" vertical="center"/>
    </xf>
    <xf numFmtId="3" fontId="0" fillId="30" borderId="81" xfId="0" applyNumberFormat="1" applyFill="1" applyBorder="1" applyAlignment="1">
      <alignment horizontal="right" vertical="center"/>
    </xf>
    <xf numFmtId="3" fontId="0" fillId="30" borderId="86" xfId="0" applyNumberFormat="1" applyFill="1" applyBorder="1" applyAlignment="1">
      <alignment horizontal="right" vertical="center"/>
    </xf>
    <xf numFmtId="3" fontId="0" fillId="30" borderId="57" xfId="0" applyNumberFormat="1" applyFill="1" applyBorder="1" applyAlignment="1">
      <alignment horizontal="right" vertical="center"/>
    </xf>
    <xf numFmtId="0" fontId="0" fillId="30" borderId="14" xfId="0" applyFill="1" applyBorder="1" applyAlignment="1">
      <alignment horizontal="center" vertical="center"/>
    </xf>
    <xf numFmtId="0" fontId="0" fillId="30" borderId="0" xfId="0" applyFill="1" applyBorder="1" applyAlignment="1">
      <alignment horizontal="center" vertical="center"/>
    </xf>
    <xf numFmtId="0" fontId="0" fillId="32" borderId="59" xfId="0" applyFill="1" applyBorder="1" applyAlignment="1">
      <alignment horizontal="left" vertical="center"/>
    </xf>
    <xf numFmtId="0" fontId="0" fillId="32" borderId="61" xfId="0" applyFill="1" applyBorder="1" applyAlignment="1">
      <alignment horizontal="left" vertical="center"/>
    </xf>
    <xf numFmtId="0" fontId="0" fillId="30" borderId="15" xfId="0" applyFill="1" applyBorder="1" applyAlignment="1">
      <alignment vertical="center"/>
    </xf>
    <xf numFmtId="0" fontId="0" fillId="30" borderId="76" xfId="0" applyFill="1" applyBorder="1" applyAlignment="1">
      <alignment vertical="center"/>
    </xf>
    <xf numFmtId="0" fontId="0" fillId="30" borderId="76" xfId="0" applyFont="1" applyFill="1" applyBorder="1" applyAlignment="1"/>
    <xf numFmtId="0" fontId="0" fillId="30" borderId="76" xfId="0" applyFill="1" applyBorder="1"/>
    <xf numFmtId="167" fontId="0" fillId="32" borderId="72" xfId="0" applyNumberFormat="1" applyFill="1" applyBorder="1" applyAlignment="1">
      <alignment horizontal="center" vertical="center"/>
    </xf>
    <xf numFmtId="167" fontId="0" fillId="32" borderId="55" xfId="0" applyNumberFormat="1" applyFill="1" applyBorder="1" applyAlignment="1">
      <alignment horizontal="center" vertical="center"/>
    </xf>
    <xf numFmtId="177" fontId="0" fillId="30" borderId="82" xfId="0" applyNumberFormat="1" applyFill="1" applyBorder="1" applyAlignment="1">
      <alignment horizontal="right" vertical="center"/>
    </xf>
    <xf numFmtId="177" fontId="0" fillId="32" borderId="52" xfId="0" applyNumberFormat="1" applyFill="1" applyBorder="1" applyAlignment="1">
      <alignment horizontal="right" vertical="center"/>
    </xf>
    <xf numFmtId="177" fontId="0" fillId="30" borderId="52" xfId="0" applyNumberFormat="1" applyFill="1" applyBorder="1" applyAlignment="1">
      <alignment horizontal="right" vertical="center"/>
    </xf>
    <xf numFmtId="177" fontId="0" fillId="32" borderId="81" xfId="0" applyNumberFormat="1" applyFill="1" applyBorder="1" applyAlignment="1">
      <alignment horizontal="right" vertical="center"/>
    </xf>
    <xf numFmtId="177" fontId="0" fillId="32" borderId="82" xfId="0" applyNumberFormat="1" applyFill="1" applyBorder="1" applyAlignment="1">
      <alignment horizontal="right" vertical="center"/>
    </xf>
    <xf numFmtId="177" fontId="0" fillId="32" borderId="68" xfId="0" applyNumberFormat="1" applyFill="1" applyBorder="1" applyAlignment="1">
      <alignment horizontal="right" vertical="center"/>
    </xf>
    <xf numFmtId="177" fontId="0" fillId="30" borderId="72" xfId="0" applyNumberFormat="1" applyFill="1" applyBorder="1" applyAlignment="1">
      <alignment horizontal="right" vertical="center"/>
    </xf>
    <xf numFmtId="177" fontId="0" fillId="32" borderId="48" xfId="0" applyNumberFormat="1" applyFill="1" applyBorder="1" applyAlignment="1">
      <alignment horizontal="right" vertical="center"/>
    </xf>
    <xf numFmtId="177" fontId="0" fillId="30" borderId="48" xfId="0" applyNumberFormat="1" applyFill="1" applyBorder="1" applyAlignment="1">
      <alignment horizontal="right" vertical="center"/>
    </xf>
    <xf numFmtId="177" fontId="0" fillId="32" borderId="85" xfId="0" applyNumberFormat="1" applyFill="1" applyBorder="1" applyAlignment="1">
      <alignment horizontal="right" vertical="center"/>
    </xf>
    <xf numFmtId="177" fontId="0" fillId="32" borderId="72" xfId="0" applyNumberFormat="1" applyFill="1" applyBorder="1" applyAlignment="1">
      <alignment horizontal="right" vertical="center"/>
    </xf>
    <xf numFmtId="177" fontId="0" fillId="32" borderId="55" xfId="0" applyNumberFormat="1" applyFill="1" applyBorder="1" applyAlignment="1">
      <alignment horizontal="right" vertical="center"/>
    </xf>
    <xf numFmtId="177" fontId="0" fillId="32" borderId="92" xfId="0" applyNumberFormat="1" applyFill="1" applyBorder="1" applyAlignment="1">
      <alignment horizontal="right" vertical="center"/>
    </xf>
    <xf numFmtId="177" fontId="0" fillId="32" borderId="54" xfId="0" applyNumberFormat="1" applyFill="1" applyBorder="1" applyAlignment="1">
      <alignment horizontal="right" vertical="center"/>
    </xf>
    <xf numFmtId="177" fontId="0" fillId="30" borderId="54" xfId="0" applyNumberFormat="1" applyFill="1" applyBorder="1" applyAlignment="1">
      <alignment horizontal="right" vertical="center"/>
    </xf>
    <xf numFmtId="177" fontId="0" fillId="30" borderId="95" xfId="0" applyNumberFormat="1" applyFill="1" applyBorder="1" applyAlignment="1">
      <alignment horizontal="right" vertical="center"/>
    </xf>
    <xf numFmtId="177" fontId="0" fillId="32" borderId="95" xfId="0" applyNumberFormat="1" applyFill="1" applyBorder="1" applyAlignment="1">
      <alignment horizontal="right" vertical="center"/>
    </xf>
    <xf numFmtId="177" fontId="0" fillId="30" borderId="55" xfId="0" applyNumberFormat="1" applyFill="1" applyBorder="1" applyAlignment="1">
      <alignment horizontal="right" vertical="center"/>
    </xf>
    <xf numFmtId="0" fontId="0" fillId="30" borderId="16" xfId="0" applyFill="1" applyBorder="1" applyAlignment="1">
      <alignment vertical="center"/>
    </xf>
    <xf numFmtId="0" fontId="0" fillId="30" borderId="175" xfId="0" applyFill="1" applyBorder="1" applyAlignment="1">
      <alignment vertical="center"/>
    </xf>
    <xf numFmtId="3" fontId="0" fillId="30" borderId="168" xfId="0" applyNumberFormat="1" applyFill="1" applyBorder="1" applyAlignment="1">
      <alignment horizontal="right" vertical="center"/>
    </xf>
    <xf numFmtId="3" fontId="0" fillId="30" borderId="56" xfId="0" applyNumberFormat="1" applyFill="1" applyBorder="1" applyAlignment="1">
      <alignment horizontal="right" vertical="center"/>
    </xf>
    <xf numFmtId="3" fontId="0" fillId="30" borderId="97" xfId="0" applyNumberFormat="1" applyFill="1" applyBorder="1" applyAlignment="1">
      <alignment horizontal="right" vertical="center"/>
    </xf>
    <xf numFmtId="3" fontId="0" fillId="30" borderId="176" xfId="0" applyNumberFormat="1" applyFill="1" applyBorder="1" applyAlignment="1">
      <alignment horizontal="right" vertical="center"/>
    </xf>
    <xf numFmtId="176" fontId="0" fillId="30" borderId="45" xfId="0" applyNumberFormat="1" applyFill="1" applyBorder="1" applyAlignment="1">
      <alignment horizontal="right" vertical="center"/>
    </xf>
    <xf numFmtId="176" fontId="0" fillId="30" borderId="97" xfId="0" applyNumberFormat="1" applyFill="1" applyBorder="1" applyAlignment="1">
      <alignment horizontal="right" vertical="center"/>
    </xf>
    <xf numFmtId="176" fontId="0" fillId="30" borderId="56" xfId="0" applyNumberFormat="1" applyFill="1" applyBorder="1" applyAlignment="1">
      <alignment horizontal="right" vertical="center"/>
    </xf>
    <xf numFmtId="176" fontId="0" fillId="30" borderId="176" xfId="0" applyNumberFormat="1" applyFill="1" applyBorder="1" applyAlignment="1">
      <alignment horizontal="right" vertical="center"/>
    </xf>
    <xf numFmtId="4" fontId="0" fillId="30" borderId="81" xfId="0" applyNumberFormat="1" applyFill="1" applyBorder="1" applyAlignment="1">
      <alignment horizontal="right" vertical="center"/>
    </xf>
    <xf numFmtId="4" fontId="0" fillId="30" borderId="79" xfId="0" applyNumberFormat="1" applyFill="1" applyBorder="1" applyAlignment="1">
      <alignment horizontal="right" vertical="center"/>
    </xf>
    <xf numFmtId="4" fontId="0" fillId="30" borderId="86" xfId="0" applyNumberFormat="1" applyFill="1" applyBorder="1" applyAlignment="1">
      <alignment horizontal="right" vertical="center"/>
    </xf>
    <xf numFmtId="4" fontId="0" fillId="30" borderId="69" xfId="0" applyNumberFormat="1" applyFill="1" applyBorder="1" applyAlignment="1">
      <alignment horizontal="right" vertical="center"/>
    </xf>
    <xf numFmtId="4" fontId="0" fillId="30" borderId="50" xfId="0" applyNumberFormat="1" applyFill="1" applyBorder="1" applyAlignment="1">
      <alignment horizontal="right" vertical="center"/>
    </xf>
    <xf numFmtId="4" fontId="0" fillId="30" borderId="57" xfId="0" applyNumberFormat="1" applyFill="1" applyBorder="1" applyAlignment="1">
      <alignment horizontal="right" vertical="center"/>
    </xf>
    <xf numFmtId="4" fontId="0" fillId="30" borderId="58" xfId="0" applyNumberFormat="1" applyFill="1" applyBorder="1" applyAlignment="1">
      <alignment horizontal="right" vertical="center"/>
    </xf>
    <xf numFmtId="4" fontId="0" fillId="30" borderId="78" xfId="0" applyNumberFormat="1" applyFill="1" applyBorder="1" applyAlignment="1">
      <alignment horizontal="right" vertical="center"/>
    </xf>
    <xf numFmtId="4" fontId="0" fillId="30" borderId="73" xfId="0" applyNumberFormat="1" applyFill="1" applyBorder="1" applyAlignment="1">
      <alignment horizontal="right" vertical="center"/>
    </xf>
    <xf numFmtId="177" fontId="0" fillId="32" borderId="46" xfId="0" applyNumberFormat="1" applyFill="1" applyBorder="1" applyAlignment="1">
      <alignment horizontal="right" vertical="center"/>
    </xf>
    <xf numFmtId="177" fontId="0" fillId="32" borderId="56" xfId="0" applyNumberFormat="1" applyFill="1" applyBorder="1" applyAlignment="1">
      <alignment horizontal="right" vertical="center"/>
    </xf>
    <xf numFmtId="177" fontId="0" fillId="32" borderId="97" xfId="0" applyNumberFormat="1" applyFill="1" applyBorder="1" applyAlignment="1">
      <alignment horizontal="right" vertical="center"/>
    </xf>
    <xf numFmtId="176" fontId="0" fillId="30" borderId="160" xfId="0" applyNumberFormat="1" applyFill="1" applyBorder="1" applyAlignment="1">
      <alignment horizontal="right" vertical="center"/>
    </xf>
    <xf numFmtId="176" fontId="0" fillId="30" borderId="29" xfId="0" applyNumberFormat="1" applyFill="1" applyBorder="1" applyAlignment="1">
      <alignment horizontal="right" vertical="center"/>
    </xf>
    <xf numFmtId="176" fontId="0" fillId="30" borderId="41" xfId="0" applyNumberFormat="1" applyFill="1" applyBorder="1" applyAlignment="1">
      <alignment horizontal="right" vertical="center"/>
    </xf>
    <xf numFmtId="176" fontId="0" fillId="30" borderId="171" xfId="0" applyNumberFormat="1" applyFill="1" applyBorder="1" applyAlignment="1">
      <alignment horizontal="right" vertical="center"/>
    </xf>
    <xf numFmtId="176" fontId="0" fillId="30" borderId="159" xfId="0" applyNumberFormat="1" applyFill="1" applyBorder="1" applyAlignment="1">
      <alignment horizontal="right" vertical="center"/>
    </xf>
    <xf numFmtId="177" fontId="0" fillId="32" borderId="160" xfId="0" applyNumberFormat="1" applyFill="1" applyBorder="1" applyAlignment="1">
      <alignment horizontal="right" vertical="center"/>
    </xf>
    <xf numFmtId="177" fontId="0" fillId="32" borderId="29" xfId="0" applyNumberFormat="1" applyFill="1" applyBorder="1" applyAlignment="1">
      <alignment horizontal="right" vertical="center"/>
    </xf>
    <xf numFmtId="167" fontId="0" fillId="32" borderId="29" xfId="0" applyNumberFormat="1" applyFill="1" applyBorder="1" applyAlignment="1">
      <alignment horizontal="center" vertical="center"/>
    </xf>
    <xf numFmtId="0" fontId="0" fillId="32" borderId="41" xfId="0" applyFill="1" applyBorder="1" applyAlignment="1">
      <alignment horizontal="left" vertical="center"/>
    </xf>
    <xf numFmtId="177" fontId="0" fillId="30" borderId="37" xfId="0" applyNumberFormat="1" applyFill="1" applyBorder="1" applyAlignment="1">
      <alignment horizontal="right" vertical="center"/>
    </xf>
    <xf numFmtId="177" fontId="0" fillId="32" borderId="40" xfId="0" applyNumberFormat="1" applyFill="1" applyBorder="1" applyAlignment="1">
      <alignment horizontal="right" vertical="center"/>
    </xf>
    <xf numFmtId="0" fontId="0" fillId="30" borderId="43" xfId="0" applyFill="1" applyBorder="1" applyAlignment="1">
      <alignment horizontal="center" vertical="center"/>
    </xf>
    <xf numFmtId="0" fontId="0" fillId="30" borderId="42" xfId="0" applyFill="1" applyBorder="1" applyAlignment="1">
      <alignment horizontal="center" vertical="center"/>
    </xf>
    <xf numFmtId="177" fontId="0" fillId="30" borderId="96" xfId="0" applyNumberFormat="1" applyFill="1" applyBorder="1" applyAlignment="1">
      <alignment horizontal="right" vertical="center"/>
    </xf>
    <xf numFmtId="177" fontId="0" fillId="30" borderId="177" xfId="0" applyNumberFormat="1" applyFill="1" applyBorder="1" applyAlignment="1">
      <alignment horizontal="right" vertical="center"/>
    </xf>
    <xf numFmtId="3" fontId="0" fillId="30" borderId="72" xfId="0" applyNumberFormat="1" applyFill="1" applyBorder="1" applyAlignment="1">
      <alignment horizontal="right" vertical="center"/>
    </xf>
    <xf numFmtId="3" fontId="0" fillId="30" borderId="55" xfId="0" applyNumberFormat="1" applyFill="1" applyBorder="1" applyAlignment="1">
      <alignment horizontal="right" vertical="center"/>
    </xf>
    <xf numFmtId="0" fontId="0" fillId="30" borderId="28" xfId="0" quotePrefix="1" applyFill="1" applyBorder="1"/>
    <xf numFmtId="0" fontId="2" fillId="30" borderId="0" xfId="224" applyFill="1" applyAlignment="1">
      <alignment vertical="center"/>
    </xf>
    <xf numFmtId="0" fontId="62" fillId="30" borderId="67" xfId="224" applyFont="1" applyFill="1" applyBorder="1" applyAlignment="1">
      <alignment vertical="center" wrapText="1"/>
    </xf>
    <xf numFmtId="0" fontId="62" fillId="30" borderId="70" xfId="224" applyFont="1" applyFill="1" applyBorder="1" applyAlignment="1">
      <alignment horizontal="right" vertical="center"/>
    </xf>
    <xf numFmtId="176" fontId="62" fillId="41" borderId="48" xfId="263" applyNumberFormat="1" applyFont="1" applyFill="1" applyBorder="1" applyAlignment="1" applyProtection="1">
      <alignment vertical="center"/>
      <protection locked="0"/>
    </xf>
    <xf numFmtId="176" fontId="62" fillId="41" borderId="72" xfId="263" applyNumberFormat="1" applyFont="1" applyFill="1" applyBorder="1" applyAlignment="1" applyProtection="1">
      <alignment vertical="center"/>
      <protection locked="0"/>
    </xf>
    <xf numFmtId="176" fontId="62" fillId="31" borderId="48" xfId="263" applyNumberFormat="1" applyFont="1" applyFill="1" applyBorder="1" applyAlignment="1" applyProtection="1">
      <alignment vertical="center"/>
      <protection locked="0"/>
    </xf>
    <xf numFmtId="176" fontId="62" fillId="31" borderId="72" xfId="263" applyNumberFormat="1" applyFont="1" applyFill="1" applyBorder="1" applyAlignment="1" applyProtection="1">
      <alignment vertical="center"/>
      <protection locked="0"/>
    </xf>
    <xf numFmtId="0" fontId="62" fillId="30" borderId="14" xfId="224" applyFont="1" applyFill="1" applyBorder="1" applyAlignment="1">
      <alignment vertical="center" wrapText="1"/>
    </xf>
    <xf numFmtId="0" fontId="62" fillId="30" borderId="14" xfId="224" applyFont="1" applyFill="1" applyBorder="1" applyAlignment="1">
      <alignment vertical="center"/>
    </xf>
    <xf numFmtId="0" fontId="62" fillId="30" borderId="15" xfId="224" applyFont="1" applyFill="1" applyBorder="1" applyAlignment="1">
      <alignment horizontal="right" vertical="center"/>
    </xf>
    <xf numFmtId="0" fontId="62" fillId="30" borderId="15" xfId="224" applyFont="1" applyFill="1" applyBorder="1" applyAlignment="1">
      <alignment vertical="center"/>
    </xf>
    <xf numFmtId="0" fontId="74" fillId="30" borderId="14" xfId="224" applyFont="1" applyFill="1" applyBorder="1" applyAlignment="1">
      <alignment vertical="center"/>
    </xf>
    <xf numFmtId="0" fontId="74" fillId="30" borderId="15" xfId="224" applyFont="1" applyFill="1" applyBorder="1" applyAlignment="1">
      <alignment vertical="center"/>
    </xf>
    <xf numFmtId="176" fontId="73" fillId="41" borderId="48" xfId="263" applyNumberFormat="1" applyFont="1" applyFill="1" applyBorder="1" applyAlignment="1" applyProtection="1">
      <alignment vertical="center"/>
      <protection locked="0"/>
    </xf>
    <xf numFmtId="176" fontId="73" fillId="41" borderId="72" xfId="263" applyNumberFormat="1" applyFont="1" applyFill="1" applyBorder="1" applyAlignment="1" applyProtection="1">
      <alignment vertical="center"/>
      <protection locked="0"/>
    </xf>
    <xf numFmtId="176" fontId="73" fillId="31" borderId="48" xfId="263" applyNumberFormat="1" applyFont="1" applyFill="1" applyBorder="1" applyAlignment="1" applyProtection="1">
      <alignment vertical="center"/>
      <protection locked="0"/>
    </xf>
    <xf numFmtId="176" fontId="73" fillId="31" borderId="72" xfId="263" applyNumberFormat="1" applyFont="1" applyFill="1" applyBorder="1" applyAlignment="1" applyProtection="1">
      <alignment vertical="center"/>
      <protection locked="0"/>
    </xf>
    <xf numFmtId="4" fontId="40" fillId="30" borderId="0" xfId="258" applyNumberFormat="1" applyFont="1" applyFill="1" applyAlignment="1">
      <alignment vertical="center"/>
    </xf>
    <xf numFmtId="0" fontId="42" fillId="30" borderId="0" xfId="258" applyFont="1" applyFill="1" applyAlignment="1">
      <alignment vertical="center"/>
    </xf>
    <xf numFmtId="0" fontId="37" fillId="30" borderId="0" xfId="258" applyFont="1" applyFill="1" applyAlignment="1">
      <alignment vertical="center"/>
    </xf>
    <xf numFmtId="0" fontId="34" fillId="30" borderId="0" xfId="258" applyFont="1" applyFill="1" applyAlignment="1">
      <alignment vertical="center"/>
    </xf>
    <xf numFmtId="0" fontId="42" fillId="30" borderId="16" xfId="258" applyFont="1" applyFill="1" applyBorder="1" applyAlignment="1">
      <alignment vertical="center"/>
    </xf>
    <xf numFmtId="0" fontId="62" fillId="30" borderId="0" xfId="0" applyFont="1" applyFill="1" applyAlignment="1">
      <alignment vertical="center"/>
    </xf>
    <xf numFmtId="0" fontId="62" fillId="30" borderId="35" xfId="0" applyFont="1" applyFill="1" applyBorder="1" applyAlignment="1">
      <alignment vertical="center"/>
    </xf>
    <xf numFmtId="0" fontId="62" fillId="30" borderId="80" xfId="0" applyFont="1" applyFill="1" applyBorder="1" applyAlignment="1">
      <alignment vertical="center"/>
    </xf>
    <xf numFmtId="0" fontId="62" fillId="30" borderId="79" xfId="0" applyFont="1" applyFill="1" applyBorder="1" applyAlignment="1">
      <alignment vertical="center"/>
    </xf>
    <xf numFmtId="0" fontId="62" fillId="30" borderId="78" xfId="0" applyFont="1" applyFill="1" applyBorder="1" applyAlignment="1">
      <alignment vertical="center"/>
    </xf>
    <xf numFmtId="0" fontId="62" fillId="30" borderId="136" xfId="0" applyFont="1" applyFill="1" applyBorder="1" applyAlignment="1">
      <alignment vertical="center"/>
    </xf>
    <xf numFmtId="0" fontId="62" fillId="30" borderId="135" xfId="0" applyFont="1" applyFill="1" applyBorder="1" applyAlignment="1">
      <alignment vertical="center"/>
    </xf>
    <xf numFmtId="0" fontId="62" fillId="30" borderId="42" xfId="0" quotePrefix="1" applyFont="1" applyFill="1" applyBorder="1" applyAlignment="1">
      <alignment vertical="center"/>
    </xf>
    <xf numFmtId="0" fontId="62" fillId="30" borderId="54" xfId="0" applyFont="1" applyFill="1" applyBorder="1" applyAlignment="1">
      <alignment vertical="center"/>
    </xf>
    <xf numFmtId="0" fontId="62" fillId="30" borderId="92" xfId="0" applyFont="1" applyFill="1" applyBorder="1" applyAlignment="1">
      <alignment vertical="center"/>
    </xf>
    <xf numFmtId="0" fontId="62" fillId="30" borderId="89" xfId="0" quotePrefix="1" applyFont="1" applyFill="1" applyBorder="1" applyAlignment="1">
      <alignment vertical="center"/>
    </xf>
    <xf numFmtId="0" fontId="62" fillId="30" borderId="182" xfId="0" applyFont="1" applyFill="1" applyBorder="1" applyAlignment="1">
      <alignment vertical="center"/>
    </xf>
    <xf numFmtId="0" fontId="62" fillId="30" borderId="88" xfId="0" applyFont="1" applyFill="1" applyBorder="1" applyAlignment="1">
      <alignment vertical="center"/>
    </xf>
    <xf numFmtId="0" fontId="62" fillId="30" borderId="31" xfId="0" applyFont="1" applyFill="1" applyBorder="1" applyAlignment="1">
      <alignment vertical="center"/>
    </xf>
    <xf numFmtId="0" fontId="62" fillId="30" borderId="76" xfId="0" applyFont="1" applyFill="1" applyBorder="1" applyAlignment="1">
      <alignment vertical="center"/>
    </xf>
    <xf numFmtId="0" fontId="62" fillId="30" borderId="48" xfId="0" applyFont="1" applyFill="1" applyBorder="1" applyAlignment="1">
      <alignment vertical="center"/>
    </xf>
    <xf numFmtId="0" fontId="62" fillId="30" borderId="72" xfId="0" applyFont="1" applyFill="1" applyBorder="1" applyAlignment="1">
      <alignment vertical="center"/>
    </xf>
    <xf numFmtId="0" fontId="62" fillId="30" borderId="30" xfId="0" quotePrefix="1" applyFont="1" applyFill="1" applyBorder="1" applyAlignment="1">
      <alignment vertical="center"/>
    </xf>
    <xf numFmtId="0" fontId="62" fillId="30" borderId="30" xfId="0" applyFont="1" applyFill="1" applyBorder="1" applyAlignment="1">
      <alignment vertical="center"/>
    </xf>
    <xf numFmtId="0" fontId="73" fillId="30" borderId="28" xfId="224" applyFont="1" applyFill="1" applyBorder="1" applyAlignment="1">
      <alignment horizontal="center" vertical="center"/>
    </xf>
    <xf numFmtId="0" fontId="73" fillId="30" borderId="27" xfId="224" applyFont="1" applyFill="1" applyBorder="1" applyAlignment="1">
      <alignment horizontal="center" vertical="center"/>
    </xf>
    <xf numFmtId="0" fontId="11" fillId="30" borderId="0" xfId="267" applyFont="1" applyFill="1" applyAlignment="1">
      <alignment vertical="center"/>
    </xf>
    <xf numFmtId="0" fontId="73" fillId="30" borderId="80" xfId="0" applyFont="1" applyFill="1" applyBorder="1" applyAlignment="1">
      <alignment horizontal="center" vertical="center"/>
    </xf>
    <xf numFmtId="0" fontId="73" fillId="30" borderId="79" xfId="0" applyFont="1" applyFill="1" applyBorder="1" applyAlignment="1">
      <alignment horizontal="center" vertical="center"/>
    </xf>
    <xf numFmtId="0" fontId="73" fillId="30" borderId="78" xfId="0" applyFont="1" applyFill="1" applyBorder="1" applyAlignment="1">
      <alignment horizontal="center" vertical="center"/>
    </xf>
    <xf numFmtId="0" fontId="2" fillId="30" borderId="0" xfId="231" applyFill="1" applyAlignment="1">
      <alignment vertical="center"/>
    </xf>
    <xf numFmtId="0" fontId="11" fillId="30" borderId="0" xfId="259" applyFont="1" applyFill="1" applyAlignment="1">
      <alignment vertical="center"/>
    </xf>
    <xf numFmtId="4" fontId="37" fillId="30" borderId="0" xfId="259" applyNumberFormat="1" applyFont="1" applyFill="1" applyAlignment="1">
      <alignment horizontal="right" vertical="center"/>
    </xf>
    <xf numFmtId="0" fontId="2" fillId="30" borderId="0" xfId="259" applyFont="1" applyFill="1" applyAlignment="1">
      <alignment horizontal="right" vertical="center"/>
    </xf>
    <xf numFmtId="0" fontId="11" fillId="30" borderId="0" xfId="259" applyFont="1" applyFill="1" applyAlignment="1">
      <alignment horizontal="center" vertical="center"/>
    </xf>
    <xf numFmtId="2" fontId="11" fillId="30" borderId="0" xfId="267" applyNumberFormat="1" applyFont="1" applyFill="1" applyAlignment="1">
      <alignment vertical="center"/>
    </xf>
    <xf numFmtId="0" fontId="37" fillId="30" borderId="0" xfId="259" applyFont="1" applyFill="1" applyAlignment="1">
      <alignment horizontal="left" vertical="center"/>
    </xf>
    <xf numFmtId="0" fontId="11" fillId="30" borderId="0" xfId="224" applyFont="1" applyFill="1" applyAlignment="1">
      <alignment vertical="center"/>
    </xf>
    <xf numFmtId="0" fontId="37" fillId="30" borderId="0" xfId="224" applyFont="1" applyFill="1" applyAlignment="1">
      <alignment vertical="center"/>
    </xf>
    <xf numFmtId="0" fontId="35" fillId="30" borderId="0" xfId="224" applyFont="1" applyFill="1" applyAlignment="1">
      <alignment vertical="center"/>
    </xf>
    <xf numFmtId="0" fontId="0" fillId="30" borderId="0" xfId="0" applyFill="1" applyAlignment="1">
      <alignment horizontal="right" vertical="center"/>
    </xf>
    <xf numFmtId="0" fontId="73" fillId="30" borderId="137" xfId="0" quotePrefix="1" applyFont="1" applyFill="1" applyBorder="1" applyAlignment="1">
      <alignment vertical="center"/>
    </xf>
    <xf numFmtId="0" fontId="2" fillId="30" borderId="0" xfId="224" applyFill="1" applyProtection="1">
      <protection locked="0"/>
    </xf>
    <xf numFmtId="0" fontId="35" fillId="30" borderId="0" xfId="224" applyFont="1" applyFill="1" applyBorder="1" applyAlignment="1">
      <alignment vertical="center"/>
    </xf>
    <xf numFmtId="0" fontId="11" fillId="30" borderId="0" xfId="224" applyFont="1" applyFill="1" applyBorder="1" applyAlignment="1">
      <alignment vertical="center"/>
    </xf>
    <xf numFmtId="4" fontId="40" fillId="30" borderId="0" xfId="258" applyNumberFormat="1" applyFont="1" applyFill="1" applyBorder="1" applyAlignment="1">
      <alignment vertical="center"/>
    </xf>
    <xf numFmtId="0" fontId="40" fillId="30" borderId="0" xfId="258" applyFont="1" applyFill="1" applyBorder="1" applyAlignment="1">
      <alignment vertical="center"/>
    </xf>
    <xf numFmtId="4" fontId="37" fillId="30" borderId="0" xfId="259" applyNumberFormat="1" applyFont="1" applyFill="1" applyBorder="1" applyAlignment="1">
      <alignment horizontal="right" vertical="center"/>
    </xf>
    <xf numFmtId="0" fontId="11" fillId="30" borderId="0" xfId="259" applyFont="1" applyFill="1" applyBorder="1" applyAlignment="1">
      <alignment vertical="center"/>
    </xf>
    <xf numFmtId="0" fontId="11" fillId="30" borderId="0" xfId="267" applyFont="1" applyFill="1" applyBorder="1" applyAlignment="1">
      <alignment vertical="center"/>
    </xf>
    <xf numFmtId="0" fontId="62" fillId="30" borderId="0" xfId="0" applyFont="1" applyFill="1" applyBorder="1" applyAlignment="1">
      <alignment vertical="center"/>
    </xf>
    <xf numFmtId="0" fontId="2" fillId="30" borderId="0" xfId="231" applyFill="1" applyBorder="1" applyAlignment="1">
      <alignment horizontal="right" vertical="center"/>
    </xf>
    <xf numFmtId="0" fontId="2" fillId="30" borderId="0" xfId="224" applyFill="1" applyBorder="1" applyAlignment="1">
      <alignment vertical="center"/>
    </xf>
    <xf numFmtId="176" fontId="62" fillId="30" borderId="72" xfId="0" applyNumberFormat="1" applyFont="1" applyFill="1" applyBorder="1" applyAlignment="1">
      <alignment vertical="center"/>
    </xf>
    <xf numFmtId="176" fontId="62" fillId="30" borderId="48" xfId="0" applyNumberFormat="1" applyFont="1" applyFill="1" applyBorder="1" applyAlignment="1">
      <alignment vertical="center"/>
    </xf>
    <xf numFmtId="176" fontId="62" fillId="30" borderId="76" xfId="0" applyNumberFormat="1" applyFont="1" applyFill="1" applyBorder="1" applyAlignment="1">
      <alignment vertical="center"/>
    </xf>
    <xf numFmtId="176" fontId="62" fillId="30" borderId="31" xfId="0" applyNumberFormat="1" applyFont="1" applyFill="1" applyBorder="1" applyAlignment="1">
      <alignment vertical="center"/>
    </xf>
    <xf numFmtId="176" fontId="62" fillId="32" borderId="31" xfId="0" applyNumberFormat="1" applyFont="1" applyFill="1" applyBorder="1" applyAlignment="1">
      <alignment vertical="center"/>
    </xf>
    <xf numFmtId="176" fontId="62" fillId="32" borderId="72" xfId="0" applyNumberFormat="1" applyFont="1" applyFill="1" applyBorder="1" applyAlignment="1">
      <alignment vertical="center"/>
    </xf>
    <xf numFmtId="176" fontId="62" fillId="32" borderId="48" xfId="0" applyNumberFormat="1" applyFont="1" applyFill="1" applyBorder="1" applyAlignment="1">
      <alignment vertical="center"/>
    </xf>
    <xf numFmtId="176" fontId="62" fillId="32" borderId="76" xfId="0" applyNumberFormat="1" applyFont="1" applyFill="1" applyBorder="1" applyAlignment="1">
      <alignment vertical="center"/>
    </xf>
    <xf numFmtId="176" fontId="62" fillId="30" borderId="92" xfId="0" applyNumberFormat="1" applyFont="1" applyFill="1" applyBorder="1" applyAlignment="1">
      <alignment vertical="center"/>
    </xf>
    <xf numFmtId="176" fontId="62" fillId="30" borderId="54" xfId="0" applyNumberFormat="1" applyFont="1" applyFill="1" applyBorder="1" applyAlignment="1">
      <alignment vertical="center"/>
    </xf>
    <xf numFmtId="176" fontId="62" fillId="30" borderId="88" xfId="0" applyNumberFormat="1" applyFont="1" applyFill="1" applyBorder="1" applyAlignment="1">
      <alignment vertical="center"/>
    </xf>
    <xf numFmtId="176" fontId="62" fillId="30" borderId="182" xfId="0" applyNumberFormat="1" applyFont="1" applyFill="1" applyBorder="1" applyAlignment="1">
      <alignment vertical="center"/>
    </xf>
    <xf numFmtId="176" fontId="62" fillId="32" borderId="54" xfId="0" applyNumberFormat="1" applyFont="1" applyFill="1" applyBorder="1" applyAlignment="1">
      <alignment vertical="center"/>
    </xf>
    <xf numFmtId="176" fontId="62" fillId="32" borderId="88" xfId="0" applyNumberFormat="1" applyFont="1" applyFill="1" applyBorder="1" applyAlignment="1">
      <alignment vertical="center"/>
    </xf>
    <xf numFmtId="176" fontId="62" fillId="32" borderId="182" xfId="0" applyNumberFormat="1" applyFont="1" applyFill="1" applyBorder="1" applyAlignment="1">
      <alignment vertical="center"/>
    </xf>
    <xf numFmtId="176" fontId="62" fillId="30" borderId="78" xfId="0" applyNumberFormat="1" applyFont="1" applyFill="1" applyBorder="1" applyAlignment="1">
      <alignment vertical="center"/>
    </xf>
    <xf numFmtId="176" fontId="62" fillId="30" borderId="79" xfId="0" applyNumberFormat="1" applyFont="1" applyFill="1" applyBorder="1" applyAlignment="1">
      <alignment vertical="center"/>
    </xf>
    <xf numFmtId="176" fontId="62" fillId="30" borderId="80" xfId="0" applyNumberFormat="1" applyFont="1" applyFill="1" applyBorder="1" applyAlignment="1">
      <alignment vertical="center"/>
    </xf>
    <xf numFmtId="176" fontId="62" fillId="30" borderId="35" xfId="0" applyNumberFormat="1" applyFont="1" applyFill="1" applyBorder="1" applyAlignment="1">
      <alignment vertical="center"/>
    </xf>
    <xf numFmtId="176" fontId="62" fillId="30" borderId="30" xfId="0" applyNumberFormat="1" applyFont="1" applyFill="1" applyBorder="1" applyAlignment="1">
      <alignment vertical="center"/>
    </xf>
    <xf numFmtId="176" fontId="62" fillId="30" borderId="30" xfId="0" quotePrefix="1" applyNumberFormat="1" applyFont="1" applyFill="1" applyBorder="1" applyAlignment="1">
      <alignment vertical="center"/>
    </xf>
    <xf numFmtId="176" fontId="62" fillId="30" borderId="89" xfId="0" quotePrefix="1" applyNumberFormat="1" applyFont="1" applyFill="1" applyBorder="1" applyAlignment="1">
      <alignment vertical="center"/>
    </xf>
    <xf numFmtId="176" fontId="62" fillId="30" borderId="42" xfId="0" quotePrefix="1" applyNumberFormat="1" applyFont="1" applyFill="1" applyBorder="1" applyAlignment="1">
      <alignment vertical="center"/>
    </xf>
    <xf numFmtId="176" fontId="62" fillId="30" borderId="139" xfId="0" quotePrefix="1" applyNumberFormat="1" applyFont="1" applyFill="1" applyBorder="1" applyAlignment="1">
      <alignment vertical="center"/>
    </xf>
    <xf numFmtId="4" fontId="62" fillId="30" borderId="30" xfId="0" quotePrefix="1" applyNumberFormat="1" applyFont="1" applyFill="1" applyBorder="1" applyAlignment="1">
      <alignment vertical="center"/>
    </xf>
    <xf numFmtId="4" fontId="62" fillId="30" borderId="42" xfId="0" quotePrefix="1" applyNumberFormat="1" applyFont="1" applyFill="1" applyBorder="1" applyAlignment="1">
      <alignment vertical="center"/>
    </xf>
    <xf numFmtId="0" fontId="59" fillId="0" borderId="181" xfId="0" applyFont="1" applyBorder="1" applyAlignment="1" applyProtection="1">
      <alignment horizontal="center" vertical="center"/>
    </xf>
    <xf numFmtId="0" fontId="0" fillId="30" borderId="138" xfId="0" applyFill="1" applyBorder="1" applyAlignment="1">
      <alignment horizontal="left" vertical="center"/>
    </xf>
    <xf numFmtId="176" fontId="0" fillId="30" borderId="139" xfId="0" applyNumberFormat="1" applyFill="1" applyBorder="1" applyAlignment="1">
      <alignment horizontal="right" vertical="center"/>
    </xf>
    <xf numFmtId="176" fontId="0" fillId="30" borderId="138" xfId="0" applyNumberFormat="1" applyFill="1" applyBorder="1" applyAlignment="1">
      <alignment horizontal="right" vertical="center"/>
    </xf>
    <xf numFmtId="176" fontId="0" fillId="30" borderId="19" xfId="0" applyNumberFormat="1" applyFill="1" applyBorder="1"/>
    <xf numFmtId="0" fontId="62" fillId="30" borderId="145" xfId="0" applyFont="1" applyFill="1" applyBorder="1" applyAlignment="1">
      <alignment horizontal="center" vertical="center" wrapText="1"/>
    </xf>
    <xf numFmtId="177" fontId="0" fillId="30" borderId="89" xfId="0" applyNumberFormat="1" applyFill="1" applyBorder="1"/>
    <xf numFmtId="176" fontId="0" fillId="32" borderId="40" xfId="0" applyNumberFormat="1" applyFill="1" applyBorder="1"/>
    <xf numFmtId="176" fontId="0" fillId="32" borderId="71" xfId="0" applyNumberFormat="1" applyFill="1" applyBorder="1"/>
    <xf numFmtId="176" fontId="0" fillId="32" borderId="14" xfId="0" applyNumberFormat="1" applyFill="1" applyBorder="1"/>
    <xf numFmtId="0" fontId="0" fillId="32" borderId="40" xfId="0" applyNumberFormat="1" applyFill="1" applyBorder="1"/>
    <xf numFmtId="0" fontId="0" fillId="30" borderId="30" xfId="0" applyNumberFormat="1" applyFill="1" applyBorder="1"/>
    <xf numFmtId="0" fontId="0" fillId="30" borderId="67" xfId="0" applyFill="1" applyBorder="1" applyAlignment="1">
      <alignment vertical="center"/>
    </xf>
    <xf numFmtId="0" fontId="0" fillId="30" borderId="57" xfId="0" applyFill="1" applyBorder="1" applyAlignment="1">
      <alignment horizontal="center" vertical="center"/>
    </xf>
    <xf numFmtId="0" fontId="0" fillId="30" borderId="137" xfId="0" applyFill="1" applyBorder="1" applyAlignment="1">
      <alignment horizontal="center" vertical="center"/>
    </xf>
    <xf numFmtId="0" fontId="0" fillId="30" borderId="25" xfId="0" applyFill="1" applyBorder="1" applyAlignment="1">
      <alignment vertical="center"/>
    </xf>
    <xf numFmtId="0" fontId="0" fillId="30" borderId="136" xfId="0" applyFill="1" applyBorder="1" applyAlignment="1">
      <alignment vertical="center"/>
    </xf>
    <xf numFmtId="176" fontId="0" fillId="30" borderId="0" xfId="0" applyNumberFormat="1" applyFill="1" applyAlignment="1">
      <alignment horizontal="center" vertical="center"/>
    </xf>
    <xf numFmtId="177" fontId="0" fillId="30" borderId="19" xfId="0" applyNumberFormat="1" applyFill="1" applyBorder="1"/>
    <xf numFmtId="10" fontId="56" fillId="30" borderId="76" xfId="158" applyNumberFormat="1" applyFont="1" applyFill="1" applyBorder="1" applyAlignment="1">
      <alignment horizontal="right" vertical="center"/>
    </xf>
    <xf numFmtId="10" fontId="0" fillId="30" borderId="74" xfId="158" applyNumberFormat="1" applyFont="1" applyFill="1" applyBorder="1" applyAlignment="1">
      <alignment horizontal="right" vertical="center"/>
    </xf>
    <xf numFmtId="10" fontId="0" fillId="30" borderId="91" xfId="158" applyNumberFormat="1" applyFont="1" applyFill="1" applyBorder="1" applyAlignment="1">
      <alignment horizontal="right" vertical="center"/>
    </xf>
    <xf numFmtId="0" fontId="0" fillId="30" borderId="0" xfId="0" applyFill="1" applyAlignment="1">
      <alignment horizontal="left" vertical="top" wrapText="1"/>
    </xf>
    <xf numFmtId="0" fontId="0" fillId="30" borderId="0" xfId="0" applyFill="1" applyAlignment="1">
      <alignment horizontal="left" vertical="center"/>
    </xf>
    <xf numFmtId="0" fontId="65" fillId="30" borderId="0" xfId="0" applyFont="1" applyFill="1" applyAlignment="1">
      <alignment horizontal="left" vertical="center"/>
    </xf>
    <xf numFmtId="0" fontId="0" fillId="30" borderId="0" xfId="0" applyFill="1" applyAlignment="1">
      <alignment horizontal="left" vertical="center" wrapText="1"/>
    </xf>
    <xf numFmtId="0" fontId="0" fillId="30" borderId="38" xfId="0" applyFill="1" applyBorder="1" applyAlignment="1">
      <alignment horizontal="center" vertical="center"/>
    </xf>
    <xf numFmtId="176" fontId="0" fillId="30" borderId="168" xfId="0" applyNumberFormat="1" applyFill="1" applyBorder="1" applyAlignment="1">
      <alignment horizontal="right" vertical="center"/>
    </xf>
    <xf numFmtId="176" fontId="0" fillId="30" borderId="169" xfId="0" applyNumberFormat="1" applyFill="1" applyBorder="1" applyAlignment="1">
      <alignment horizontal="right" vertical="center"/>
    </xf>
    <xf numFmtId="10" fontId="0" fillId="30" borderId="87" xfId="158" applyNumberFormat="1" applyFont="1" applyFill="1" applyBorder="1" applyAlignment="1">
      <alignment horizontal="center" vertical="center"/>
    </xf>
    <xf numFmtId="0" fontId="0" fillId="30" borderId="17" xfId="0" applyFill="1" applyBorder="1" applyAlignment="1">
      <alignment horizontal="center" vertical="center" wrapText="1"/>
    </xf>
    <xf numFmtId="0" fontId="0" fillId="30" borderId="101" xfId="0" applyFill="1" applyBorder="1" applyAlignment="1">
      <alignment horizontal="center" vertical="center" wrapText="1"/>
    </xf>
    <xf numFmtId="0" fontId="0" fillId="30" borderId="25" xfId="0" applyFill="1" applyBorder="1" applyAlignment="1">
      <alignment horizontal="center" vertical="center"/>
    </xf>
    <xf numFmtId="0" fontId="0" fillId="30" borderId="26" xfId="0" applyFill="1" applyBorder="1" applyAlignment="1">
      <alignment horizontal="center" vertical="center"/>
    </xf>
    <xf numFmtId="10" fontId="0" fillId="30" borderId="60" xfId="0" quotePrefix="1" applyNumberFormat="1" applyFill="1" applyBorder="1" applyAlignment="1">
      <alignment horizontal="center" vertical="center"/>
    </xf>
    <xf numFmtId="0" fontId="65" fillId="30" borderId="122" xfId="0" applyFont="1" applyFill="1" applyBorder="1" applyAlignment="1">
      <alignment horizontal="left" vertical="center"/>
    </xf>
    <xf numFmtId="4" fontId="11" fillId="30" borderId="0" xfId="258" applyNumberFormat="1" applyFont="1" applyFill="1" applyAlignment="1" applyProtection="1">
      <alignment horizontal="center" vertical="center"/>
    </xf>
    <xf numFmtId="0" fontId="3" fillId="30" borderId="0" xfId="1" applyFont="1" applyFill="1" applyBorder="1" applyAlignment="1" applyProtection="1">
      <alignment horizontal="left" vertical="center"/>
    </xf>
    <xf numFmtId="0" fontId="0" fillId="30" borderId="66" xfId="0" applyFill="1" applyBorder="1" applyAlignment="1" applyProtection="1">
      <alignment vertical="center"/>
    </xf>
    <xf numFmtId="0" fontId="0" fillId="30" borderId="24" xfId="0" applyFill="1" applyBorder="1" applyAlignment="1" applyProtection="1">
      <alignment horizontal="left" vertical="center"/>
    </xf>
    <xf numFmtId="0" fontId="0" fillId="30" borderId="93" xfId="0" applyFill="1" applyBorder="1" applyAlignment="1" applyProtection="1">
      <alignment vertical="center"/>
    </xf>
    <xf numFmtId="0" fontId="60" fillId="30" borderId="0" xfId="0" applyFont="1" applyFill="1" applyAlignment="1" applyProtection="1">
      <alignment vertical="center"/>
    </xf>
    <xf numFmtId="0" fontId="0" fillId="30" borderId="0" xfId="0" quotePrefix="1" applyFill="1" applyAlignment="1" applyProtection="1">
      <alignment vertical="center"/>
    </xf>
    <xf numFmtId="9" fontId="0" fillId="30" borderId="19" xfId="0" applyNumberFormat="1" applyFill="1" applyBorder="1" applyAlignment="1" applyProtection="1">
      <alignment horizontal="center" vertical="center"/>
    </xf>
    <xf numFmtId="2" fontId="0" fillId="0" borderId="19" xfId="0" applyNumberFormat="1" applyFill="1" applyBorder="1" applyAlignment="1" applyProtection="1">
      <alignment horizontal="center" vertical="center"/>
    </xf>
    <xf numFmtId="0" fontId="0" fillId="30" borderId="19" xfId="0" applyFill="1" applyBorder="1" applyAlignment="1" applyProtection="1">
      <alignment horizontal="center" vertical="center"/>
    </xf>
    <xf numFmtId="0" fontId="60" fillId="30" borderId="0" xfId="0" quotePrefix="1" applyFont="1" applyFill="1" applyAlignment="1" applyProtection="1">
      <alignment vertical="center"/>
    </xf>
    <xf numFmtId="9" fontId="0" fillId="30" borderId="0" xfId="0" applyNumberFormat="1" applyFill="1" applyAlignment="1" applyProtection="1">
      <alignment horizontal="center" vertical="center"/>
    </xf>
    <xf numFmtId="0" fontId="0" fillId="30" borderId="0" xfId="0" quotePrefix="1" applyFont="1" applyFill="1" applyAlignment="1" applyProtection="1">
      <alignment vertical="center"/>
    </xf>
    <xf numFmtId="0" fontId="70" fillId="30" borderId="0" xfId="0" applyFont="1" applyFill="1" applyAlignment="1" applyProtection="1">
      <alignment vertical="center"/>
    </xf>
    <xf numFmtId="9" fontId="0" fillId="30" borderId="0" xfId="0" applyNumberFormat="1" applyFill="1" applyBorder="1" applyAlignment="1" applyProtection="1">
      <alignment horizontal="center" vertical="center"/>
    </xf>
    <xf numFmtId="0" fontId="60" fillId="30" borderId="0" xfId="0" quotePrefix="1" applyFont="1" applyFill="1" applyBorder="1" applyAlignment="1" applyProtection="1">
      <alignment vertical="center"/>
    </xf>
    <xf numFmtId="0" fontId="0" fillId="30" borderId="0" xfId="0" quotePrefix="1" applyFont="1" applyFill="1" applyBorder="1" applyAlignment="1" applyProtection="1">
      <alignment vertical="center"/>
    </xf>
    <xf numFmtId="180" fontId="0" fillId="30" borderId="19" xfId="0" applyNumberFormat="1" applyFill="1" applyBorder="1" applyAlignment="1" applyProtection="1">
      <alignment horizontal="center" vertical="center"/>
    </xf>
    <xf numFmtId="176" fontId="0" fillId="33" borderId="144" xfId="0" applyNumberFormat="1" applyFill="1" applyBorder="1" applyAlignment="1" applyProtection="1">
      <alignment horizontal="center" vertical="center"/>
      <protection locked="0"/>
    </xf>
    <xf numFmtId="4" fontId="0" fillId="33" borderId="144" xfId="0" applyNumberFormat="1" applyFill="1" applyBorder="1" applyAlignment="1" applyProtection="1">
      <alignment horizontal="center" vertical="center"/>
      <protection locked="0"/>
    </xf>
    <xf numFmtId="0" fontId="0" fillId="33" borderId="88" xfId="0" applyFill="1" applyBorder="1" applyAlignment="1" applyProtection="1">
      <alignment horizontal="center" vertical="center"/>
      <protection locked="0"/>
    </xf>
    <xf numFmtId="0" fontId="0" fillId="33" borderId="153" xfId="0" applyFill="1" applyBorder="1" applyAlignment="1" applyProtection="1">
      <alignment horizontal="left" vertical="center"/>
      <protection locked="0"/>
    </xf>
    <xf numFmtId="0" fontId="0" fillId="33" borderId="88" xfId="0" applyFill="1" applyBorder="1" applyAlignment="1" applyProtection="1">
      <alignment horizontal="left" vertical="center"/>
      <protection locked="0"/>
    </xf>
    <xf numFmtId="0" fontId="0" fillId="33" borderId="92" xfId="0" applyFill="1" applyBorder="1" applyAlignment="1" applyProtection="1">
      <alignment horizontal="center" vertical="center"/>
      <protection locked="0"/>
    </xf>
    <xf numFmtId="4" fontId="0" fillId="33" borderId="92" xfId="0" applyNumberFormat="1" applyFill="1" applyBorder="1" applyAlignment="1" applyProtection="1">
      <alignment horizontal="right" vertical="center"/>
      <protection locked="0"/>
    </xf>
    <xf numFmtId="4" fontId="0" fillId="33" borderId="88" xfId="0" applyNumberFormat="1" applyFill="1" applyBorder="1" applyAlignment="1" applyProtection="1">
      <alignment horizontal="right" vertical="center"/>
      <protection locked="0"/>
    </xf>
    <xf numFmtId="0" fontId="0" fillId="33" borderId="34" xfId="0" applyFill="1" applyBorder="1" applyAlignment="1" applyProtection="1">
      <alignment horizontal="left" vertical="center"/>
      <protection locked="0"/>
    </xf>
    <xf numFmtId="0" fontId="0" fillId="33" borderId="80" xfId="0" applyFill="1" applyBorder="1" applyAlignment="1" applyProtection="1">
      <alignment horizontal="left" vertical="center"/>
      <protection locked="0"/>
    </xf>
    <xf numFmtId="0" fontId="0" fillId="33" borderId="78" xfId="0" applyFill="1" applyBorder="1" applyAlignment="1" applyProtection="1">
      <alignment horizontal="center" vertical="center"/>
      <protection locked="0"/>
    </xf>
    <xf numFmtId="0" fontId="0" fillId="33" borderId="80" xfId="0" applyFill="1" applyBorder="1" applyAlignment="1" applyProtection="1">
      <alignment horizontal="center" vertical="center"/>
      <protection locked="0"/>
    </xf>
    <xf numFmtId="4" fontId="0" fillId="33" borderId="78" xfId="0" applyNumberFormat="1" applyFill="1" applyBorder="1" applyAlignment="1" applyProtection="1">
      <alignment horizontal="right" vertical="center"/>
      <protection locked="0"/>
    </xf>
    <xf numFmtId="4" fontId="0" fillId="33" borderId="80" xfId="0" applyNumberFormat="1" applyFill="1" applyBorder="1" applyAlignment="1" applyProtection="1">
      <alignment horizontal="right" vertical="center"/>
      <protection locked="0"/>
    </xf>
    <xf numFmtId="4" fontId="0" fillId="33" borderId="82" xfId="0" applyNumberFormat="1" applyFill="1" applyBorder="1" applyAlignment="1" applyProtection="1">
      <alignment horizontal="right" vertical="center"/>
      <protection locked="0"/>
    </xf>
    <xf numFmtId="4" fontId="0" fillId="33" borderId="83" xfId="0" applyNumberFormat="1" applyFill="1" applyBorder="1" applyAlignment="1" applyProtection="1">
      <alignment horizontal="right" vertical="center"/>
      <protection locked="0"/>
    </xf>
    <xf numFmtId="4" fontId="0" fillId="33" borderId="52" xfId="0" applyNumberFormat="1" applyFill="1" applyBorder="1" applyAlignment="1" applyProtection="1">
      <alignment horizontal="right" vertical="center"/>
      <protection locked="0"/>
    </xf>
    <xf numFmtId="4" fontId="0" fillId="33" borderId="72" xfId="0" applyNumberFormat="1" applyFill="1" applyBorder="1" applyAlignment="1" applyProtection="1">
      <alignment horizontal="right" vertical="center"/>
      <protection locked="0"/>
    </xf>
    <xf numFmtId="4" fontId="0" fillId="33" borderId="48" xfId="0" applyNumberFormat="1" applyFill="1" applyBorder="1" applyAlignment="1" applyProtection="1">
      <alignment horizontal="right" vertical="center"/>
      <protection locked="0"/>
    </xf>
    <xf numFmtId="4" fontId="0" fillId="33" borderId="76" xfId="0" applyNumberFormat="1" applyFill="1" applyBorder="1" applyAlignment="1" applyProtection="1">
      <alignment horizontal="right" vertical="center"/>
      <protection locked="0"/>
    </xf>
    <xf numFmtId="0" fontId="0" fillId="33" borderId="76" xfId="0" applyFill="1" applyBorder="1" applyAlignment="1" applyProtection="1">
      <alignment horizontal="center" vertical="center"/>
      <protection locked="0"/>
    </xf>
    <xf numFmtId="0" fontId="0" fillId="33" borderId="39" xfId="0" applyFill="1" applyBorder="1" applyAlignment="1" applyProtection="1">
      <alignment horizontal="left" vertical="center"/>
      <protection locked="0"/>
    </xf>
    <xf numFmtId="0" fontId="0" fillId="33" borderId="72" xfId="0" applyFill="1" applyBorder="1" applyAlignment="1" applyProtection="1">
      <alignment horizontal="left" vertical="center"/>
      <protection locked="0"/>
    </xf>
    <xf numFmtId="0" fontId="0" fillId="33" borderId="48" xfId="0" applyFill="1" applyBorder="1" applyAlignment="1" applyProtection="1">
      <alignment horizontal="left" vertical="center"/>
      <protection locked="0"/>
    </xf>
    <xf numFmtId="0" fontId="0" fillId="33" borderId="76" xfId="0" applyFill="1" applyBorder="1" applyAlignment="1" applyProtection="1">
      <alignment horizontal="left" vertical="center"/>
      <protection locked="0"/>
    </xf>
    <xf numFmtId="0" fontId="0" fillId="33" borderId="78" xfId="0" applyFill="1" applyBorder="1" applyAlignment="1" applyProtection="1">
      <alignment horizontal="left" vertical="center"/>
      <protection locked="0"/>
    </xf>
    <xf numFmtId="0" fontId="0" fillId="33" borderId="79" xfId="0" applyFill="1" applyBorder="1" applyAlignment="1" applyProtection="1">
      <alignment horizontal="left" vertical="center"/>
      <protection locked="0"/>
    </xf>
    <xf numFmtId="4" fontId="0" fillId="33" borderId="79" xfId="0" applyNumberFormat="1" applyFill="1" applyBorder="1" applyAlignment="1" applyProtection="1">
      <alignment horizontal="right" vertical="center"/>
      <protection locked="0"/>
    </xf>
    <xf numFmtId="4" fontId="0" fillId="33" borderId="76" xfId="0" applyNumberFormat="1" applyFill="1" applyBorder="1" applyAlignment="1" applyProtection="1">
      <alignment horizontal="center" vertical="center"/>
      <protection locked="0"/>
    </xf>
    <xf numFmtId="4" fontId="0" fillId="33" borderId="72" xfId="0" applyNumberFormat="1" applyFill="1" applyBorder="1" applyAlignment="1" applyProtection="1">
      <alignment horizontal="center" vertical="center"/>
      <protection locked="0"/>
    </xf>
    <xf numFmtId="4" fontId="0" fillId="33" borderId="80" xfId="0" applyNumberFormat="1" applyFill="1" applyBorder="1" applyAlignment="1" applyProtection="1">
      <alignment horizontal="center" vertical="center"/>
      <protection locked="0"/>
    </xf>
    <xf numFmtId="4" fontId="0" fillId="33" borderId="78" xfId="0" applyNumberFormat="1" applyFill="1" applyBorder="1" applyAlignment="1" applyProtection="1">
      <alignment horizontal="center" vertical="center"/>
      <protection locked="0"/>
    </xf>
    <xf numFmtId="10" fontId="0" fillId="33" borderId="92" xfId="0" applyNumberFormat="1" applyFill="1" applyBorder="1" applyAlignment="1" applyProtection="1">
      <alignment horizontal="right" vertical="center"/>
      <protection locked="0"/>
    </xf>
    <xf numFmtId="10" fontId="0" fillId="33" borderId="105" xfId="0" applyNumberFormat="1" applyFill="1" applyBorder="1" applyAlignment="1" applyProtection="1">
      <alignment horizontal="right" vertical="center"/>
      <protection locked="0"/>
    </xf>
    <xf numFmtId="10" fontId="0" fillId="33" borderId="78" xfId="0" applyNumberFormat="1" applyFill="1" applyBorder="1" applyAlignment="1" applyProtection="1">
      <alignment horizontal="right" vertical="center"/>
      <protection locked="0"/>
    </xf>
    <xf numFmtId="10" fontId="0" fillId="33" borderId="69" xfId="0" applyNumberFormat="1" applyFill="1" applyBorder="1" applyAlignment="1" applyProtection="1">
      <alignment horizontal="right" vertical="center"/>
      <protection locked="0"/>
    </xf>
    <xf numFmtId="10" fontId="0" fillId="33" borderId="72" xfId="0" applyNumberFormat="1" applyFill="1" applyBorder="1" applyAlignment="1" applyProtection="1">
      <alignment horizontal="right" vertical="center"/>
      <protection locked="0"/>
    </xf>
    <xf numFmtId="10" fontId="0" fillId="33" borderId="48" xfId="0" applyNumberFormat="1" applyFill="1" applyBorder="1" applyAlignment="1" applyProtection="1">
      <alignment horizontal="right" vertical="center"/>
      <protection locked="0"/>
    </xf>
    <xf numFmtId="10" fontId="0" fillId="33" borderId="55" xfId="0" applyNumberFormat="1" applyFill="1" applyBorder="1" applyAlignment="1" applyProtection="1">
      <alignment horizontal="right" vertical="center"/>
      <protection locked="0"/>
    </xf>
    <xf numFmtId="10" fontId="0" fillId="33" borderId="79" xfId="0" applyNumberFormat="1" applyFill="1" applyBorder="1" applyAlignment="1" applyProtection="1">
      <alignment horizontal="right" vertical="center"/>
      <protection locked="0"/>
    </xf>
    <xf numFmtId="0" fontId="0" fillId="30" borderId="0" xfId="0" applyFill="1" applyProtection="1"/>
    <xf numFmtId="0" fontId="70" fillId="30" borderId="0" xfId="0" applyFont="1" applyFill="1" applyProtection="1"/>
    <xf numFmtId="0" fontId="0" fillId="30" borderId="22" xfId="0" applyFill="1" applyBorder="1" applyAlignment="1" applyProtection="1">
      <alignment horizontal="center" vertical="center"/>
    </xf>
    <xf numFmtId="0" fontId="0" fillId="30" borderId="90" xfId="0" applyFill="1" applyBorder="1" applyAlignment="1" applyProtection="1">
      <alignment horizontal="center" vertical="center" wrapText="1"/>
    </xf>
    <xf numFmtId="0" fontId="0" fillId="30" borderId="145" xfId="0" applyFill="1" applyBorder="1" applyAlignment="1" applyProtection="1">
      <alignment horizontal="center" vertical="center" wrapText="1"/>
    </xf>
    <xf numFmtId="0" fontId="0" fillId="30" borderId="87" xfId="0" applyFill="1" applyBorder="1" applyAlignment="1" applyProtection="1">
      <alignment horizontal="center" vertical="center" wrapText="1"/>
    </xf>
    <xf numFmtId="0" fontId="0" fillId="30" borderId="60" xfId="0" applyFill="1" applyBorder="1" applyAlignment="1" applyProtection="1">
      <alignment horizontal="center" vertical="center" wrapText="1"/>
    </xf>
    <xf numFmtId="0" fontId="0" fillId="30" borderId="91" xfId="0" applyFill="1" applyBorder="1" applyAlignment="1" applyProtection="1">
      <alignment horizontal="center" vertical="center" wrapText="1"/>
    </xf>
    <xf numFmtId="0" fontId="0" fillId="30" borderId="139" xfId="0" applyFill="1" applyBorder="1" applyAlignment="1" applyProtection="1">
      <alignment horizontal="center" vertical="center" wrapText="1"/>
    </xf>
    <xf numFmtId="0" fontId="0" fillId="30" borderId="22" xfId="0" applyFill="1" applyBorder="1" applyAlignment="1" applyProtection="1">
      <alignment horizontal="center" vertical="center" wrapText="1"/>
    </xf>
    <xf numFmtId="0" fontId="0" fillId="30" borderId="38" xfId="0" applyFill="1" applyBorder="1" applyAlignment="1" applyProtection="1">
      <alignment vertical="center"/>
    </xf>
    <xf numFmtId="0" fontId="84" fillId="30" borderId="38" xfId="0" applyFont="1" applyFill="1" applyBorder="1" applyAlignment="1" applyProtection="1">
      <alignment vertical="center"/>
    </xf>
    <xf numFmtId="4" fontId="0" fillId="30" borderId="84" xfId="0" applyNumberFormat="1" applyFill="1" applyBorder="1" applyAlignment="1" applyProtection="1">
      <alignment vertical="center"/>
    </xf>
    <xf numFmtId="4" fontId="0" fillId="30" borderId="104" xfId="0" applyNumberFormat="1" applyFill="1" applyBorder="1" applyAlignment="1" applyProtection="1">
      <alignment vertical="center"/>
    </xf>
    <xf numFmtId="4" fontId="0" fillId="30" borderId="82" xfId="0" applyNumberFormat="1" applyFill="1" applyBorder="1" applyAlignment="1" applyProtection="1">
      <alignment vertical="center"/>
    </xf>
    <xf numFmtId="4" fontId="0" fillId="30" borderId="82" xfId="0" applyNumberFormat="1" applyFill="1" applyBorder="1" applyAlignment="1" applyProtection="1">
      <alignment vertical="center" wrapText="1"/>
    </xf>
    <xf numFmtId="0" fontId="0" fillId="30" borderId="0" xfId="0" applyFill="1" applyAlignment="1" applyProtection="1"/>
    <xf numFmtId="0" fontId="0" fillId="30" borderId="14" xfId="0" applyFill="1" applyBorder="1" applyAlignment="1" applyProtection="1">
      <alignment vertical="center"/>
    </xf>
    <xf numFmtId="0" fontId="84" fillId="30" borderId="14" xfId="0" applyFont="1" applyFill="1" applyBorder="1" applyAlignment="1" applyProtection="1">
      <alignment vertical="center"/>
    </xf>
    <xf numFmtId="4" fontId="0" fillId="30" borderId="30" xfId="0" applyNumberFormat="1" applyFill="1" applyBorder="1" applyAlignment="1" applyProtection="1">
      <alignment vertical="center"/>
    </xf>
    <xf numFmtId="4" fontId="0" fillId="30" borderId="63" xfId="0" applyNumberFormat="1" applyFill="1" applyBorder="1" applyAlignment="1" applyProtection="1">
      <alignment vertical="center"/>
    </xf>
    <xf numFmtId="4" fontId="0" fillId="30" borderId="72" xfId="0" applyNumberFormat="1" applyFill="1" applyBorder="1" applyAlignment="1" applyProtection="1">
      <alignment vertical="center"/>
    </xf>
    <xf numFmtId="4" fontId="0" fillId="30" borderId="72" xfId="0" applyNumberFormat="1" applyFill="1" applyBorder="1" applyAlignment="1" applyProtection="1">
      <alignment vertical="center" wrapText="1"/>
    </xf>
    <xf numFmtId="0" fontId="0" fillId="30" borderId="14" xfId="0" applyFont="1" applyFill="1" applyBorder="1" applyAlignment="1" applyProtection="1"/>
    <xf numFmtId="0" fontId="84" fillId="30" borderId="14" xfId="0" applyFont="1" applyFill="1" applyBorder="1" applyAlignment="1" applyProtection="1"/>
    <xf numFmtId="4" fontId="0" fillId="32" borderId="72" xfId="0" applyNumberFormat="1" applyFill="1" applyBorder="1" applyAlignment="1" applyProtection="1">
      <alignment vertical="center"/>
    </xf>
    <xf numFmtId="4" fontId="0" fillId="32" borderId="72" xfId="0" applyNumberFormat="1" applyFill="1" applyBorder="1" applyAlignment="1" applyProtection="1">
      <alignment vertical="center" wrapText="1"/>
    </xf>
    <xf numFmtId="0" fontId="0" fillId="30" borderId="14" xfId="0" applyFill="1" applyBorder="1" applyProtection="1"/>
    <xf numFmtId="0" fontId="84" fillId="30" borderId="14" xfId="0" applyFont="1" applyFill="1" applyBorder="1" applyProtection="1"/>
    <xf numFmtId="4" fontId="0" fillId="30" borderId="30" xfId="0" applyNumberFormat="1" applyFill="1" applyBorder="1" applyProtection="1"/>
    <xf numFmtId="4" fontId="0" fillId="30" borderId="63" xfId="0" applyNumberFormat="1" applyFill="1" applyBorder="1" applyProtection="1"/>
    <xf numFmtId="4" fontId="0" fillId="30" borderId="72" xfId="0" applyNumberFormat="1" applyFill="1" applyBorder="1" applyProtection="1"/>
    <xf numFmtId="4" fontId="0" fillId="32" borderId="72" xfId="0" applyNumberFormat="1" applyFill="1" applyBorder="1" applyProtection="1"/>
    <xf numFmtId="0" fontId="0" fillId="30" borderId="33" xfId="0" applyFill="1" applyBorder="1" applyProtection="1"/>
    <xf numFmtId="0" fontId="84" fillId="30" borderId="33" xfId="0" applyFont="1" applyFill="1" applyBorder="1" applyProtection="1"/>
    <xf numFmtId="4" fontId="0" fillId="30" borderId="89" xfId="0" applyNumberFormat="1" applyFill="1" applyBorder="1" applyProtection="1"/>
    <xf numFmtId="4" fontId="0" fillId="30" borderId="146" xfId="0" applyNumberFormat="1" applyFill="1" applyBorder="1" applyProtection="1"/>
    <xf numFmtId="4" fontId="0" fillId="32" borderId="92" xfId="0" applyNumberFormat="1" applyFill="1" applyBorder="1" applyProtection="1"/>
    <xf numFmtId="4" fontId="0" fillId="30" borderId="92" xfId="0" applyNumberFormat="1" applyFill="1" applyBorder="1" applyProtection="1"/>
    <xf numFmtId="4" fontId="0" fillId="30" borderId="0" xfId="0" applyNumberFormat="1" applyFill="1" applyProtection="1"/>
    <xf numFmtId="0" fontId="65" fillId="30" borderId="109" xfId="0" applyFont="1" applyFill="1" applyBorder="1" applyProtection="1"/>
    <xf numFmtId="0" fontId="65" fillId="30" borderId="119" xfId="0" applyFont="1" applyFill="1" applyBorder="1" applyProtection="1"/>
    <xf numFmtId="4" fontId="65" fillId="30" borderId="110" xfId="0" applyNumberFormat="1" applyFont="1" applyFill="1" applyBorder="1" applyProtection="1"/>
    <xf numFmtId="4" fontId="65" fillId="30" borderId="111" xfId="0" applyNumberFormat="1" applyFont="1" applyFill="1" applyBorder="1" applyProtection="1"/>
    <xf numFmtId="4" fontId="65" fillId="30" borderId="112" xfId="0" applyNumberFormat="1" applyFont="1" applyFill="1" applyBorder="1" applyProtection="1"/>
    <xf numFmtId="4" fontId="65" fillId="32" borderId="154" xfId="0" applyNumberFormat="1" applyFont="1" applyFill="1" applyBorder="1" applyProtection="1"/>
    <xf numFmtId="4" fontId="65" fillId="32" borderId="111" xfId="0" applyNumberFormat="1" applyFont="1" applyFill="1" applyBorder="1" applyProtection="1"/>
    <xf numFmtId="4" fontId="65" fillId="32" borderId="112" xfId="0" applyNumberFormat="1" applyFont="1" applyFill="1" applyBorder="1" applyProtection="1"/>
    <xf numFmtId="4" fontId="65" fillId="32" borderId="110" xfId="0" applyNumberFormat="1" applyFont="1" applyFill="1" applyBorder="1" applyProtection="1"/>
    <xf numFmtId="4" fontId="65" fillId="32" borderId="113" xfId="0" applyNumberFormat="1" applyFont="1" applyFill="1" applyBorder="1" applyProtection="1"/>
    <xf numFmtId="0" fontId="65" fillId="30" borderId="200" xfId="0" applyFont="1" applyFill="1" applyBorder="1" applyProtection="1"/>
    <xf numFmtId="0" fontId="65" fillId="30" borderId="0" xfId="0" applyFont="1" applyFill="1" applyBorder="1" applyProtection="1"/>
    <xf numFmtId="4" fontId="65" fillId="30" borderId="201" xfId="0" applyNumberFormat="1" applyFont="1" applyFill="1" applyBorder="1" applyProtection="1"/>
    <xf numFmtId="4" fontId="65" fillId="30" borderId="56" xfId="0" applyNumberFormat="1" applyFont="1" applyFill="1" applyBorder="1" applyProtection="1"/>
    <xf numFmtId="4" fontId="65" fillId="30" borderId="202" xfId="0" applyNumberFormat="1" applyFont="1" applyFill="1" applyBorder="1" applyProtection="1"/>
    <xf numFmtId="4" fontId="65" fillId="30" borderId="46" xfId="0" applyNumberFormat="1" applyFont="1" applyFill="1" applyBorder="1" applyProtection="1"/>
    <xf numFmtId="4" fontId="65" fillId="32" borderId="201" xfId="0" applyNumberFormat="1" applyFont="1" applyFill="1" applyBorder="1" applyProtection="1"/>
    <xf numFmtId="4" fontId="65" fillId="32" borderId="203" xfId="0" applyNumberFormat="1" applyFont="1" applyFill="1" applyBorder="1" applyProtection="1"/>
    <xf numFmtId="0" fontId="65" fillId="30" borderId="114" xfId="0" applyFont="1" applyFill="1" applyBorder="1" applyProtection="1"/>
    <xf numFmtId="0" fontId="65" fillId="30" borderId="125" xfId="0" applyFont="1" applyFill="1" applyBorder="1" applyProtection="1"/>
    <xf numFmtId="4" fontId="65" fillId="30" borderId="115" xfId="0" applyNumberFormat="1" applyFont="1" applyFill="1" applyBorder="1" applyProtection="1"/>
    <xf numFmtId="4" fontId="65" fillId="30" borderId="116" xfId="0" applyNumberFormat="1" applyFont="1" applyFill="1" applyBorder="1" applyProtection="1"/>
    <xf numFmtId="4" fontId="65" fillId="30" borderId="117" xfId="0" applyNumberFormat="1" applyFont="1" applyFill="1" applyBorder="1" applyProtection="1"/>
    <xf numFmtId="4" fontId="65" fillId="30" borderId="155" xfId="0" applyNumberFormat="1" applyFont="1" applyFill="1" applyBorder="1" applyProtection="1"/>
    <xf numFmtId="4" fontId="65" fillId="32" borderId="115" xfId="0" applyNumberFormat="1" applyFont="1" applyFill="1" applyBorder="1" applyProtection="1"/>
    <xf numFmtId="4" fontId="65" fillId="32" borderId="118" xfId="0" applyNumberFormat="1" applyFont="1" applyFill="1" applyBorder="1" applyProtection="1"/>
    <xf numFmtId="4" fontId="0" fillId="33" borderId="52" xfId="0" applyNumberFormat="1" applyFill="1" applyBorder="1" applyAlignment="1" applyProtection="1">
      <alignment vertical="center" wrapText="1"/>
      <protection locked="0"/>
    </xf>
    <xf numFmtId="4" fontId="0" fillId="33" borderId="83" xfId="0" applyNumberFormat="1" applyFill="1" applyBorder="1" applyAlignment="1" applyProtection="1">
      <alignment vertical="center" wrapText="1"/>
      <protection locked="0"/>
    </xf>
    <xf numFmtId="4" fontId="0" fillId="33" borderId="48" xfId="0" applyNumberFormat="1" applyFill="1" applyBorder="1" applyAlignment="1" applyProtection="1">
      <alignment vertical="center" wrapText="1"/>
      <protection locked="0"/>
    </xf>
    <xf numFmtId="4" fontId="0" fillId="33" borderId="76" xfId="0" applyNumberFormat="1" applyFill="1" applyBorder="1" applyAlignment="1" applyProtection="1">
      <alignment vertical="center" wrapText="1"/>
      <protection locked="0"/>
    </xf>
    <xf numFmtId="4" fontId="0" fillId="34" borderId="48" xfId="0" applyNumberFormat="1" applyFill="1" applyBorder="1" applyAlignment="1" applyProtection="1">
      <alignment vertical="center" wrapText="1"/>
      <protection locked="0"/>
    </xf>
    <xf numFmtId="4" fontId="0" fillId="34" borderId="76" xfId="0" applyNumberFormat="1" applyFill="1" applyBorder="1" applyAlignment="1" applyProtection="1">
      <alignment vertical="center" wrapText="1"/>
      <protection locked="0"/>
    </xf>
    <xf numFmtId="4" fontId="0" fillId="33" borderId="48" xfId="0" applyNumberFormat="1" applyFill="1" applyBorder="1" applyProtection="1">
      <protection locked="0"/>
    </xf>
    <xf numFmtId="4" fontId="0" fillId="33" borderId="76" xfId="0" applyNumberFormat="1" applyFill="1" applyBorder="1" applyProtection="1">
      <protection locked="0"/>
    </xf>
    <xf numFmtId="4" fontId="0" fillId="34" borderId="48" xfId="0" applyNumberFormat="1" applyFill="1" applyBorder="1" applyProtection="1">
      <protection locked="0"/>
    </xf>
    <xf numFmtId="4" fontId="0" fillId="34" borderId="76" xfId="0" applyNumberFormat="1" applyFill="1" applyBorder="1" applyProtection="1">
      <protection locked="0"/>
    </xf>
    <xf numFmtId="4" fontId="0" fillId="34" borderId="54" xfId="0" applyNumberFormat="1" applyFill="1" applyBorder="1" applyProtection="1">
      <protection locked="0"/>
    </xf>
    <xf numFmtId="4" fontId="0" fillId="34" borderId="88" xfId="0" applyNumberFormat="1" applyFill="1" applyBorder="1" applyProtection="1">
      <protection locked="0"/>
    </xf>
    <xf numFmtId="4" fontId="0" fillId="34" borderId="84" xfId="0" applyNumberFormat="1" applyFill="1" applyBorder="1" applyAlignment="1" applyProtection="1">
      <alignment vertical="center" wrapText="1"/>
      <protection locked="0"/>
    </xf>
    <xf numFmtId="4" fontId="0" fillId="34" borderId="38" xfId="0" applyNumberFormat="1" applyFill="1" applyBorder="1" applyAlignment="1" applyProtection="1">
      <alignment vertical="center" wrapText="1"/>
      <protection locked="0"/>
    </xf>
    <xf numFmtId="4" fontId="0" fillId="34" borderId="30" xfId="0" applyNumberFormat="1" applyFill="1" applyBorder="1" applyAlignment="1" applyProtection="1">
      <alignment vertical="center" wrapText="1"/>
      <protection locked="0"/>
    </xf>
    <xf numFmtId="4" fontId="0" fillId="34" borderId="14" xfId="0" applyNumberFormat="1" applyFill="1" applyBorder="1" applyAlignment="1" applyProtection="1">
      <alignment vertical="center" wrapText="1"/>
      <protection locked="0"/>
    </xf>
    <xf numFmtId="4" fontId="0" fillId="33" borderId="30" xfId="0" applyNumberFormat="1" applyFill="1" applyBorder="1" applyAlignment="1" applyProtection="1">
      <alignment vertical="center" wrapText="1"/>
      <protection locked="0"/>
    </xf>
    <xf numFmtId="4" fontId="0" fillId="33" borderId="14" xfId="0" applyNumberFormat="1" applyFill="1" applyBorder="1" applyAlignment="1" applyProtection="1">
      <alignment vertical="center" wrapText="1"/>
      <protection locked="0"/>
    </xf>
    <xf numFmtId="4" fontId="0" fillId="34" borderId="30" xfId="0" applyNumberFormat="1" applyFill="1" applyBorder="1" applyProtection="1">
      <protection locked="0"/>
    </xf>
    <xf numFmtId="4" fontId="0" fillId="34" borderId="14" xfId="0" applyNumberFormat="1" applyFill="1" applyBorder="1" applyProtection="1">
      <protection locked="0"/>
    </xf>
    <xf numFmtId="4" fontId="0" fillId="33" borderId="30" xfId="0" applyNumberFormat="1" applyFill="1" applyBorder="1" applyProtection="1">
      <protection locked="0"/>
    </xf>
    <xf numFmtId="4" fontId="0" fillId="33" borderId="14" xfId="0" applyNumberFormat="1" applyFill="1" applyBorder="1" applyProtection="1">
      <protection locked="0"/>
    </xf>
    <xf numFmtId="4" fontId="0" fillId="34" borderId="89" xfId="0" applyNumberFormat="1" applyFill="1" applyBorder="1" applyProtection="1">
      <protection locked="0"/>
    </xf>
    <xf numFmtId="4" fontId="0" fillId="34" borderId="33" xfId="0" applyNumberFormat="1" applyFill="1" applyBorder="1" applyProtection="1">
      <protection locked="0"/>
    </xf>
    <xf numFmtId="4" fontId="0" fillId="33" borderId="48" xfId="0" quotePrefix="1" applyNumberFormat="1" applyFill="1" applyBorder="1" applyProtection="1">
      <protection locked="0"/>
    </xf>
    <xf numFmtId="4" fontId="0" fillId="39" borderId="48" xfId="0" applyNumberFormat="1" applyFill="1" applyBorder="1" applyProtection="1">
      <protection locked="0"/>
    </xf>
    <xf numFmtId="10" fontId="0" fillId="30" borderId="19" xfId="0" applyNumberFormat="1" applyFill="1" applyBorder="1"/>
    <xf numFmtId="10" fontId="0" fillId="33" borderId="19" xfId="0" applyNumberFormat="1" applyFill="1" applyBorder="1" applyProtection="1">
      <protection locked="0"/>
    </xf>
    <xf numFmtId="0" fontId="0" fillId="33" borderId="44" xfId="0" applyFill="1" applyBorder="1" applyAlignment="1" applyProtection="1">
      <alignment horizontal="left" vertical="center"/>
      <protection locked="0"/>
    </xf>
    <xf numFmtId="0" fontId="0" fillId="33" borderId="82" xfId="0" applyFill="1" applyBorder="1" applyAlignment="1" applyProtection="1">
      <alignment horizontal="left" vertical="center"/>
      <protection locked="0"/>
    </xf>
    <xf numFmtId="0" fontId="0" fillId="33" borderId="81" xfId="0" applyFill="1" applyBorder="1" applyAlignment="1" applyProtection="1">
      <alignment horizontal="center" vertical="center"/>
      <protection locked="0"/>
    </xf>
    <xf numFmtId="0" fontId="0" fillId="33" borderId="83" xfId="0" applyFill="1" applyBorder="1" applyAlignment="1" applyProtection="1">
      <alignment horizontal="center" vertical="center"/>
      <protection locked="0"/>
    </xf>
    <xf numFmtId="3" fontId="0" fillId="33" borderId="82" xfId="0" applyNumberFormat="1" applyFill="1" applyBorder="1" applyAlignment="1" applyProtection="1">
      <alignment horizontal="center" vertical="center"/>
      <protection locked="0"/>
    </xf>
    <xf numFmtId="3" fontId="0" fillId="33" borderId="52" xfId="0" applyNumberFormat="1" applyFill="1" applyBorder="1" applyAlignment="1" applyProtection="1">
      <alignment horizontal="right" vertical="center"/>
      <protection locked="0"/>
    </xf>
    <xf numFmtId="3" fontId="0" fillId="33" borderId="81" xfId="0" applyNumberFormat="1" applyFill="1" applyBorder="1" applyAlignment="1" applyProtection="1">
      <alignment horizontal="right" vertical="center"/>
      <protection locked="0"/>
    </xf>
    <xf numFmtId="3" fontId="0" fillId="33" borderId="68" xfId="0" applyNumberFormat="1" applyFill="1" applyBorder="1" applyAlignment="1" applyProtection="1">
      <alignment horizontal="right" vertical="center"/>
      <protection locked="0"/>
    </xf>
    <xf numFmtId="0" fontId="0" fillId="33" borderId="15" xfId="0" applyFill="1" applyBorder="1" applyAlignment="1" applyProtection="1">
      <alignment horizontal="left" vertical="center"/>
      <protection locked="0"/>
    </xf>
    <xf numFmtId="0" fontId="0" fillId="33" borderId="85" xfId="0" applyFill="1" applyBorder="1" applyAlignment="1" applyProtection="1">
      <alignment horizontal="center" vertical="center"/>
      <protection locked="0"/>
    </xf>
    <xf numFmtId="3" fontId="0" fillId="33" borderId="72" xfId="0" applyNumberFormat="1" applyFill="1" applyBorder="1" applyAlignment="1" applyProtection="1">
      <alignment horizontal="center" vertical="center"/>
      <protection locked="0"/>
    </xf>
    <xf numFmtId="3" fontId="0" fillId="33" borderId="48" xfId="0" applyNumberFormat="1" applyFill="1" applyBorder="1" applyAlignment="1" applyProtection="1">
      <alignment horizontal="right" vertical="center"/>
      <protection locked="0"/>
    </xf>
    <xf numFmtId="3" fontId="0" fillId="33" borderId="85" xfId="0" applyNumberFormat="1" applyFill="1" applyBorder="1" applyAlignment="1" applyProtection="1">
      <alignment horizontal="right" vertical="center"/>
      <protection locked="0"/>
    </xf>
    <xf numFmtId="3" fontId="0" fillId="33" borderId="55" xfId="0" applyNumberFormat="1" applyFill="1" applyBorder="1" applyAlignment="1" applyProtection="1">
      <alignment horizontal="right" vertical="center"/>
      <protection locked="0"/>
    </xf>
    <xf numFmtId="0" fontId="0" fillId="33" borderId="70" xfId="0" applyFill="1" applyBorder="1" applyAlignment="1" applyProtection="1">
      <alignment horizontal="left" vertical="center"/>
      <protection locked="0"/>
    </xf>
    <xf numFmtId="0" fontId="0" fillId="33" borderId="86" xfId="0" applyFill="1" applyBorder="1" applyAlignment="1" applyProtection="1">
      <alignment horizontal="center" vertical="center"/>
      <protection locked="0"/>
    </xf>
    <xf numFmtId="3" fontId="0" fillId="33" borderId="78" xfId="0" applyNumberFormat="1" applyFill="1" applyBorder="1" applyAlignment="1" applyProtection="1">
      <alignment horizontal="center" vertical="center"/>
      <protection locked="0"/>
    </xf>
    <xf numFmtId="3" fontId="0" fillId="33" borderId="79" xfId="0" applyNumberFormat="1" applyFill="1" applyBorder="1" applyAlignment="1" applyProtection="1">
      <alignment horizontal="right" vertical="center"/>
      <protection locked="0"/>
    </xf>
    <xf numFmtId="3" fontId="0" fillId="33" borderId="86" xfId="0" applyNumberFormat="1" applyFill="1" applyBorder="1" applyAlignment="1" applyProtection="1">
      <alignment horizontal="right" vertical="center"/>
      <protection locked="0"/>
    </xf>
    <xf numFmtId="3" fontId="0" fillId="33" borderId="69" xfId="0" applyNumberFormat="1" applyFill="1" applyBorder="1" applyAlignment="1" applyProtection="1">
      <alignment horizontal="right" vertical="center"/>
      <protection locked="0"/>
    </xf>
    <xf numFmtId="0" fontId="0" fillId="30" borderId="106" xfId="0" applyNumberFormat="1" applyFill="1" applyBorder="1" applyAlignment="1" applyProtection="1">
      <alignment horizontal="right" vertical="center"/>
      <protection locked="0"/>
    </xf>
    <xf numFmtId="176" fontId="0" fillId="30" borderId="82" xfId="0" applyNumberFormat="1" applyFill="1" applyBorder="1" applyAlignment="1" applyProtection="1">
      <alignment horizontal="right" vertical="center"/>
      <protection locked="0"/>
    </xf>
    <xf numFmtId="177" fontId="0" fillId="30" borderId="82" xfId="0" applyNumberFormat="1" applyFill="1" applyBorder="1" applyAlignment="1" applyProtection="1">
      <alignment horizontal="right" vertical="center"/>
      <protection locked="0"/>
    </xf>
    <xf numFmtId="176" fontId="0" fillId="30" borderId="68" xfId="0" applyNumberFormat="1" applyFill="1" applyBorder="1" applyAlignment="1" applyProtection="1">
      <alignment horizontal="right" vertical="center"/>
      <protection locked="0"/>
    </xf>
    <xf numFmtId="0" fontId="0" fillId="30" borderId="39" xfId="0" applyNumberFormat="1" applyFill="1" applyBorder="1" applyAlignment="1" applyProtection="1">
      <alignment horizontal="right" vertical="center"/>
      <protection locked="0"/>
    </xf>
    <xf numFmtId="176" fontId="0" fillId="30" borderId="85" xfId="0" applyNumberFormat="1" applyFill="1" applyBorder="1" applyAlignment="1" applyProtection="1">
      <alignment horizontal="right" vertical="center"/>
      <protection locked="0"/>
    </xf>
    <xf numFmtId="176" fontId="0" fillId="30" borderId="72" xfId="0" applyNumberFormat="1" applyFill="1" applyBorder="1" applyAlignment="1" applyProtection="1">
      <alignment horizontal="right" vertical="center"/>
      <protection locked="0"/>
    </xf>
    <xf numFmtId="176" fontId="0" fillId="30" borderId="76" xfId="0" applyNumberFormat="1" applyFill="1" applyBorder="1" applyAlignment="1" applyProtection="1">
      <alignment horizontal="right" vertical="center"/>
      <protection locked="0"/>
    </xf>
    <xf numFmtId="176" fontId="0" fillId="30" borderId="48" xfId="0" applyNumberFormat="1" applyFill="1" applyBorder="1" applyAlignment="1" applyProtection="1">
      <alignment horizontal="right" vertical="center"/>
      <protection locked="0"/>
    </xf>
    <xf numFmtId="176" fontId="0" fillId="30" borderId="55" xfId="0" applyNumberFormat="1" applyFill="1" applyBorder="1" applyAlignment="1" applyProtection="1">
      <alignment horizontal="right" vertical="center"/>
      <protection locked="0"/>
    </xf>
    <xf numFmtId="176" fontId="0" fillId="30" borderId="39" xfId="0" applyNumberFormat="1" applyFill="1" applyBorder="1" applyAlignment="1" applyProtection="1">
      <alignment horizontal="right" vertical="center"/>
      <protection locked="0"/>
    </xf>
    <xf numFmtId="0" fontId="0" fillId="30" borderId="72" xfId="0" applyNumberFormat="1" applyFill="1" applyBorder="1" applyAlignment="1" applyProtection="1">
      <alignment horizontal="right" vertical="center"/>
      <protection locked="0"/>
    </xf>
    <xf numFmtId="176" fontId="0" fillId="30" borderId="34" xfId="0" applyNumberFormat="1" applyFill="1" applyBorder="1" applyAlignment="1" applyProtection="1">
      <alignment horizontal="right" vertical="center"/>
      <protection locked="0"/>
    </xf>
    <xf numFmtId="176" fontId="0" fillId="30" borderId="78" xfId="0" applyNumberFormat="1" applyFill="1" applyBorder="1" applyAlignment="1" applyProtection="1">
      <alignment horizontal="right" vertical="center"/>
      <protection locked="0"/>
    </xf>
    <xf numFmtId="176" fontId="0" fillId="30" borderId="106" xfId="0" applyNumberFormat="1" applyFill="1" applyBorder="1" applyAlignment="1" applyProtection="1">
      <alignment horizontal="right" vertical="center"/>
      <protection locked="0"/>
    </xf>
    <xf numFmtId="176" fontId="0" fillId="30" borderId="108" xfId="0" applyNumberFormat="1" applyFill="1" applyBorder="1" applyAlignment="1" applyProtection="1">
      <alignment horizontal="right" vertical="center"/>
      <protection locked="0"/>
    </xf>
    <xf numFmtId="176" fontId="0" fillId="30" borderId="69" xfId="0" applyNumberFormat="1" applyFill="1" applyBorder="1" applyAlignment="1" applyProtection="1">
      <alignment horizontal="right" vertical="center"/>
      <protection locked="0"/>
    </xf>
    <xf numFmtId="177" fontId="0" fillId="30" borderId="106" xfId="0" applyNumberFormat="1" applyFill="1" applyBorder="1" applyAlignment="1" applyProtection="1">
      <alignment horizontal="right" vertical="center"/>
      <protection locked="0"/>
    </xf>
    <xf numFmtId="177" fontId="0" fillId="30" borderId="52" xfId="0" applyNumberFormat="1" applyFill="1" applyBorder="1" applyAlignment="1" applyProtection="1">
      <alignment horizontal="right" vertical="center"/>
      <protection locked="0"/>
    </xf>
    <xf numFmtId="176" fontId="0" fillId="30" borderId="86" xfId="0" applyNumberFormat="1" applyFill="1" applyBorder="1" applyAlignment="1" applyProtection="1">
      <alignment horizontal="right" vertical="center"/>
      <protection locked="0"/>
    </xf>
    <xf numFmtId="0" fontId="0" fillId="30" borderId="83" xfId="0" applyFill="1" applyBorder="1" applyAlignment="1" applyProtection="1">
      <alignment horizontal="left" vertical="center"/>
    </xf>
    <xf numFmtId="177" fontId="0" fillId="30" borderId="82" xfId="0" applyNumberFormat="1" applyFill="1" applyBorder="1" applyAlignment="1" applyProtection="1">
      <alignment horizontal="right" vertical="center"/>
    </xf>
    <xf numFmtId="177" fontId="0" fillId="32" borderId="52" xfId="0" applyNumberFormat="1" applyFill="1" applyBorder="1" applyAlignment="1" applyProtection="1">
      <alignment horizontal="right" vertical="center"/>
    </xf>
    <xf numFmtId="177" fontId="0" fillId="32" borderId="81" xfId="0" applyNumberFormat="1" applyFill="1" applyBorder="1" applyAlignment="1" applyProtection="1">
      <alignment horizontal="right" vertical="center"/>
    </xf>
    <xf numFmtId="177" fontId="0" fillId="32" borderId="82" xfId="0" applyNumberFormat="1" applyFill="1" applyBorder="1" applyAlignment="1" applyProtection="1">
      <alignment horizontal="right" vertical="center"/>
    </xf>
    <xf numFmtId="177" fontId="0" fillId="32" borderId="68" xfId="0" applyNumberFormat="1" applyFill="1" applyBorder="1" applyAlignment="1" applyProtection="1">
      <alignment horizontal="right" vertical="center"/>
    </xf>
    <xf numFmtId="0" fontId="0" fillId="30" borderId="76" xfId="0" applyFill="1" applyBorder="1" applyAlignment="1" applyProtection="1">
      <alignment horizontal="left" vertical="center"/>
    </xf>
    <xf numFmtId="177" fontId="0" fillId="30" borderId="72" xfId="0" applyNumberFormat="1" applyFill="1" applyBorder="1" applyAlignment="1" applyProtection="1">
      <alignment horizontal="right" vertical="center"/>
    </xf>
    <xf numFmtId="177" fontId="0" fillId="32" borderId="48" xfId="0" applyNumberFormat="1" applyFill="1" applyBorder="1" applyAlignment="1" applyProtection="1">
      <alignment horizontal="right" vertical="center"/>
    </xf>
    <xf numFmtId="177" fontId="0" fillId="32" borderId="85" xfId="0" applyNumberFormat="1" applyFill="1" applyBorder="1" applyAlignment="1" applyProtection="1">
      <alignment horizontal="right" vertical="center"/>
    </xf>
    <xf numFmtId="177" fontId="0" fillId="32" borderId="72" xfId="0" applyNumberFormat="1" applyFill="1" applyBorder="1" applyAlignment="1" applyProtection="1">
      <alignment horizontal="right" vertical="center"/>
    </xf>
    <xf numFmtId="177" fontId="0" fillId="32" borderId="55" xfId="0" applyNumberFormat="1" applyFill="1" applyBorder="1" applyAlignment="1" applyProtection="1">
      <alignment horizontal="right" vertical="center"/>
    </xf>
    <xf numFmtId="177" fontId="0" fillId="30" borderId="48" xfId="0" applyNumberFormat="1" applyFill="1" applyBorder="1" applyAlignment="1" applyProtection="1">
      <alignment horizontal="right" vertical="center"/>
    </xf>
    <xf numFmtId="177" fontId="0" fillId="32" borderId="92" xfId="0" applyNumberFormat="1" applyFill="1" applyBorder="1" applyAlignment="1" applyProtection="1">
      <alignment horizontal="right" vertical="center"/>
    </xf>
    <xf numFmtId="177" fontId="0" fillId="32" borderId="54" xfId="0" applyNumberFormat="1" applyFill="1" applyBorder="1" applyAlignment="1" applyProtection="1">
      <alignment horizontal="right" vertical="center"/>
    </xf>
    <xf numFmtId="177" fontId="0" fillId="30" borderId="54" xfId="0" applyNumberFormat="1" applyFill="1" applyBorder="1" applyAlignment="1" applyProtection="1">
      <alignment horizontal="right" vertical="center"/>
    </xf>
    <xf numFmtId="177" fontId="0" fillId="30" borderId="95" xfId="0" applyNumberFormat="1" applyFill="1" applyBorder="1" applyAlignment="1" applyProtection="1">
      <alignment horizontal="right" vertical="center"/>
    </xf>
    <xf numFmtId="177" fontId="0" fillId="32" borderId="95" xfId="0" applyNumberFormat="1" applyFill="1" applyBorder="1" applyAlignment="1" applyProtection="1">
      <alignment horizontal="right" vertical="center"/>
    </xf>
    <xf numFmtId="0" fontId="0" fillId="30" borderId="76" xfId="0" applyFill="1" applyBorder="1" applyAlignment="1" applyProtection="1">
      <alignment vertical="center"/>
    </xf>
    <xf numFmtId="176" fontId="0" fillId="30" borderId="72" xfId="0" applyNumberFormat="1" applyFill="1" applyBorder="1" applyAlignment="1" applyProtection="1">
      <alignment horizontal="right" vertical="center"/>
    </xf>
    <xf numFmtId="0" fontId="0" fillId="30" borderId="76" xfId="0" applyFont="1" applyFill="1" applyBorder="1" applyAlignment="1" applyProtection="1"/>
    <xf numFmtId="0" fontId="0" fillId="30" borderId="76" xfId="0" applyFill="1" applyBorder="1" applyProtection="1"/>
    <xf numFmtId="177" fontId="0" fillId="30" borderId="55" xfId="0" applyNumberFormat="1" applyFill="1" applyBorder="1" applyAlignment="1" applyProtection="1">
      <alignment horizontal="right" vertical="center"/>
    </xf>
    <xf numFmtId="0" fontId="0" fillId="30" borderId="85" xfId="0" applyFill="1" applyBorder="1" applyAlignment="1" applyProtection="1">
      <alignment horizontal="left" vertical="center"/>
    </xf>
    <xf numFmtId="167" fontId="0" fillId="32" borderId="72" xfId="0" applyNumberFormat="1" applyFill="1" applyBorder="1" applyAlignment="1" applyProtection="1">
      <alignment horizontal="center" vertical="center"/>
    </xf>
    <xf numFmtId="167" fontId="0" fillId="32" borderId="55" xfId="0" applyNumberFormat="1" applyFill="1" applyBorder="1" applyAlignment="1" applyProtection="1">
      <alignment horizontal="center" vertical="center"/>
    </xf>
    <xf numFmtId="0" fontId="0" fillId="30" borderId="80" xfId="0" applyFill="1" applyBorder="1" applyAlignment="1" applyProtection="1">
      <alignment horizontal="left" vertical="center"/>
    </xf>
    <xf numFmtId="0" fontId="0" fillId="32" borderId="87" xfId="0" applyFill="1" applyBorder="1" applyAlignment="1" applyProtection="1">
      <alignment horizontal="left" vertical="center"/>
    </xf>
    <xf numFmtId="0" fontId="0" fillId="32" borderId="60" xfId="0" applyFill="1" applyBorder="1" applyAlignment="1" applyProtection="1">
      <alignment horizontal="left" vertical="center"/>
    </xf>
    <xf numFmtId="0" fontId="0" fillId="32" borderId="59" xfId="0" applyFill="1" applyBorder="1" applyAlignment="1" applyProtection="1">
      <alignment horizontal="left" vertical="center"/>
    </xf>
    <xf numFmtId="0" fontId="0" fillId="32" borderId="78" xfId="0" applyFill="1" applyBorder="1" applyAlignment="1" applyProtection="1">
      <alignment horizontal="left" vertical="center"/>
    </xf>
    <xf numFmtId="0" fontId="0" fillId="32" borderId="69" xfId="0" applyFill="1" applyBorder="1" applyAlignment="1" applyProtection="1">
      <alignment horizontal="left" vertical="center"/>
    </xf>
    <xf numFmtId="0" fontId="0" fillId="30" borderId="25" xfId="0" applyFill="1" applyBorder="1" applyAlignment="1" applyProtection="1">
      <alignment horizontal="center" vertical="center"/>
    </xf>
    <xf numFmtId="0" fontId="0" fillId="30" borderId="73" xfId="0" applyFill="1" applyBorder="1" applyAlignment="1" applyProtection="1">
      <alignment horizontal="center" vertical="center"/>
    </xf>
    <xf numFmtId="0" fontId="0" fillId="30" borderId="57" xfId="0" applyFill="1" applyBorder="1" applyAlignment="1" applyProtection="1">
      <alignment horizontal="center" vertical="center"/>
    </xf>
    <xf numFmtId="3" fontId="0" fillId="30" borderId="73" xfId="0" applyNumberFormat="1" applyFill="1" applyBorder="1" applyAlignment="1" applyProtection="1">
      <alignment horizontal="center" vertical="center"/>
    </xf>
    <xf numFmtId="3" fontId="0" fillId="30" borderId="50" xfId="0" applyNumberFormat="1" applyFill="1" applyBorder="1" applyAlignment="1" applyProtection="1">
      <alignment horizontal="center" vertical="center"/>
    </xf>
    <xf numFmtId="3" fontId="0" fillId="30" borderId="57" xfId="0" applyNumberFormat="1" applyFill="1" applyBorder="1" applyAlignment="1" applyProtection="1">
      <alignment horizontal="center" vertical="center"/>
    </xf>
    <xf numFmtId="3" fontId="0" fillId="30" borderId="58" xfId="0" applyNumberFormat="1" applyFill="1" applyBorder="1" applyAlignment="1" applyProtection="1">
      <alignment horizontal="center" vertical="center"/>
    </xf>
    <xf numFmtId="0" fontId="0" fillId="30" borderId="34" xfId="0" applyFill="1" applyBorder="1" applyAlignment="1" applyProtection="1">
      <alignment horizontal="center" vertical="center"/>
    </xf>
    <xf numFmtId="0" fontId="0" fillId="30" borderId="80" xfId="0" applyFill="1" applyBorder="1" applyAlignment="1" applyProtection="1">
      <alignment horizontal="center" vertical="center"/>
    </xf>
    <xf numFmtId="0" fontId="0" fillId="30" borderId="69" xfId="0" applyFill="1" applyBorder="1" applyAlignment="1" applyProtection="1">
      <alignment horizontal="center" vertical="center"/>
    </xf>
    <xf numFmtId="176" fontId="0" fillId="30" borderId="82" xfId="0" applyNumberFormat="1" applyFill="1" applyBorder="1" applyAlignment="1" applyProtection="1">
      <alignment horizontal="right" vertical="center"/>
    </xf>
    <xf numFmtId="176" fontId="0" fillId="30" borderId="83" xfId="0" applyNumberFormat="1" applyFill="1" applyBorder="1" applyAlignment="1" applyProtection="1">
      <alignment horizontal="right" vertical="center"/>
    </xf>
    <xf numFmtId="176" fontId="0" fillId="30" borderId="68" xfId="0" applyNumberFormat="1" applyFill="1" applyBorder="1" applyAlignment="1" applyProtection="1">
      <alignment horizontal="right" vertical="center"/>
    </xf>
    <xf numFmtId="0" fontId="0" fillId="30" borderId="44" xfId="0" applyFill="1" applyBorder="1" applyAlignment="1" applyProtection="1">
      <alignment vertical="center"/>
    </xf>
    <xf numFmtId="0" fontId="0" fillId="30" borderId="38" xfId="0" applyFill="1" applyBorder="1" applyAlignment="1" applyProtection="1">
      <alignment horizontal="center" vertical="center"/>
    </xf>
    <xf numFmtId="3" fontId="0" fillId="30" borderId="82" xfId="0" applyNumberFormat="1" applyFill="1" applyBorder="1" applyAlignment="1" applyProtection="1">
      <alignment horizontal="right" vertical="center"/>
    </xf>
    <xf numFmtId="3" fontId="0" fillId="30" borderId="52" xfId="0" applyNumberFormat="1" applyFill="1" applyBorder="1" applyAlignment="1" applyProtection="1">
      <alignment horizontal="right" vertical="center"/>
    </xf>
    <xf numFmtId="3" fontId="0" fillId="30" borderId="81" xfId="0" applyNumberFormat="1" applyFill="1" applyBorder="1" applyAlignment="1" applyProtection="1">
      <alignment horizontal="right" vertical="center"/>
    </xf>
    <xf numFmtId="3" fontId="0" fillId="30" borderId="68" xfId="0" applyNumberFormat="1" applyFill="1" applyBorder="1" applyAlignment="1" applyProtection="1">
      <alignment horizontal="right" vertical="center"/>
    </xf>
    <xf numFmtId="176" fontId="0" fillId="30" borderId="36" xfId="0" applyNumberFormat="1" applyFill="1" applyBorder="1" applyAlignment="1" applyProtection="1">
      <alignment horizontal="right" vertical="center"/>
    </xf>
    <xf numFmtId="176" fontId="0" fillId="30" borderId="81" xfId="0" applyNumberFormat="1" applyFill="1" applyBorder="1" applyAlignment="1" applyProtection="1">
      <alignment horizontal="right" vertical="center"/>
    </xf>
    <xf numFmtId="176" fontId="0" fillId="30" borderId="52" xfId="0" applyNumberFormat="1" applyFill="1" applyBorder="1" applyAlignment="1" applyProtection="1">
      <alignment horizontal="right" vertical="center"/>
    </xf>
    <xf numFmtId="3" fontId="0" fillId="30" borderId="73" xfId="0" applyNumberFormat="1" applyFill="1" applyBorder="1" applyAlignment="1" applyProtection="1">
      <alignment horizontal="right" vertical="center"/>
    </xf>
    <xf numFmtId="3" fontId="0" fillId="30" borderId="50" xfId="0" applyNumberFormat="1" applyFill="1" applyBorder="1" applyAlignment="1" applyProtection="1">
      <alignment horizontal="right" vertical="center"/>
    </xf>
    <xf numFmtId="3" fontId="0" fillId="30" borderId="57" xfId="0" applyNumberFormat="1" applyFill="1" applyBorder="1" applyAlignment="1" applyProtection="1">
      <alignment horizontal="right" vertical="center"/>
    </xf>
    <xf numFmtId="3" fontId="0" fillId="30" borderId="58" xfId="0" applyNumberFormat="1" applyFill="1" applyBorder="1" applyAlignment="1" applyProtection="1">
      <alignment horizontal="right" vertical="center"/>
    </xf>
    <xf numFmtId="176" fontId="0" fillId="30" borderId="47" xfId="0" applyNumberFormat="1" applyFill="1" applyBorder="1" applyAlignment="1" applyProtection="1">
      <alignment horizontal="right" vertical="center"/>
    </xf>
    <xf numFmtId="176" fontId="0" fillId="30" borderId="57" xfId="0" applyNumberFormat="1" applyFill="1" applyBorder="1" applyAlignment="1" applyProtection="1">
      <alignment horizontal="right" vertical="center"/>
    </xf>
    <xf numFmtId="176" fontId="0" fillId="30" borderId="73" xfId="0" applyNumberFormat="1" applyFill="1" applyBorder="1" applyAlignment="1" applyProtection="1">
      <alignment horizontal="right" vertical="center"/>
    </xf>
    <xf numFmtId="176" fontId="0" fillId="30" borderId="74" xfId="0" applyNumberFormat="1" applyFill="1" applyBorder="1" applyAlignment="1" applyProtection="1">
      <alignment horizontal="right" vertical="center"/>
    </xf>
    <xf numFmtId="176" fontId="0" fillId="30" borderId="127" xfId="0" applyNumberFormat="1" applyFill="1" applyBorder="1" applyAlignment="1" applyProtection="1">
      <alignment horizontal="right" vertical="center"/>
    </xf>
    <xf numFmtId="176" fontId="0" fillId="30" borderId="50" xfId="0" applyNumberFormat="1" applyFill="1" applyBorder="1" applyAlignment="1" applyProtection="1">
      <alignment horizontal="right" vertical="center"/>
    </xf>
    <xf numFmtId="176" fontId="0" fillId="30" borderId="58" xfId="0" applyNumberFormat="1" applyFill="1" applyBorder="1" applyAlignment="1" applyProtection="1">
      <alignment horizontal="right" vertical="center"/>
    </xf>
    <xf numFmtId="176" fontId="0" fillId="30" borderId="107" xfId="0" applyNumberFormat="1" applyFill="1" applyBorder="1" applyAlignment="1" applyProtection="1">
      <alignment horizontal="right" vertical="center"/>
      <protection locked="0"/>
    </xf>
    <xf numFmtId="176" fontId="0" fillId="30" borderId="83" xfId="0" applyNumberFormat="1" applyFill="1" applyBorder="1" applyAlignment="1" applyProtection="1">
      <alignment horizontal="right" vertical="center"/>
      <protection locked="0"/>
    </xf>
    <xf numFmtId="176" fontId="0" fillId="30" borderId="80" xfId="0" applyNumberFormat="1" applyFill="1" applyBorder="1" applyAlignment="1" applyProtection="1">
      <alignment horizontal="right" vertical="center"/>
      <protection locked="0"/>
    </xf>
    <xf numFmtId="176" fontId="0" fillId="30" borderId="79" xfId="0" applyNumberFormat="1" applyFill="1" applyBorder="1" applyAlignment="1" applyProtection="1">
      <alignment horizontal="right" vertical="center"/>
      <protection locked="0"/>
    </xf>
    <xf numFmtId="176" fontId="0" fillId="30" borderId="160" xfId="0" applyNumberFormat="1" applyFill="1" applyBorder="1" applyAlignment="1" applyProtection="1">
      <alignment horizontal="right" vertical="center"/>
      <protection locked="0"/>
    </xf>
    <xf numFmtId="176" fontId="0" fillId="30" borderId="29" xfId="0" applyNumberFormat="1" applyFill="1" applyBorder="1" applyAlignment="1" applyProtection="1">
      <alignment horizontal="right" vertical="center"/>
      <protection locked="0"/>
    </xf>
    <xf numFmtId="176" fontId="0" fillId="30" borderId="41" xfId="0" applyNumberFormat="1" applyFill="1" applyBorder="1" applyAlignment="1" applyProtection="1">
      <alignment horizontal="right" vertical="center"/>
      <protection locked="0"/>
    </xf>
    <xf numFmtId="177" fontId="0" fillId="33" borderId="158" xfId="0" applyNumberFormat="1" applyFill="1" applyBorder="1" applyAlignment="1" applyProtection="1">
      <alignment horizontal="center" vertical="center"/>
      <protection locked="0"/>
    </xf>
    <xf numFmtId="176" fontId="0" fillId="33" borderId="84" xfId="0" applyNumberFormat="1" applyFill="1" applyBorder="1" applyAlignment="1" applyProtection="1">
      <alignment horizontal="right" vertical="center"/>
      <protection locked="0"/>
    </xf>
    <xf numFmtId="176" fontId="0" fillId="33" borderId="30" xfId="0" applyNumberFormat="1" applyFill="1" applyBorder="1" applyAlignment="1" applyProtection="1">
      <alignment horizontal="right" vertical="center"/>
      <protection locked="0"/>
    </xf>
    <xf numFmtId="176" fontId="0" fillId="33" borderId="42" xfId="0" applyNumberFormat="1" applyFill="1" applyBorder="1" applyAlignment="1" applyProtection="1">
      <alignment horizontal="right" vertical="center"/>
      <protection locked="0"/>
    </xf>
    <xf numFmtId="176" fontId="0" fillId="30" borderId="30" xfId="0" applyNumberFormat="1" applyFill="1" applyBorder="1" applyAlignment="1" applyProtection="1">
      <alignment horizontal="right" vertical="center"/>
      <protection locked="0"/>
    </xf>
    <xf numFmtId="176" fontId="0" fillId="30" borderId="42" xfId="0" applyNumberFormat="1" applyFill="1" applyBorder="1" applyAlignment="1" applyProtection="1">
      <alignment horizontal="right" vertical="center"/>
      <protection locked="0"/>
    </xf>
    <xf numFmtId="0" fontId="0" fillId="33" borderId="14" xfId="0" applyFill="1" applyBorder="1" applyAlignment="1" applyProtection="1">
      <alignment horizontal="left" vertical="center"/>
      <protection locked="0"/>
    </xf>
    <xf numFmtId="0" fontId="0" fillId="33" borderId="71" xfId="0" applyFill="1" applyBorder="1" applyAlignment="1" applyProtection="1">
      <alignment horizontal="left" vertical="center" wrapText="1"/>
      <protection locked="0"/>
    </xf>
    <xf numFmtId="0" fontId="0" fillId="33" borderId="67" xfId="0" applyFill="1" applyBorder="1" applyAlignment="1" applyProtection="1">
      <alignment horizontal="left" vertical="center"/>
      <protection locked="0"/>
    </xf>
    <xf numFmtId="0" fontId="0" fillId="33" borderId="77" xfId="0" applyFill="1" applyBorder="1" applyAlignment="1" applyProtection="1">
      <alignment horizontal="left" vertical="center" wrapText="1"/>
      <protection locked="0"/>
    </xf>
    <xf numFmtId="0" fontId="2" fillId="30" borderId="0" xfId="224" applyFill="1" applyAlignment="1" applyProtection="1">
      <alignment vertical="center"/>
    </xf>
    <xf numFmtId="0" fontId="42" fillId="30" borderId="16" xfId="258" applyFont="1" applyFill="1" applyBorder="1" applyAlignment="1" applyProtection="1">
      <alignment vertical="center"/>
    </xf>
    <xf numFmtId="0" fontId="73" fillId="30" borderId="44" xfId="224" applyFont="1" applyFill="1" applyBorder="1" applyAlignment="1" applyProtection="1">
      <alignment horizontal="center" vertical="center"/>
    </xf>
    <xf numFmtId="0" fontId="73" fillId="30" borderId="38" xfId="224" applyFont="1" applyFill="1" applyBorder="1" applyAlignment="1" applyProtection="1">
      <alignment horizontal="center" vertical="center"/>
    </xf>
    <xf numFmtId="0" fontId="73" fillId="30" borderId="82" xfId="224" applyFont="1" applyFill="1" applyBorder="1" applyAlignment="1" applyProtection="1">
      <alignment horizontal="center" vertical="center"/>
    </xf>
    <xf numFmtId="0" fontId="73" fillId="30" borderId="83" xfId="224" applyFont="1" applyFill="1" applyBorder="1" applyAlignment="1" applyProtection="1">
      <alignment horizontal="center" vertical="center"/>
    </xf>
    <xf numFmtId="0" fontId="73" fillId="30" borderId="53" xfId="224" applyFont="1" applyFill="1" applyBorder="1" applyAlignment="1" applyProtection="1">
      <alignment horizontal="center" vertical="center"/>
    </xf>
    <xf numFmtId="0" fontId="74" fillId="30" borderId="15" xfId="224" applyFont="1" applyFill="1" applyBorder="1" applyAlignment="1" applyProtection="1">
      <alignment vertical="center"/>
    </xf>
    <xf numFmtId="0" fontId="74" fillId="30" borderId="14" xfId="224" applyFont="1" applyFill="1" applyBorder="1" applyAlignment="1" applyProtection="1">
      <alignment vertical="center"/>
    </xf>
    <xf numFmtId="176" fontId="73" fillId="30" borderId="72" xfId="224" applyNumberFormat="1" applyFont="1" applyFill="1" applyBorder="1" applyAlignment="1" applyProtection="1">
      <alignment vertical="center"/>
    </xf>
    <xf numFmtId="10" fontId="73" fillId="30" borderId="76" xfId="158" applyNumberFormat="1" applyFont="1" applyFill="1" applyBorder="1" applyAlignment="1" applyProtection="1">
      <alignment horizontal="right" vertical="center"/>
    </xf>
    <xf numFmtId="176" fontId="73" fillId="30" borderId="31" xfId="224" applyNumberFormat="1" applyFont="1" applyFill="1" applyBorder="1" applyAlignment="1" applyProtection="1">
      <alignment vertical="center"/>
    </xf>
    <xf numFmtId="0" fontId="62" fillId="30" borderId="15" xfId="224" applyFont="1" applyFill="1" applyBorder="1" applyAlignment="1" applyProtection="1">
      <alignment vertical="center"/>
    </xf>
    <xf numFmtId="0" fontId="62" fillId="30" borderId="14" xfId="224" applyFont="1" applyFill="1" applyBorder="1" applyAlignment="1" applyProtection="1">
      <alignment vertical="center"/>
    </xf>
    <xf numFmtId="176" fontId="62" fillId="30" borderId="72" xfId="224" applyNumberFormat="1" applyFont="1" applyFill="1" applyBorder="1" applyAlignment="1" applyProtection="1">
      <alignment vertical="center"/>
    </xf>
    <xf numFmtId="10" fontId="62" fillId="30" borderId="76" xfId="158" applyNumberFormat="1" applyFont="1" applyFill="1" applyBorder="1" applyAlignment="1" applyProtection="1">
      <alignment horizontal="right" vertical="center"/>
    </xf>
    <xf numFmtId="176" fontId="62" fillId="30" borderId="31" xfId="224" applyNumberFormat="1" applyFont="1" applyFill="1" applyBorder="1" applyAlignment="1" applyProtection="1">
      <alignment vertical="center"/>
    </xf>
    <xf numFmtId="0" fontId="62" fillId="30" borderId="15" xfId="224" applyFont="1" applyFill="1" applyBorder="1" applyAlignment="1" applyProtection="1">
      <alignment horizontal="right" vertical="center"/>
    </xf>
    <xf numFmtId="176" fontId="62" fillId="30" borderId="72" xfId="263" applyNumberFormat="1" applyFont="1" applyFill="1" applyBorder="1" applyAlignment="1" applyProtection="1">
      <alignment vertical="center"/>
    </xf>
    <xf numFmtId="176" fontId="62" fillId="30" borderId="72" xfId="224" applyNumberFormat="1" applyFont="1" applyFill="1" applyBorder="1" applyAlignment="1" applyProtection="1">
      <alignment horizontal="right" vertical="center"/>
    </xf>
    <xf numFmtId="176" fontId="62" fillId="30" borderId="31" xfId="224" applyNumberFormat="1" applyFont="1" applyFill="1" applyBorder="1" applyAlignment="1" applyProtection="1">
      <alignment horizontal="right" vertical="center"/>
    </xf>
    <xf numFmtId="0" fontId="62" fillId="30" borderId="14" xfId="224" applyFont="1" applyFill="1" applyBorder="1" applyAlignment="1" applyProtection="1">
      <alignment vertical="center" wrapText="1"/>
    </xf>
    <xf numFmtId="176" fontId="73" fillId="30" borderId="72" xfId="263" applyNumberFormat="1" applyFont="1" applyFill="1" applyBorder="1" applyAlignment="1" applyProtection="1">
      <alignment vertical="center"/>
    </xf>
    <xf numFmtId="176" fontId="73" fillId="30" borderId="72" xfId="224" applyNumberFormat="1" applyFont="1" applyFill="1" applyBorder="1" applyAlignment="1" applyProtection="1">
      <alignment horizontal="right" vertical="center"/>
    </xf>
    <xf numFmtId="0" fontId="62" fillId="30" borderId="70" xfId="224" applyFont="1" applyFill="1" applyBorder="1" applyAlignment="1" applyProtection="1">
      <alignment horizontal="right" vertical="center"/>
    </xf>
    <xf numFmtId="0" fontId="62" fillId="30" borderId="67" xfId="224" applyFont="1" applyFill="1" applyBorder="1" applyAlignment="1" applyProtection="1">
      <alignment vertical="center" wrapText="1"/>
    </xf>
    <xf numFmtId="176" fontId="75" fillId="30" borderId="78" xfId="263" applyNumberFormat="1" applyFont="1" applyFill="1" applyBorder="1" applyAlignment="1" applyProtection="1">
      <alignment horizontal="right" vertical="center"/>
    </xf>
    <xf numFmtId="10" fontId="75" fillId="30" borderId="80" xfId="158" applyNumberFormat="1" applyFont="1" applyFill="1" applyBorder="1" applyAlignment="1" applyProtection="1">
      <alignment horizontal="right" vertical="center"/>
    </xf>
    <xf numFmtId="176" fontId="75" fillId="30" borderId="35" xfId="263" applyNumberFormat="1" applyFont="1" applyFill="1" applyBorder="1" applyAlignment="1" applyProtection="1">
      <alignment horizontal="right" vertical="center"/>
    </xf>
    <xf numFmtId="0" fontId="73" fillId="30" borderId="135" xfId="224" applyFont="1" applyFill="1" applyBorder="1" applyAlignment="1" applyProtection="1">
      <alignment horizontal="right" vertical="center"/>
    </xf>
    <xf numFmtId="0" fontId="73" fillId="30" borderId="136" xfId="224" applyFont="1" applyFill="1" applyBorder="1" applyAlignment="1" applyProtection="1">
      <alignment vertical="center"/>
    </xf>
    <xf numFmtId="0" fontId="73" fillId="30" borderId="136" xfId="224" applyFont="1" applyFill="1" applyBorder="1" applyAlignment="1" applyProtection="1">
      <alignment vertical="center" wrapText="1"/>
    </xf>
    <xf numFmtId="176" fontId="73" fillId="30" borderId="138" xfId="263" applyNumberFormat="1" applyFont="1" applyFill="1" applyBorder="1" applyAlignment="1" applyProtection="1">
      <alignment horizontal="right" vertical="center"/>
    </xf>
    <xf numFmtId="10" fontId="73" fillId="30" borderId="74" xfId="158" applyNumberFormat="1" applyFont="1" applyFill="1" applyBorder="1" applyAlignment="1" applyProtection="1">
      <alignment horizontal="right" vertical="center"/>
    </xf>
    <xf numFmtId="176" fontId="73" fillId="30" borderId="142" xfId="263" applyNumberFormat="1" applyFont="1" applyFill="1" applyBorder="1" applyAlignment="1" applyProtection="1">
      <alignment horizontal="right" vertical="center"/>
    </xf>
    <xf numFmtId="0" fontId="34" fillId="30" borderId="0" xfId="258" applyFont="1" applyFill="1" applyAlignment="1" applyProtection="1">
      <alignment vertical="center"/>
    </xf>
    <xf numFmtId="0" fontId="11" fillId="30" borderId="0" xfId="258" applyFont="1" applyFill="1" applyAlignment="1" applyProtection="1">
      <alignment vertical="center"/>
    </xf>
    <xf numFmtId="0" fontId="73" fillId="30" borderId="78" xfId="224" applyFont="1" applyFill="1" applyBorder="1" applyAlignment="1" applyProtection="1">
      <alignment horizontal="center" vertical="center"/>
    </xf>
    <xf numFmtId="0" fontId="73" fillId="30" borderId="79" xfId="224" applyFont="1" applyFill="1" applyBorder="1" applyAlignment="1" applyProtection="1">
      <alignment horizontal="center" vertical="center"/>
    </xf>
    <xf numFmtId="0" fontId="73" fillId="30" borderId="80" xfId="224" applyFont="1" applyFill="1" applyBorder="1" applyAlignment="1" applyProtection="1">
      <alignment horizontal="center" vertical="center"/>
    </xf>
    <xf numFmtId="0" fontId="73" fillId="30" borderId="69" xfId="224" applyFont="1" applyFill="1" applyBorder="1" applyAlignment="1" applyProtection="1">
      <alignment horizontal="center" vertical="center"/>
    </xf>
    <xf numFmtId="0" fontId="73" fillId="30" borderId="52" xfId="224" applyFont="1" applyFill="1" applyBorder="1" applyAlignment="1" applyProtection="1">
      <alignment horizontal="center" vertical="center"/>
    </xf>
    <xf numFmtId="0" fontId="73" fillId="30" borderId="68" xfId="224" applyFont="1" applyFill="1" applyBorder="1" applyAlignment="1" applyProtection="1">
      <alignment horizontal="center" vertical="center"/>
    </xf>
    <xf numFmtId="176" fontId="73" fillId="30" borderId="48" xfId="224" applyNumberFormat="1" applyFont="1" applyFill="1" applyBorder="1" applyAlignment="1" applyProtection="1">
      <alignment vertical="center"/>
    </xf>
    <xf numFmtId="176" fontId="73" fillId="30" borderId="76" xfId="224" applyNumberFormat="1" applyFont="1" applyFill="1" applyBorder="1" applyAlignment="1" applyProtection="1">
      <alignment vertical="center"/>
    </xf>
    <xf numFmtId="176" fontId="73" fillId="30" borderId="55" xfId="224" applyNumberFormat="1" applyFont="1" applyFill="1" applyBorder="1" applyAlignment="1" applyProtection="1">
      <alignment vertical="center"/>
    </xf>
    <xf numFmtId="176" fontId="62" fillId="30" borderId="48" xfId="224" applyNumberFormat="1" applyFont="1" applyFill="1" applyBorder="1" applyAlignment="1" applyProtection="1">
      <alignment vertical="center"/>
    </xf>
    <xf numFmtId="176" fontId="73" fillId="30" borderId="76" xfId="263" applyNumberFormat="1" applyFont="1" applyFill="1" applyBorder="1" applyAlignment="1" applyProtection="1">
      <alignment vertical="center"/>
    </xf>
    <xf numFmtId="176" fontId="73" fillId="32" borderId="55" xfId="263" applyNumberFormat="1" applyFont="1" applyFill="1" applyBorder="1" applyAlignment="1" applyProtection="1">
      <alignment vertical="center"/>
    </xf>
    <xf numFmtId="176" fontId="73" fillId="32" borderId="76" xfId="263" applyNumberFormat="1" applyFont="1" applyFill="1" applyBorder="1" applyAlignment="1" applyProtection="1">
      <alignment vertical="center"/>
    </xf>
    <xf numFmtId="176" fontId="73" fillId="30" borderId="55" xfId="263" applyNumberFormat="1" applyFont="1" applyFill="1" applyBorder="1" applyAlignment="1" applyProtection="1">
      <alignment vertical="center"/>
    </xf>
    <xf numFmtId="176" fontId="62" fillId="30" borderId="76" xfId="224" applyNumberFormat="1" applyFont="1" applyFill="1" applyBorder="1" applyAlignment="1" applyProtection="1">
      <alignment vertical="center"/>
    </xf>
    <xf numFmtId="176" fontId="62" fillId="30" borderId="55" xfId="224" applyNumberFormat="1" applyFont="1" applyFill="1" applyBorder="1" applyAlignment="1" applyProtection="1">
      <alignment vertical="center"/>
    </xf>
    <xf numFmtId="176" fontId="73" fillId="30" borderId="48" xfId="263" applyNumberFormat="1" applyFont="1" applyFill="1" applyBorder="1" applyAlignment="1" applyProtection="1">
      <alignment vertical="center"/>
    </xf>
    <xf numFmtId="176" fontId="73" fillId="32" borderId="72" xfId="263" applyNumberFormat="1" applyFont="1" applyFill="1" applyBorder="1" applyAlignment="1" applyProtection="1">
      <alignment vertical="center"/>
    </xf>
    <xf numFmtId="176" fontId="73" fillId="32" borderId="48" xfId="263" applyNumberFormat="1" applyFont="1" applyFill="1" applyBorder="1" applyAlignment="1" applyProtection="1">
      <alignment vertical="center"/>
    </xf>
    <xf numFmtId="176" fontId="62" fillId="30" borderId="78" xfId="263" applyNumberFormat="1" applyFont="1" applyFill="1" applyBorder="1" applyAlignment="1" applyProtection="1">
      <alignment vertical="center"/>
    </xf>
    <xf numFmtId="176" fontId="62" fillId="30" borderId="79" xfId="263" applyNumberFormat="1" applyFont="1" applyFill="1" applyBorder="1" applyAlignment="1" applyProtection="1">
      <alignment vertical="center"/>
    </xf>
    <xf numFmtId="176" fontId="62" fillId="30" borderId="80" xfId="263" applyNumberFormat="1" applyFont="1" applyFill="1" applyBorder="1" applyAlignment="1" applyProtection="1">
      <alignment vertical="center"/>
    </xf>
    <xf numFmtId="176" fontId="73" fillId="30" borderId="80" xfId="263" applyNumberFormat="1" applyFont="1" applyFill="1" applyBorder="1" applyAlignment="1" applyProtection="1">
      <alignment vertical="center"/>
    </xf>
    <xf numFmtId="176" fontId="73" fillId="30" borderId="69" xfId="263" applyNumberFormat="1" applyFont="1" applyFill="1" applyBorder="1" applyAlignment="1" applyProtection="1">
      <alignment vertical="center"/>
    </xf>
    <xf numFmtId="0" fontId="62" fillId="30" borderId="135" xfId="224" applyFont="1" applyFill="1" applyBorder="1" applyAlignment="1" applyProtection="1">
      <alignment vertical="center"/>
    </xf>
    <xf numFmtId="0" fontId="62" fillId="30" borderId="136" xfId="224" applyFont="1" applyFill="1" applyBorder="1" applyAlignment="1" applyProtection="1">
      <alignment vertical="center"/>
    </xf>
    <xf numFmtId="176" fontId="73" fillId="30" borderId="138" xfId="224" applyNumberFormat="1" applyFont="1" applyFill="1" applyBorder="1" applyAlignment="1" applyProtection="1">
      <alignment vertical="center"/>
    </xf>
    <xf numFmtId="176" fontId="73" fillId="30" borderId="50" xfId="224" applyNumberFormat="1" applyFont="1" applyFill="1" applyBorder="1" applyAlignment="1" applyProtection="1">
      <alignment vertical="center"/>
    </xf>
    <xf numFmtId="176" fontId="73" fillId="30" borderId="74" xfId="224" applyNumberFormat="1" applyFont="1" applyFill="1" applyBorder="1" applyAlignment="1" applyProtection="1">
      <alignment vertical="center"/>
    </xf>
    <xf numFmtId="176" fontId="73" fillId="30" borderId="58" xfId="224" applyNumberFormat="1" applyFont="1" applyFill="1" applyBorder="1" applyAlignment="1" applyProtection="1">
      <alignment vertical="center"/>
    </xf>
    <xf numFmtId="0" fontId="38" fillId="30" borderId="0" xfId="224" applyFont="1" applyFill="1" applyAlignment="1" applyProtection="1">
      <alignment horizontal="right" vertical="center"/>
    </xf>
    <xf numFmtId="0" fontId="38" fillId="30" borderId="0" xfId="224" applyFont="1" applyFill="1" applyAlignment="1" applyProtection="1">
      <alignment vertical="center"/>
    </xf>
    <xf numFmtId="0" fontId="41" fillId="30" borderId="0" xfId="0" applyFont="1" applyFill="1" applyAlignment="1" applyProtection="1">
      <alignment vertical="center"/>
    </xf>
    <xf numFmtId="10" fontId="41" fillId="30" borderId="0" xfId="158" applyNumberFormat="1" applyFont="1" applyFill="1" applyAlignment="1" applyProtection="1">
      <alignment horizontal="right" vertical="center"/>
    </xf>
    <xf numFmtId="0" fontId="41" fillId="30" borderId="0" xfId="158" applyNumberFormat="1" applyFont="1" applyFill="1" applyAlignment="1" applyProtection="1">
      <alignment horizontal="right" vertical="center"/>
    </xf>
    <xf numFmtId="0" fontId="2" fillId="30" borderId="0" xfId="224" applyFill="1" applyAlignment="1" applyProtection="1">
      <alignment horizontal="right" vertical="center"/>
    </xf>
    <xf numFmtId="10" fontId="2" fillId="30" borderId="0" xfId="158" applyNumberFormat="1" applyFont="1" applyFill="1" applyAlignment="1" applyProtection="1">
      <alignment vertical="center"/>
    </xf>
    <xf numFmtId="10" fontId="2" fillId="30" borderId="0" xfId="158" applyNumberFormat="1" applyFont="1" applyFill="1" applyAlignment="1" applyProtection="1">
      <alignment horizontal="right" vertical="center"/>
    </xf>
    <xf numFmtId="177" fontId="62" fillId="33" borderId="72" xfId="0" applyNumberFormat="1" applyFont="1" applyFill="1" applyBorder="1" applyAlignment="1" applyProtection="1">
      <alignment vertical="center"/>
      <protection locked="0"/>
    </xf>
    <xf numFmtId="177" fontId="62" fillId="33" borderId="48" xfId="0" applyNumberFormat="1" applyFont="1" applyFill="1" applyBorder="1" applyAlignment="1" applyProtection="1">
      <alignment vertical="center"/>
      <protection locked="0"/>
    </xf>
    <xf numFmtId="177" fontId="62" fillId="34" borderId="48" xfId="0" applyNumberFormat="1" applyFont="1" applyFill="1" applyBorder="1" applyAlignment="1" applyProtection="1">
      <alignment vertical="center"/>
      <protection locked="0"/>
    </xf>
    <xf numFmtId="177" fontId="62" fillId="34" borderId="76" xfId="0" applyNumberFormat="1" applyFont="1" applyFill="1" applyBorder="1" applyAlignment="1" applyProtection="1">
      <alignment vertical="center"/>
      <protection locked="0"/>
    </xf>
    <xf numFmtId="177" fontId="62" fillId="34" borderId="31" xfId="0" applyNumberFormat="1" applyFont="1" applyFill="1" applyBorder="1" applyAlignment="1" applyProtection="1">
      <alignment vertical="center"/>
      <protection locked="0"/>
    </xf>
    <xf numFmtId="177" fontId="62" fillId="33" borderId="76" xfId="0" applyNumberFormat="1" applyFont="1" applyFill="1" applyBorder="1" applyAlignment="1" applyProtection="1">
      <alignment vertical="center"/>
      <protection locked="0"/>
    </xf>
    <xf numFmtId="177" fontId="62" fillId="34" borderId="72" xfId="0" applyNumberFormat="1" applyFont="1" applyFill="1" applyBorder="1" applyAlignment="1" applyProtection="1">
      <alignment vertical="center"/>
      <protection locked="0"/>
    </xf>
    <xf numFmtId="177" fontId="62" fillId="33" borderId="92" xfId="0" applyNumberFormat="1" applyFont="1" applyFill="1" applyBorder="1" applyAlignment="1" applyProtection="1">
      <alignment vertical="center"/>
      <protection locked="0"/>
    </xf>
    <xf numFmtId="177" fontId="62" fillId="33" borderId="54" xfId="0" applyNumberFormat="1" applyFont="1" applyFill="1" applyBorder="1" applyAlignment="1" applyProtection="1">
      <alignment vertical="center"/>
      <protection locked="0"/>
    </xf>
    <xf numFmtId="177" fontId="62" fillId="34" borderId="54" xfId="0" applyNumberFormat="1" applyFont="1" applyFill="1" applyBorder="1" applyAlignment="1" applyProtection="1">
      <alignment vertical="center"/>
      <protection locked="0"/>
    </xf>
    <xf numFmtId="177" fontId="62" fillId="34" borderId="88" xfId="0" applyNumberFormat="1" applyFont="1" applyFill="1" applyBorder="1" applyAlignment="1" applyProtection="1">
      <alignment vertical="center"/>
      <protection locked="0"/>
    </xf>
    <xf numFmtId="177" fontId="62" fillId="34" borderId="182" xfId="0" applyNumberFormat="1" applyFont="1" applyFill="1" applyBorder="1" applyAlignment="1" applyProtection="1">
      <alignment vertical="center"/>
      <protection locked="0"/>
    </xf>
    <xf numFmtId="176" fontId="62" fillId="34" borderId="92" xfId="0" applyNumberFormat="1" applyFont="1" applyFill="1" applyBorder="1" applyAlignment="1" applyProtection="1">
      <alignment vertical="center"/>
      <protection locked="0"/>
    </xf>
    <xf numFmtId="176" fontId="62" fillId="34" borderId="54" xfId="0" applyNumberFormat="1" applyFont="1" applyFill="1" applyBorder="1" applyAlignment="1" applyProtection="1">
      <alignment vertical="center"/>
      <protection locked="0"/>
    </xf>
    <xf numFmtId="176" fontId="62" fillId="33" borderId="54" xfId="0" applyNumberFormat="1" applyFont="1" applyFill="1" applyBorder="1" applyAlignment="1" applyProtection="1">
      <alignment vertical="center"/>
      <protection locked="0"/>
    </xf>
    <xf numFmtId="176" fontId="62" fillId="34" borderId="88" xfId="0" applyNumberFormat="1" applyFont="1" applyFill="1" applyBorder="1" applyAlignment="1" applyProtection="1">
      <alignment vertical="center"/>
      <protection locked="0"/>
    </xf>
    <xf numFmtId="176" fontId="62" fillId="33" borderId="182" xfId="0" applyNumberFormat="1" applyFont="1" applyFill="1" applyBorder="1" applyAlignment="1" applyProtection="1">
      <alignment vertical="center"/>
      <protection locked="0"/>
    </xf>
    <xf numFmtId="176" fontId="62" fillId="33" borderId="92" xfId="0" applyNumberFormat="1" applyFont="1" applyFill="1" applyBorder="1" applyAlignment="1" applyProtection="1">
      <alignment vertical="center"/>
      <protection locked="0"/>
    </xf>
    <xf numFmtId="176" fontId="62" fillId="34" borderId="182" xfId="0" applyNumberFormat="1" applyFont="1" applyFill="1" applyBorder="1" applyAlignment="1" applyProtection="1">
      <alignment vertical="center"/>
      <protection locked="0"/>
    </xf>
    <xf numFmtId="177" fontId="62" fillId="33" borderId="31" xfId="0" applyNumberFormat="1" applyFont="1" applyFill="1" applyBorder="1" applyAlignment="1" applyProtection="1">
      <alignment vertical="center"/>
      <protection locked="0"/>
    </xf>
    <xf numFmtId="4" fontId="62" fillId="33" borderId="82" xfId="0" applyNumberFormat="1" applyFont="1" applyFill="1" applyBorder="1" applyAlignment="1" applyProtection="1">
      <alignment vertical="center"/>
      <protection locked="0"/>
    </xf>
    <xf numFmtId="4" fontId="62" fillId="33" borderId="52" xfId="0" applyNumberFormat="1" applyFont="1" applyFill="1" applyBorder="1" applyAlignment="1" applyProtection="1">
      <alignment vertical="center"/>
      <protection locked="0"/>
    </xf>
    <xf numFmtId="4" fontId="62" fillId="33" borderId="83" xfId="0" applyNumberFormat="1" applyFont="1" applyFill="1" applyBorder="1" applyAlignment="1" applyProtection="1">
      <alignment vertical="center"/>
      <protection locked="0"/>
    </xf>
    <xf numFmtId="4" fontId="62" fillId="33" borderId="53" xfId="0" applyNumberFormat="1" applyFont="1" applyFill="1" applyBorder="1" applyAlignment="1" applyProtection="1">
      <alignment vertical="center"/>
      <protection locked="0"/>
    </xf>
    <xf numFmtId="4" fontId="62" fillId="34" borderId="72" xfId="0" applyNumberFormat="1" applyFont="1" applyFill="1" applyBorder="1" applyAlignment="1" applyProtection="1">
      <alignment vertical="center"/>
      <protection locked="0"/>
    </xf>
    <xf numFmtId="4" fontId="62" fillId="34" borderId="48" xfId="0" applyNumberFormat="1" applyFont="1" applyFill="1" applyBorder="1" applyAlignment="1" applyProtection="1">
      <alignment vertical="center"/>
      <protection locked="0"/>
    </xf>
    <xf numFmtId="4" fontId="62" fillId="33" borderId="48" xfId="0" applyNumberFormat="1" applyFont="1" applyFill="1" applyBorder="1" applyAlignment="1" applyProtection="1">
      <alignment vertical="center"/>
      <protection locked="0"/>
    </xf>
    <xf numFmtId="4" fontId="62" fillId="34" borderId="76" xfId="0" applyNumberFormat="1" applyFont="1" applyFill="1" applyBorder="1" applyAlignment="1" applyProtection="1">
      <alignment vertical="center"/>
      <protection locked="0"/>
    </xf>
    <xf numFmtId="4" fontId="62" fillId="33" borderId="31" xfId="0" applyNumberFormat="1" applyFont="1" applyFill="1" applyBorder="1" applyAlignment="1" applyProtection="1">
      <alignment vertical="center"/>
      <protection locked="0"/>
    </xf>
    <xf numFmtId="4" fontId="62" fillId="33" borderId="72" xfId="0" applyNumberFormat="1" applyFont="1" applyFill="1" applyBorder="1" applyAlignment="1" applyProtection="1">
      <alignment vertical="center"/>
      <protection locked="0"/>
    </xf>
    <xf numFmtId="4" fontId="62" fillId="34" borderId="31" xfId="0" applyNumberFormat="1" applyFont="1" applyFill="1" applyBorder="1" applyAlignment="1" applyProtection="1">
      <alignment vertical="center"/>
      <protection locked="0"/>
    </xf>
    <xf numFmtId="4" fontId="62" fillId="33" borderId="72" xfId="224" applyNumberFormat="1" applyFont="1" applyFill="1" applyBorder="1" applyAlignment="1" applyProtection="1">
      <alignment vertical="center"/>
      <protection locked="0"/>
    </xf>
    <xf numFmtId="4" fontId="62" fillId="33" borderId="48" xfId="224" applyNumberFormat="1" applyFont="1" applyFill="1" applyBorder="1" applyAlignment="1" applyProtection="1">
      <alignment vertical="center"/>
      <protection locked="0"/>
    </xf>
    <xf numFmtId="4" fontId="62" fillId="34" borderId="48" xfId="224" applyNumberFormat="1" applyFont="1" applyFill="1" applyBorder="1" applyAlignment="1" applyProtection="1">
      <alignment vertical="center"/>
      <protection locked="0"/>
    </xf>
    <xf numFmtId="4" fontId="62" fillId="34" borderId="76" xfId="224" applyNumberFormat="1" applyFont="1" applyFill="1" applyBorder="1" applyAlignment="1" applyProtection="1">
      <alignment vertical="center"/>
      <protection locked="0"/>
    </xf>
    <xf numFmtId="4" fontId="62" fillId="34" borderId="31" xfId="224" applyNumberFormat="1" applyFont="1" applyFill="1" applyBorder="1" applyAlignment="1" applyProtection="1">
      <alignment vertical="center"/>
      <protection locked="0"/>
    </xf>
    <xf numFmtId="4" fontId="62" fillId="33" borderId="76" xfId="0" applyNumberFormat="1" applyFont="1" applyFill="1" applyBorder="1" applyAlignment="1" applyProtection="1">
      <alignment vertical="center"/>
      <protection locked="0"/>
    </xf>
    <xf numFmtId="4" fontId="62" fillId="34" borderId="92" xfId="0" applyNumberFormat="1" applyFont="1" applyFill="1" applyBorder="1" applyAlignment="1" applyProtection="1">
      <alignment vertical="center"/>
      <protection locked="0"/>
    </xf>
    <xf numFmtId="4" fontId="62" fillId="34" borderId="54" xfId="0" applyNumberFormat="1" applyFont="1" applyFill="1" applyBorder="1" applyAlignment="1" applyProtection="1">
      <alignment vertical="center"/>
      <protection locked="0"/>
    </xf>
    <xf numFmtId="4" fontId="62" fillId="34" borderId="88" xfId="0" applyNumberFormat="1" applyFont="1" applyFill="1" applyBorder="1" applyAlignment="1" applyProtection="1">
      <alignment vertical="center"/>
      <protection locked="0"/>
    </xf>
    <xf numFmtId="4" fontId="62" fillId="33" borderId="182" xfId="0" applyNumberFormat="1" applyFont="1" applyFill="1" applyBorder="1" applyAlignment="1" applyProtection="1">
      <alignment vertical="center"/>
      <protection locked="0"/>
    </xf>
    <xf numFmtId="4" fontId="62" fillId="34" borderId="78" xfId="0" applyNumberFormat="1" applyFont="1" applyFill="1" applyBorder="1" applyAlignment="1" applyProtection="1">
      <alignment vertical="center"/>
      <protection locked="0"/>
    </xf>
    <xf numFmtId="4" fontId="62" fillId="34" borderId="79" xfId="0" applyNumberFormat="1" applyFont="1" applyFill="1" applyBorder="1" applyAlignment="1" applyProtection="1">
      <alignment vertical="center"/>
      <protection locked="0"/>
    </xf>
    <xf numFmtId="4" fontId="62" fillId="33" borderId="79" xfId="0" applyNumberFormat="1" applyFont="1" applyFill="1" applyBorder="1" applyAlignment="1" applyProtection="1">
      <alignment vertical="center"/>
      <protection locked="0"/>
    </xf>
    <xf numFmtId="4" fontId="62" fillId="34" borderId="80" xfId="0" applyNumberFormat="1" applyFont="1" applyFill="1" applyBorder="1" applyAlignment="1" applyProtection="1">
      <alignment vertical="center"/>
      <protection locked="0"/>
    </xf>
    <xf numFmtId="4" fontId="62" fillId="34" borderId="35" xfId="0" applyNumberFormat="1" applyFont="1" applyFill="1" applyBorder="1" applyAlignment="1" applyProtection="1">
      <alignment vertical="center"/>
      <protection locked="0"/>
    </xf>
    <xf numFmtId="0" fontId="59" fillId="30" borderId="0" xfId="0" applyFont="1" applyFill="1" applyAlignment="1">
      <alignment vertical="top"/>
    </xf>
    <xf numFmtId="0" fontId="59" fillId="30" borderId="0" xfId="0" applyFont="1" applyFill="1"/>
    <xf numFmtId="0" fontId="0" fillId="30" borderId="0" xfId="0" applyFill="1" applyAlignment="1">
      <alignment vertical="top"/>
    </xf>
    <xf numFmtId="0" fontId="59" fillId="30" borderId="0" xfId="0" applyFont="1" applyFill="1" applyAlignment="1">
      <alignment vertical="center"/>
    </xf>
    <xf numFmtId="0" fontId="0" fillId="30" borderId="0" xfId="0" applyFill="1" applyAlignment="1">
      <alignment horizontal="left" vertical="top"/>
    </xf>
    <xf numFmtId="0" fontId="78" fillId="30" borderId="0" xfId="0" applyFont="1" applyFill="1" applyAlignment="1">
      <alignment vertical="top"/>
    </xf>
    <xf numFmtId="0" fontId="78" fillId="30" borderId="0" xfId="0" applyFont="1" applyFill="1" applyAlignment="1">
      <alignment horizontal="left" vertical="top"/>
    </xf>
    <xf numFmtId="0" fontId="0" fillId="30" borderId="16" xfId="0" applyFill="1" applyBorder="1"/>
    <xf numFmtId="0" fontId="0" fillId="30" borderId="0" xfId="0" applyFill="1" applyAlignment="1">
      <alignment horizontal="left"/>
    </xf>
    <xf numFmtId="0" fontId="59" fillId="30" borderId="135" xfId="0" applyFont="1" applyFill="1" applyBorder="1" applyAlignment="1">
      <alignment horizontal="left" vertical="top"/>
    </xf>
    <xf numFmtId="0" fontId="80" fillId="30" borderId="0" xfId="0" applyFont="1" applyFill="1" applyAlignment="1">
      <alignment wrapText="1"/>
    </xf>
    <xf numFmtId="0" fontId="59" fillId="30" borderId="0" xfId="0" applyFont="1" applyFill="1" applyAlignment="1">
      <alignment horizontal="left" vertical="top"/>
    </xf>
    <xf numFmtId="0" fontId="59" fillId="30" borderId="136" xfId="0" applyFont="1" applyFill="1" applyBorder="1"/>
    <xf numFmtId="0" fontId="59" fillId="30" borderId="136" xfId="0" applyFont="1" applyFill="1" applyBorder="1" applyAlignment="1">
      <alignment horizontal="center" vertical="top"/>
    </xf>
    <xf numFmtId="0" fontId="59" fillId="30" borderId="142" xfId="0" applyFont="1" applyFill="1" applyBorder="1" applyAlignment="1">
      <alignment horizontal="left"/>
    </xf>
    <xf numFmtId="0" fontId="78" fillId="30" borderId="0" xfId="0" applyFont="1" applyFill="1"/>
    <xf numFmtId="0" fontId="0" fillId="30" borderId="0" xfId="0" applyFill="1" applyAlignment="1">
      <alignment horizontal="right" vertical="top"/>
    </xf>
    <xf numFmtId="0" fontId="59" fillId="30" borderId="140" xfId="0" applyFont="1" applyFill="1" applyBorder="1" applyAlignment="1">
      <alignment horizontal="left" vertical="top"/>
    </xf>
    <xf numFmtId="0" fontId="59" fillId="30" borderId="143" xfId="0" applyFont="1" applyFill="1" applyBorder="1" applyAlignment="1">
      <alignment horizontal="left" vertical="top"/>
    </xf>
    <xf numFmtId="0" fontId="59" fillId="30" borderId="141" xfId="0" applyFont="1" applyFill="1" applyBorder="1"/>
    <xf numFmtId="0" fontId="0" fillId="30" borderId="141" xfId="0" applyFill="1" applyBorder="1" applyAlignment="1">
      <alignment horizontal="right" vertical="center"/>
    </xf>
    <xf numFmtId="0" fontId="0" fillId="30" borderId="143" xfId="0" applyFill="1" applyBorder="1" applyAlignment="1">
      <alignment horizontal="left" vertical="center"/>
    </xf>
    <xf numFmtId="0" fontId="59" fillId="30" borderId="16" xfId="0" applyFont="1" applyFill="1" applyBorder="1" applyAlignment="1">
      <alignment horizontal="left" vertical="top"/>
    </xf>
    <xf numFmtId="0" fontId="0" fillId="30" borderId="181" xfId="0" applyFill="1" applyBorder="1" applyAlignment="1">
      <alignment horizontal="left" vertical="top"/>
    </xf>
    <xf numFmtId="178" fontId="0" fillId="30" borderId="0" xfId="0" applyNumberFormat="1" applyFill="1" applyAlignment="1">
      <alignment horizontal="right" vertical="center"/>
    </xf>
    <xf numFmtId="0" fontId="0" fillId="30" borderId="181" xfId="0" applyFill="1" applyBorder="1" applyAlignment="1">
      <alignment horizontal="left" vertical="center"/>
    </xf>
    <xf numFmtId="0" fontId="63" fillId="30" borderId="0" xfId="268" applyFont="1" applyFill="1"/>
    <xf numFmtId="0" fontId="0" fillId="30" borderId="181" xfId="0" applyFill="1" applyBorder="1" applyAlignment="1">
      <alignment horizontal="left" vertical="top" wrapText="1"/>
    </xf>
    <xf numFmtId="0" fontId="0" fillId="30" borderId="0" xfId="0" applyFill="1" applyAlignment="1">
      <alignment wrapText="1"/>
    </xf>
    <xf numFmtId="0" fontId="59" fillId="30" borderId="181" xfId="0" applyFont="1" applyFill="1" applyBorder="1" applyAlignment="1">
      <alignment horizontal="left" vertical="top"/>
    </xf>
    <xf numFmtId="2" fontId="0" fillId="30" borderId="0" xfId="0" applyNumberFormat="1" applyFill="1" applyAlignment="1">
      <alignment horizontal="right" vertical="center"/>
    </xf>
    <xf numFmtId="0" fontId="59" fillId="30" borderId="21" xfId="0" applyFont="1" applyFill="1" applyBorder="1" applyAlignment="1">
      <alignment horizontal="left" vertical="top"/>
    </xf>
    <xf numFmtId="0" fontId="59" fillId="30" borderId="23" xfId="0" applyFont="1" applyFill="1" applyBorder="1" applyAlignment="1">
      <alignment horizontal="left" vertical="top" wrapText="1"/>
    </xf>
    <xf numFmtId="0" fontId="59" fillId="30" borderId="22" xfId="0" applyFont="1" applyFill="1" applyBorder="1"/>
    <xf numFmtId="178" fontId="0" fillId="30" borderId="22" xfId="0" applyNumberFormat="1" applyFill="1" applyBorder="1" applyAlignment="1">
      <alignment horizontal="right" vertical="center"/>
    </xf>
    <xf numFmtId="0" fontId="0" fillId="30" borderId="23" xfId="0" applyFill="1" applyBorder="1" applyAlignment="1">
      <alignment horizontal="left" vertical="center"/>
    </xf>
    <xf numFmtId="0" fontId="59" fillId="30" borderId="0" xfId="0" applyFont="1" applyFill="1" applyAlignment="1">
      <alignment horizontal="left"/>
    </xf>
    <xf numFmtId="0" fontId="59" fillId="30" borderId="135" xfId="0" applyFont="1" applyFill="1" applyBorder="1"/>
    <xf numFmtId="0" fontId="59" fillId="30" borderId="136" xfId="0" applyFont="1" applyFill="1" applyBorder="1" applyAlignment="1">
      <alignment vertical="center"/>
    </xf>
    <xf numFmtId="0" fontId="59" fillId="30" borderId="136" xfId="0" applyFont="1" applyFill="1" applyBorder="1" applyAlignment="1">
      <alignment horizontal="left" vertical="top"/>
    </xf>
    <xf numFmtId="0" fontId="59" fillId="30" borderId="142" xfId="0" applyFont="1" applyFill="1" applyBorder="1" applyAlignment="1">
      <alignment horizontal="left" vertical="top"/>
    </xf>
    <xf numFmtId="0" fontId="59" fillId="30" borderId="0" xfId="0" applyFont="1" applyFill="1" applyAlignment="1">
      <alignment horizontal="center" vertical="top"/>
    </xf>
    <xf numFmtId="0" fontId="78" fillId="30" borderId="0" xfId="0" applyFont="1" applyFill="1" applyAlignment="1">
      <alignment vertical="center"/>
    </xf>
    <xf numFmtId="0" fontId="59" fillId="30" borderId="143" xfId="0" applyFont="1" applyFill="1" applyBorder="1" applyAlignment="1">
      <alignment horizontal="left" vertical="center"/>
    </xf>
    <xf numFmtId="178" fontId="0" fillId="30" borderId="0" xfId="0" applyNumberFormat="1" applyFill="1" applyAlignment="1">
      <alignment horizontal="right" vertical="top"/>
    </xf>
    <xf numFmtId="0" fontId="0" fillId="30" borderId="181" xfId="0" applyFill="1" applyBorder="1" applyAlignment="1">
      <alignment horizontal="left" vertical="center" wrapText="1"/>
    </xf>
    <xf numFmtId="0" fontId="59" fillId="30" borderId="181" xfId="0" applyFont="1" applyFill="1" applyBorder="1" applyAlignment="1">
      <alignment horizontal="left" vertical="center"/>
    </xf>
    <xf numFmtId="2" fontId="0" fillId="30" borderId="0" xfId="0" applyNumberFormat="1" applyFill="1" applyAlignment="1">
      <alignment horizontal="right" vertical="top"/>
    </xf>
    <xf numFmtId="0" fontId="59" fillId="30" borderId="23" xfId="0" applyFont="1" applyFill="1" applyBorder="1" applyAlignment="1">
      <alignment horizontal="left" vertical="center" wrapText="1"/>
    </xf>
    <xf numFmtId="178" fontId="0" fillId="30" borderId="22" xfId="0" applyNumberFormat="1" applyFill="1" applyBorder="1" applyAlignment="1">
      <alignment horizontal="right" vertical="top"/>
    </xf>
    <xf numFmtId="0" fontId="0" fillId="30" borderId="23" xfId="0" applyFill="1" applyBorder="1" applyAlignment="1">
      <alignment horizontal="left" vertical="top"/>
    </xf>
    <xf numFmtId="0" fontId="59" fillId="30" borderId="135" xfId="0" applyFont="1" applyFill="1" applyBorder="1" applyAlignment="1">
      <alignment vertical="top"/>
    </xf>
    <xf numFmtId="0" fontId="59" fillId="30" borderId="0" xfId="0" applyFont="1" applyFill="1" applyAlignment="1">
      <alignment horizontal="left" vertical="center"/>
    </xf>
    <xf numFmtId="0" fontId="0" fillId="30" borderId="141" xfId="0" applyFill="1" applyBorder="1" applyAlignment="1">
      <alignment horizontal="right" vertical="top"/>
    </xf>
    <xf numFmtId="0" fontId="0" fillId="30" borderId="143" xfId="0" applyFill="1" applyBorder="1" applyAlignment="1">
      <alignment horizontal="left" vertical="top"/>
    </xf>
    <xf numFmtId="0" fontId="59" fillId="30" borderId="136" xfId="0" applyFont="1" applyFill="1" applyBorder="1" applyAlignment="1">
      <alignment vertical="top"/>
    </xf>
    <xf numFmtId="0" fontId="59" fillId="30" borderId="136" xfId="0" applyFont="1" applyFill="1" applyBorder="1" applyAlignment="1">
      <alignment horizontal="center"/>
    </xf>
    <xf numFmtId="0" fontId="59" fillId="30" borderId="141" xfId="0" applyFont="1" applyFill="1" applyBorder="1" applyAlignment="1">
      <alignment horizontal="left" vertical="center"/>
    </xf>
    <xf numFmtId="0" fontId="59" fillId="30" borderId="140" xfId="0" applyFont="1" applyFill="1" applyBorder="1"/>
    <xf numFmtId="0" fontId="0" fillId="30" borderId="16" xfId="0" applyFill="1" applyBorder="1" applyAlignment="1">
      <alignment wrapText="1"/>
    </xf>
    <xf numFmtId="0" fontId="59" fillId="30" borderId="16" xfId="0" applyFont="1" applyFill="1" applyBorder="1"/>
    <xf numFmtId="0" fontId="0" fillId="30" borderId="16" xfId="0" applyFill="1" applyBorder="1" applyAlignment="1">
      <alignment horizontal="left" vertical="center" wrapText="1"/>
    </xf>
    <xf numFmtId="0" fontId="59" fillId="30" borderId="22" xfId="0" applyFont="1" applyFill="1" applyBorder="1" applyAlignment="1">
      <alignment horizontal="left" vertical="center" wrapText="1"/>
    </xf>
    <xf numFmtId="0" fontId="59" fillId="30" borderId="21" xfId="0" applyFont="1" applyFill="1" applyBorder="1"/>
    <xf numFmtId="0" fontId="0" fillId="30" borderId="0" xfId="0" applyFill="1" applyBorder="1" applyAlignment="1">
      <alignment horizontal="right" vertical="top"/>
    </xf>
    <xf numFmtId="0" fontId="59" fillId="30" borderId="0" xfId="0" applyFont="1" applyFill="1" applyBorder="1"/>
    <xf numFmtId="178" fontId="0" fillId="30" borderId="0" xfId="0" applyNumberFormat="1" applyFill="1" applyBorder="1" applyAlignment="1">
      <alignment horizontal="right" vertical="top"/>
    </xf>
    <xf numFmtId="2" fontId="0" fillId="30" borderId="0" xfId="0" applyNumberFormat="1" applyFill="1" applyBorder="1" applyAlignment="1">
      <alignment horizontal="right" vertical="top"/>
    </xf>
    <xf numFmtId="0" fontId="0" fillId="30" borderId="0" xfId="0" applyFill="1" applyAlignment="1">
      <alignment vertical="top" wrapText="1"/>
    </xf>
    <xf numFmtId="0" fontId="59" fillId="30" borderId="0" xfId="0" applyFont="1" applyFill="1" applyAlignment="1">
      <alignment vertical="top" wrapText="1"/>
    </xf>
    <xf numFmtId="0" fontId="59" fillId="30" borderId="135" xfId="0" applyFont="1" applyFill="1" applyBorder="1" applyAlignment="1">
      <alignment vertical="center"/>
    </xf>
    <xf numFmtId="0" fontId="0" fillId="30" borderId="136" xfId="0" applyFill="1" applyBorder="1" applyAlignment="1">
      <alignment vertical="top" wrapText="1"/>
    </xf>
    <xf numFmtId="0" fontId="59" fillId="30" borderId="136" xfId="0" applyFont="1" applyFill="1" applyBorder="1" applyAlignment="1">
      <alignment horizontal="center" vertical="center"/>
    </xf>
    <xf numFmtId="0" fontId="59" fillId="30" borderId="142" xfId="0" applyFont="1" applyFill="1" applyBorder="1" applyAlignment="1">
      <alignment horizontal="left" vertical="center"/>
    </xf>
    <xf numFmtId="0" fontId="59" fillId="30" borderId="143" xfId="0" applyFont="1" applyFill="1" applyBorder="1" applyAlignment="1">
      <alignment horizontal="left" vertical="top" wrapText="1"/>
    </xf>
    <xf numFmtId="0" fontId="59" fillId="30" borderId="181" xfId="0" applyFont="1" applyFill="1" applyBorder="1" applyAlignment="1">
      <alignment horizontal="left" vertical="top" wrapText="1"/>
    </xf>
    <xf numFmtId="0" fontId="59" fillId="30" borderId="136" xfId="0" applyFont="1" applyFill="1" applyBorder="1" applyAlignment="1">
      <alignment vertical="top" wrapText="1"/>
    </xf>
    <xf numFmtId="0" fontId="59" fillId="30" borderId="143" xfId="0" applyFont="1" applyFill="1" applyBorder="1" applyAlignment="1">
      <alignment vertical="top" wrapText="1"/>
    </xf>
    <xf numFmtId="0" fontId="0" fillId="30" borderId="181" xfId="0" applyFill="1" applyBorder="1" applyAlignment="1">
      <alignment vertical="top" wrapText="1"/>
    </xf>
    <xf numFmtId="0" fontId="59" fillId="30" borderId="181" xfId="0" applyFont="1" applyFill="1" applyBorder="1" applyAlignment="1">
      <alignment vertical="top" wrapText="1"/>
    </xf>
    <xf numFmtId="0" fontId="59" fillId="30" borderId="23" xfId="0" applyFont="1" applyFill="1" applyBorder="1" applyAlignment="1">
      <alignment vertical="top" wrapText="1"/>
    </xf>
    <xf numFmtId="0" fontId="59" fillId="30" borderId="140" xfId="0" applyFont="1" applyFill="1" applyBorder="1" applyAlignment="1">
      <alignment vertical="top"/>
    </xf>
    <xf numFmtId="0" fontId="59" fillId="30" borderId="23" xfId="0" applyFont="1" applyFill="1" applyBorder="1" applyAlignment="1">
      <alignment horizontal="left" vertical="top"/>
    </xf>
    <xf numFmtId="0" fontId="59" fillId="30" borderId="16" xfId="0" applyFont="1" applyFill="1" applyBorder="1" applyAlignment="1">
      <alignment vertical="top"/>
    </xf>
    <xf numFmtId="0" fontId="59" fillId="30" borderId="21" xfId="0" applyFont="1" applyFill="1" applyBorder="1" applyAlignment="1">
      <alignment vertical="top"/>
    </xf>
    <xf numFmtId="4" fontId="0" fillId="30" borderId="104" xfId="0" applyNumberFormat="1" applyFill="1" applyBorder="1"/>
    <xf numFmtId="4" fontId="0" fillId="30" borderId="30" xfId="0" applyNumberFormat="1" applyFill="1" applyBorder="1"/>
    <xf numFmtId="4" fontId="0" fillId="30" borderId="72" xfId="0" applyNumberFormat="1" applyFill="1" applyBorder="1"/>
    <xf numFmtId="4" fontId="0" fillId="30" borderId="76" xfId="0" applyNumberFormat="1" applyFill="1" applyBorder="1"/>
    <xf numFmtId="4" fontId="0" fillId="30" borderId="48" xfId="0" applyNumberFormat="1" applyFill="1" applyBorder="1"/>
    <xf numFmtId="4" fontId="0" fillId="30" borderId="71" xfId="0" applyNumberFormat="1" applyFill="1" applyBorder="1"/>
    <xf numFmtId="4" fontId="0" fillId="30" borderId="14" xfId="0" applyNumberFormat="1" applyFill="1" applyBorder="1"/>
    <xf numFmtId="4" fontId="0" fillId="30" borderId="180" xfId="0" applyNumberFormat="1" applyFill="1" applyBorder="1"/>
    <xf numFmtId="4" fontId="0" fillId="30" borderId="63" xfId="0" applyNumberFormat="1" applyFill="1" applyBorder="1"/>
    <xf numFmtId="4" fontId="0" fillId="32" borderId="30" xfId="0" applyNumberFormat="1" applyFill="1" applyBorder="1"/>
    <xf numFmtId="4" fontId="0" fillId="32" borderId="72" xfId="0" applyNumberFormat="1" applyFill="1" applyBorder="1"/>
    <xf numFmtId="4" fontId="0" fillId="32" borderId="48" xfId="0" applyNumberFormat="1" applyFill="1" applyBorder="1"/>
    <xf numFmtId="4" fontId="0" fillId="32" borderId="63" xfId="0" applyNumberFormat="1" applyFill="1" applyBorder="1"/>
    <xf numFmtId="4" fontId="0" fillId="30" borderId="146" xfId="0" applyNumberFormat="1" applyFill="1" applyBorder="1"/>
    <xf numFmtId="4" fontId="0" fillId="30" borderId="89" xfId="0" applyNumberFormat="1" applyFill="1" applyBorder="1"/>
    <xf numFmtId="4" fontId="0" fillId="30" borderId="92" xfId="0" applyNumberFormat="1" applyFill="1" applyBorder="1"/>
    <xf numFmtId="4" fontId="0" fillId="30" borderId="88" xfId="0" applyNumberFormat="1" applyFill="1" applyBorder="1"/>
    <xf numFmtId="4" fontId="0" fillId="30" borderId="54" xfId="0" applyNumberFormat="1" applyFill="1" applyBorder="1"/>
    <xf numFmtId="4" fontId="0" fillId="30" borderId="139" xfId="0" applyNumberFormat="1" applyFill="1" applyBorder="1"/>
    <xf numFmtId="4" fontId="0" fillId="30" borderId="157" xfId="0" applyNumberFormat="1" applyFill="1" applyBorder="1"/>
    <xf numFmtId="4" fontId="0" fillId="30" borderId="138" xfId="0" applyNumberFormat="1" applyFill="1" applyBorder="1"/>
    <xf numFmtId="4" fontId="0" fillId="30" borderId="74" xfId="0" applyNumberFormat="1" applyFill="1" applyBorder="1"/>
    <xf numFmtId="4" fontId="0" fillId="30" borderId="136" xfId="0" applyNumberFormat="1" applyFill="1" applyBorder="1"/>
    <xf numFmtId="4" fontId="0" fillId="30" borderId="50" xfId="0" applyNumberFormat="1" applyFill="1" applyBorder="1"/>
    <xf numFmtId="4" fontId="0" fillId="30" borderId="158" xfId="0" applyNumberFormat="1" applyFill="1" applyBorder="1"/>
    <xf numFmtId="4" fontId="0" fillId="30" borderId="137" xfId="0" applyNumberFormat="1" applyFill="1" applyBorder="1"/>
    <xf numFmtId="4" fontId="0" fillId="30" borderId="142" xfId="0" applyNumberFormat="1" applyFill="1" applyBorder="1"/>
    <xf numFmtId="0" fontId="0" fillId="30" borderId="0" xfId="0" applyFill="1" applyAlignment="1">
      <alignment horizontal="left" vertical="center"/>
    </xf>
    <xf numFmtId="179" fontId="0" fillId="33" borderId="144" xfId="0" applyNumberFormat="1" applyFill="1" applyBorder="1" applyAlignment="1" applyProtection="1">
      <alignment horizontal="center" vertical="center"/>
      <protection locked="0"/>
    </xf>
    <xf numFmtId="176" fontId="0" fillId="33" borderId="19" xfId="0" applyNumberFormat="1" applyFill="1" applyBorder="1" applyAlignment="1" applyProtection="1">
      <alignment horizontal="center" vertical="center"/>
      <protection locked="0"/>
    </xf>
    <xf numFmtId="177" fontId="0" fillId="30" borderId="107" xfId="0" applyNumberFormat="1" applyFill="1" applyBorder="1" applyAlignment="1" applyProtection="1">
      <alignment horizontal="right" vertical="center"/>
      <protection locked="0"/>
    </xf>
    <xf numFmtId="177" fontId="0" fillId="30" borderId="83" xfId="0" applyNumberFormat="1" applyFill="1" applyBorder="1" applyAlignment="1" applyProtection="1">
      <alignment horizontal="right" vertical="center"/>
      <protection locked="0"/>
    </xf>
    <xf numFmtId="4" fontId="0" fillId="30" borderId="167" xfId="0" applyNumberFormat="1" applyFill="1" applyBorder="1"/>
    <xf numFmtId="4" fontId="0" fillId="30" borderId="169" xfId="0" applyNumberFormat="1" applyFill="1" applyBorder="1"/>
    <xf numFmtId="0" fontId="0" fillId="30" borderId="69" xfId="0" applyFill="1" applyBorder="1" applyAlignment="1">
      <alignment horizontal="center" vertical="center" wrapText="1"/>
    </xf>
    <xf numFmtId="4" fontId="0" fillId="40" borderId="76" xfId="0" applyNumberFormat="1" applyFill="1" applyBorder="1" applyProtection="1">
      <protection locked="0"/>
    </xf>
    <xf numFmtId="4" fontId="0" fillId="42" borderId="88" xfId="0" applyNumberFormat="1" applyFill="1" applyBorder="1" applyProtection="1"/>
    <xf numFmtId="4" fontId="0" fillId="42" borderId="100" xfId="0" applyNumberFormat="1" applyFill="1" applyBorder="1" applyProtection="1"/>
    <xf numFmtId="4" fontId="0" fillId="33" borderId="88" xfId="0" applyNumberFormat="1" applyFill="1" applyBorder="1" applyProtection="1">
      <protection locked="0"/>
    </xf>
    <xf numFmtId="4" fontId="0" fillId="32" borderId="84" xfId="0" applyNumberFormat="1" applyFill="1" applyBorder="1" applyAlignment="1" applyProtection="1">
      <alignment vertical="center" wrapText="1"/>
    </xf>
    <xf numFmtId="4" fontId="0" fillId="32" borderId="30" xfId="0" applyNumberFormat="1" applyFill="1" applyBorder="1" applyAlignment="1" applyProtection="1">
      <alignment vertical="center" wrapText="1"/>
    </xf>
    <xf numFmtId="4" fontId="0" fillId="30" borderId="30" xfId="0" applyNumberFormat="1" applyFill="1" applyBorder="1" applyAlignment="1" applyProtection="1">
      <alignment vertical="center" wrapText="1"/>
    </xf>
    <xf numFmtId="4" fontId="0" fillId="32" borderId="30" xfId="0" applyNumberFormat="1" applyFill="1" applyBorder="1" applyProtection="1"/>
    <xf numFmtId="4" fontId="0" fillId="32" borderId="89" xfId="0" applyNumberFormat="1" applyFill="1" applyBorder="1" applyProtection="1"/>
    <xf numFmtId="4" fontId="65" fillId="30" borderId="204" xfId="0" applyNumberFormat="1" applyFont="1" applyFill="1" applyBorder="1" applyProtection="1"/>
    <xf numFmtId="4" fontId="65" fillId="30" borderId="205" xfId="0" applyNumberFormat="1" applyFont="1" applyFill="1" applyBorder="1" applyProtection="1"/>
    <xf numFmtId="4" fontId="65" fillId="30" borderId="206" xfId="0" applyNumberFormat="1" applyFont="1" applyFill="1" applyBorder="1" applyProtection="1"/>
    <xf numFmtId="4" fontId="65" fillId="32" borderId="204" xfId="0" applyNumberFormat="1" applyFont="1" applyFill="1" applyBorder="1" applyProtection="1"/>
    <xf numFmtId="0" fontId="65" fillId="30" borderId="130" xfId="0" applyFont="1" applyFill="1" applyBorder="1" applyAlignment="1">
      <alignment horizontal="center" vertical="center"/>
    </xf>
    <xf numFmtId="0" fontId="65" fillId="30" borderId="207" xfId="0" applyFont="1" applyFill="1" applyBorder="1" applyAlignment="1">
      <alignment horizontal="center" vertical="center"/>
    </xf>
    <xf numFmtId="0" fontId="65" fillId="30" borderId="208" xfId="0" applyFont="1" applyFill="1" applyBorder="1" applyAlignment="1">
      <alignment horizontal="center" vertical="center"/>
    </xf>
    <xf numFmtId="0" fontId="65" fillId="30" borderId="134" xfId="0" applyFont="1" applyFill="1" applyBorder="1" applyAlignment="1">
      <alignment horizontal="left" vertical="center"/>
    </xf>
    <xf numFmtId="176" fontId="65" fillId="30" borderId="209" xfId="0" applyNumberFormat="1" applyFont="1" applyFill="1" applyBorder="1" applyAlignment="1">
      <alignment horizontal="center" vertical="center"/>
    </xf>
    <xf numFmtId="176" fontId="65" fillId="30" borderId="210" xfId="0" applyNumberFormat="1" applyFont="1" applyFill="1" applyBorder="1" applyAlignment="1">
      <alignment horizontal="center" vertical="center"/>
    </xf>
    <xf numFmtId="176" fontId="65" fillId="30" borderId="211" xfId="0" applyNumberFormat="1" applyFont="1" applyFill="1" applyBorder="1" applyAlignment="1">
      <alignment horizontal="center" vertical="center"/>
    </xf>
    <xf numFmtId="176" fontId="65" fillId="30" borderId="212" xfId="0" applyNumberFormat="1" applyFont="1" applyFill="1" applyBorder="1" applyAlignment="1">
      <alignment horizontal="center" vertical="center"/>
    </xf>
    <xf numFmtId="176" fontId="65" fillId="30" borderId="213" xfId="0" applyNumberFormat="1" applyFont="1" applyFill="1" applyBorder="1" applyAlignment="1">
      <alignment horizontal="center" vertical="center"/>
    </xf>
    <xf numFmtId="176" fontId="65" fillId="30" borderId="214" xfId="0" applyNumberFormat="1" applyFont="1" applyFill="1" applyBorder="1" applyAlignment="1">
      <alignment horizontal="center" vertical="center"/>
    </xf>
    <xf numFmtId="176" fontId="65" fillId="30" borderId="215" xfId="0" applyNumberFormat="1" applyFont="1" applyFill="1" applyBorder="1" applyAlignment="1">
      <alignment horizontal="center" vertical="center"/>
    </xf>
    <xf numFmtId="176" fontId="65" fillId="30" borderId="216" xfId="0" applyNumberFormat="1" applyFont="1" applyFill="1" applyBorder="1" applyAlignment="1">
      <alignment horizontal="center" vertical="center"/>
    </xf>
    <xf numFmtId="0" fontId="0" fillId="30" borderId="19" xfId="0" applyNumberFormat="1" applyFill="1" applyBorder="1"/>
    <xf numFmtId="4" fontId="0" fillId="34" borderId="83" xfId="0" applyNumberFormat="1" applyFill="1" applyBorder="1" applyAlignment="1" applyProtection="1">
      <alignment vertical="center" wrapText="1"/>
      <protection locked="0"/>
    </xf>
    <xf numFmtId="9" fontId="86" fillId="30" borderId="19" xfId="0" applyNumberFormat="1" applyFont="1" applyFill="1" applyBorder="1" applyAlignment="1" applyProtection="1">
      <alignment horizontal="center" vertical="center"/>
    </xf>
    <xf numFmtId="0" fontId="87" fillId="30" borderId="0" xfId="0" applyFont="1" applyFill="1" applyAlignment="1" applyProtection="1">
      <alignment vertical="center"/>
    </xf>
    <xf numFmtId="0" fontId="0" fillId="30" borderId="181" xfId="0" applyFill="1" applyBorder="1" applyAlignment="1">
      <alignment horizontal="left" vertical="center"/>
    </xf>
    <xf numFmtId="0" fontId="65" fillId="30" borderId="181" xfId="0" applyFont="1" applyFill="1" applyBorder="1" applyAlignment="1">
      <alignment horizontal="right" vertical="center"/>
    </xf>
    <xf numFmtId="0" fontId="65" fillId="30" borderId="0" xfId="0" applyFont="1" applyFill="1" applyAlignment="1">
      <alignment horizontal="right" vertical="center"/>
    </xf>
    <xf numFmtId="0" fontId="0" fillId="30" borderId="0" xfId="0" applyFill="1" applyProtection="1">
      <protection locked="0"/>
    </xf>
    <xf numFmtId="0" fontId="62" fillId="30" borderId="0" xfId="0" applyFont="1" applyFill="1" applyAlignment="1" applyProtection="1">
      <alignment vertical="top"/>
      <protection locked="0"/>
    </xf>
    <xf numFmtId="0" fontId="62" fillId="30" borderId="0" xfId="0" applyFont="1" applyFill="1" applyProtection="1">
      <protection locked="0"/>
    </xf>
    <xf numFmtId="178" fontId="65" fillId="30" borderId="0" xfId="0" applyNumberFormat="1" applyFont="1" applyFill="1" applyAlignment="1">
      <alignment horizontal="right" vertical="center"/>
    </xf>
    <xf numFmtId="0" fontId="65" fillId="30" borderId="181" xfId="0" applyFont="1" applyFill="1" applyBorder="1" applyAlignment="1">
      <alignment horizontal="left" vertical="center"/>
    </xf>
    <xf numFmtId="0" fontId="65" fillId="30" borderId="181" xfId="0" applyFont="1" applyFill="1" applyBorder="1" applyAlignment="1">
      <alignment horizontal="right" vertical="top"/>
    </xf>
    <xf numFmtId="0" fontId="62" fillId="30" borderId="0" xfId="0" applyFont="1" applyFill="1" applyAlignment="1" applyProtection="1">
      <alignment horizontal="left" vertical="top"/>
      <protection locked="0"/>
    </xf>
    <xf numFmtId="178" fontId="65" fillId="30" borderId="0" xfId="0" applyNumberFormat="1" applyFont="1" applyFill="1" applyAlignment="1">
      <alignment horizontal="right" vertical="top"/>
    </xf>
    <xf numFmtId="0" fontId="65" fillId="30" borderId="181" xfId="0" applyFont="1" applyFill="1" applyBorder="1" applyAlignment="1">
      <alignment horizontal="left" vertical="top"/>
    </xf>
    <xf numFmtId="0" fontId="59" fillId="30" borderId="0" xfId="0" applyFont="1" applyFill="1" applyAlignment="1" applyProtection="1">
      <alignment horizontal="left" vertical="top"/>
      <protection locked="0"/>
    </xf>
    <xf numFmtId="167" fontId="0" fillId="30" borderId="0" xfId="0" applyNumberFormat="1" applyFill="1" applyAlignment="1" applyProtection="1">
      <alignment horizontal="right" vertical="top"/>
      <protection locked="0"/>
    </xf>
    <xf numFmtId="167" fontId="0" fillId="30" borderId="0" xfId="0" applyNumberFormat="1" applyFill="1" applyAlignment="1" applyProtection="1">
      <alignment horizontal="right" vertical="center"/>
      <protection locked="0"/>
    </xf>
    <xf numFmtId="0" fontId="2" fillId="30" borderId="0" xfId="224" applyFill="1" applyProtection="1"/>
    <xf numFmtId="0" fontId="2" fillId="30" borderId="141" xfId="224" applyFill="1" applyBorder="1" applyProtection="1"/>
    <xf numFmtId="0" fontId="2" fillId="30" borderId="22" xfId="224" applyFill="1" applyBorder="1" applyProtection="1"/>
    <xf numFmtId="0" fontId="3" fillId="30" borderId="135" xfId="224" applyFont="1" applyFill="1" applyBorder="1" applyAlignment="1" applyProtection="1">
      <alignment horizontal="center"/>
    </xf>
    <xf numFmtId="0" fontId="3" fillId="30" borderId="57" xfId="224" applyFont="1" applyFill="1" applyBorder="1" applyAlignment="1" applyProtection="1">
      <alignment horizontal="center"/>
    </xf>
    <xf numFmtId="0" fontId="3" fillId="30" borderId="50" xfId="224" applyFont="1" applyFill="1" applyBorder="1" applyAlignment="1" applyProtection="1">
      <alignment horizontal="center"/>
    </xf>
    <xf numFmtId="0" fontId="3" fillId="30" borderId="136" xfId="224" applyFont="1" applyFill="1" applyBorder="1" applyAlignment="1" applyProtection="1">
      <alignment horizontal="center"/>
    </xf>
    <xf numFmtId="0" fontId="3" fillId="30" borderId="58" xfId="224" applyFont="1" applyFill="1" applyBorder="1" applyAlignment="1" applyProtection="1">
      <alignment horizontal="center"/>
    </xf>
    <xf numFmtId="0" fontId="3" fillId="30" borderId="47" xfId="224" applyFont="1" applyFill="1" applyBorder="1" applyAlignment="1" applyProtection="1">
      <alignment horizontal="center"/>
    </xf>
    <xf numFmtId="0" fontId="3" fillId="30" borderId="142" xfId="224" applyFont="1" applyFill="1" applyBorder="1" applyAlignment="1" applyProtection="1">
      <alignment horizontal="center"/>
    </xf>
    <xf numFmtId="0" fontId="3" fillId="30" borderId="140" xfId="224" applyFont="1" applyFill="1" applyBorder="1" applyAlignment="1" applyProtection="1">
      <alignment horizontal="center" vertical="center"/>
    </xf>
    <xf numFmtId="0" fontId="3" fillId="30" borderId="151" xfId="224" applyFont="1" applyFill="1" applyBorder="1" applyAlignment="1" applyProtection="1">
      <alignment horizontal="center" vertical="center"/>
    </xf>
    <xf numFmtId="0" fontId="3" fillId="30" borderId="150" xfId="224" applyFont="1" applyFill="1" applyBorder="1" applyAlignment="1" applyProtection="1">
      <alignment horizontal="center" vertical="center"/>
    </xf>
    <xf numFmtId="0" fontId="3" fillId="30" borderId="141" xfId="224" applyFont="1" applyFill="1" applyBorder="1" applyAlignment="1" applyProtection="1">
      <alignment horizontal="center" vertical="center"/>
    </xf>
    <xf numFmtId="0" fontId="3" fillId="30" borderId="174" xfId="224" applyFont="1" applyFill="1" applyBorder="1" applyAlignment="1" applyProtection="1">
      <alignment horizontal="center" vertical="center"/>
    </xf>
    <xf numFmtId="0" fontId="36" fillId="30" borderId="21" xfId="224" applyFont="1" applyFill="1" applyBorder="1" applyAlignment="1" applyProtection="1">
      <alignment horizontal="center" vertical="center"/>
    </xf>
    <xf numFmtId="0" fontId="36" fillId="30" borderId="22" xfId="224" applyFont="1" applyFill="1" applyBorder="1" applyAlignment="1" applyProtection="1">
      <alignment horizontal="center" vertical="center"/>
    </xf>
    <xf numFmtId="0" fontId="36" fillId="30" borderId="23" xfId="224" applyFont="1" applyFill="1" applyBorder="1" applyAlignment="1" applyProtection="1">
      <alignment horizontal="center" vertical="center"/>
    </xf>
    <xf numFmtId="0" fontId="3" fillId="30" borderId="21" xfId="224" applyFont="1" applyFill="1" applyBorder="1" applyAlignment="1" applyProtection="1">
      <alignment horizontal="center" vertical="center"/>
    </xf>
    <xf numFmtId="0" fontId="3" fillId="30" borderId="59" xfId="224" applyFont="1" applyFill="1" applyBorder="1" applyAlignment="1" applyProtection="1">
      <alignment horizontal="center" vertical="center"/>
    </xf>
    <xf numFmtId="0" fontId="3" fillId="30" borderId="60" xfId="224" applyFont="1" applyFill="1" applyBorder="1" applyAlignment="1" applyProtection="1">
      <alignment horizontal="center" vertical="center"/>
    </xf>
    <xf numFmtId="0" fontId="3" fillId="30" borderId="61" xfId="224" applyFont="1" applyFill="1" applyBorder="1" applyAlignment="1" applyProtection="1">
      <alignment horizontal="center" vertical="center"/>
    </xf>
    <xf numFmtId="0" fontId="3" fillId="30" borderId="62" xfId="224" applyFont="1" applyFill="1" applyBorder="1" applyAlignment="1" applyProtection="1">
      <alignment horizontal="center" vertical="center"/>
    </xf>
    <xf numFmtId="0" fontId="3" fillId="30" borderId="23" xfId="224" applyFont="1" applyFill="1" applyBorder="1" applyAlignment="1" applyProtection="1">
      <alignment horizontal="center" vertical="center"/>
    </xf>
    <xf numFmtId="0" fontId="3" fillId="30" borderId="27" xfId="224" applyFont="1" applyFill="1" applyBorder="1" applyProtection="1"/>
    <xf numFmtId="0" fontId="2" fillId="30" borderId="28" xfId="224" applyFill="1" applyBorder="1" applyProtection="1"/>
    <xf numFmtId="0" fontId="2" fillId="30" borderId="195" xfId="224" applyFill="1" applyBorder="1" applyProtection="1"/>
    <xf numFmtId="0" fontId="2" fillId="30" borderId="196" xfId="224" applyFill="1" applyBorder="1" applyProtection="1"/>
    <xf numFmtId="0" fontId="2" fillId="30" borderId="51" xfId="224" applyFill="1" applyBorder="1" applyProtection="1"/>
    <xf numFmtId="0" fontId="2" fillId="30" borderId="37" xfId="224" applyFill="1" applyBorder="1" applyProtection="1"/>
    <xf numFmtId="0" fontId="3" fillId="30" borderId="27" xfId="224" applyFont="1" applyFill="1" applyBorder="1" applyAlignment="1" applyProtection="1">
      <alignment horizontal="right"/>
    </xf>
    <xf numFmtId="0" fontId="3" fillId="30" borderId="28" xfId="224" applyFont="1" applyFill="1" applyBorder="1" applyProtection="1"/>
    <xf numFmtId="0" fontId="3" fillId="30" borderId="195" xfId="224" applyFont="1" applyFill="1" applyBorder="1" applyProtection="1"/>
    <xf numFmtId="0" fontId="2" fillId="30" borderId="27" xfId="224" applyFill="1" applyBorder="1" applyProtection="1"/>
    <xf numFmtId="0" fontId="2" fillId="30" borderId="28" xfId="224" applyFill="1" applyBorder="1" applyAlignment="1" applyProtection="1">
      <alignment horizontal="right"/>
    </xf>
    <xf numFmtId="3" fontId="38" fillId="30" borderId="195" xfId="263" applyNumberFormat="1" applyFont="1" applyFill="1" applyBorder="1" applyAlignment="1" applyProtection="1">
      <alignment horizontal="right"/>
    </xf>
    <xf numFmtId="2" fontId="2" fillId="30" borderId="196" xfId="224" applyNumberFormat="1" applyFill="1" applyBorder="1" applyProtection="1"/>
    <xf numFmtId="2" fontId="2" fillId="30" borderId="51" xfId="224" applyNumberFormat="1" applyFill="1" applyBorder="1" applyProtection="1"/>
    <xf numFmtId="178" fontId="2" fillId="30" borderId="196" xfId="224" applyNumberFormat="1" applyFill="1" applyBorder="1" applyProtection="1"/>
    <xf numFmtId="178" fontId="2" fillId="30" borderId="51" xfId="224" applyNumberFormat="1" applyFill="1" applyBorder="1" applyProtection="1"/>
    <xf numFmtId="178" fontId="2" fillId="30" borderId="28" xfId="224" applyNumberFormat="1" applyFill="1" applyBorder="1" applyProtection="1"/>
    <xf numFmtId="178" fontId="2" fillId="30" borderId="195" xfId="224" applyNumberFormat="1" applyFill="1" applyBorder="1" applyProtection="1"/>
    <xf numFmtId="4" fontId="2" fillId="30" borderId="196" xfId="224" applyNumberFormat="1" applyFill="1" applyBorder="1" applyProtection="1"/>
    <xf numFmtId="4" fontId="2" fillId="30" borderId="51" xfId="224" applyNumberFormat="1" applyFill="1" applyBorder="1" applyProtection="1"/>
    <xf numFmtId="4" fontId="2" fillId="30" borderId="28" xfId="224" applyNumberFormat="1" applyFill="1" applyBorder="1" applyProtection="1"/>
    <xf numFmtId="4" fontId="2" fillId="30" borderId="195" xfId="224" applyNumberFormat="1" applyFill="1" applyBorder="1" applyProtection="1"/>
    <xf numFmtId="0" fontId="3" fillId="30" borderId="0" xfId="224" applyFont="1" applyFill="1" applyProtection="1"/>
    <xf numFmtId="0" fontId="2" fillId="30" borderId="195" xfId="224" applyFill="1" applyBorder="1" applyAlignment="1" applyProtection="1">
      <alignment horizontal="right"/>
    </xf>
    <xf numFmtId="0" fontId="3" fillId="30" borderId="28" xfId="224" applyFont="1" applyFill="1" applyBorder="1" applyAlignment="1" applyProtection="1">
      <alignment wrapText="1"/>
    </xf>
    <xf numFmtId="4" fontId="2" fillId="30" borderId="40" xfId="224" applyNumberFormat="1" applyFill="1" applyBorder="1" applyProtection="1"/>
    <xf numFmtId="167" fontId="2" fillId="30" borderId="15" xfId="263" applyNumberFormat="1" applyFill="1" applyBorder="1" applyProtection="1"/>
    <xf numFmtId="167" fontId="2" fillId="30" borderId="48" xfId="263" applyNumberFormat="1" applyFill="1" applyBorder="1" applyProtection="1"/>
    <xf numFmtId="167" fontId="2" fillId="30" borderId="40" xfId="263" applyNumberFormat="1" applyFill="1" applyBorder="1" applyProtection="1"/>
    <xf numFmtId="0" fontId="3" fillId="30" borderId="27" xfId="224" applyFont="1" applyFill="1" applyBorder="1" applyAlignment="1" applyProtection="1">
      <alignment vertical="center"/>
    </xf>
    <xf numFmtId="3" fontId="38" fillId="30" borderId="195" xfId="263" applyNumberFormat="1" applyFont="1" applyFill="1" applyBorder="1" applyAlignment="1" applyProtection="1">
      <alignment horizontal="right" vertical="center"/>
    </xf>
    <xf numFmtId="0" fontId="3" fillId="30" borderId="28" xfId="224" applyFont="1" applyFill="1" applyBorder="1" applyAlignment="1" applyProtection="1">
      <alignment vertical="center"/>
    </xf>
    <xf numFmtId="0" fontId="3" fillId="30" borderId="32" xfId="224" applyFont="1" applyFill="1" applyBorder="1" applyAlignment="1" applyProtection="1">
      <alignment horizontal="right" vertical="center"/>
    </xf>
    <xf numFmtId="167" fontId="2" fillId="30" borderId="15" xfId="263" applyNumberFormat="1" applyFill="1" applyBorder="1" applyAlignment="1" applyProtection="1">
      <alignment vertical="center"/>
    </xf>
    <xf numFmtId="167" fontId="2" fillId="30" borderId="48" xfId="263" applyNumberFormat="1" applyFill="1" applyBorder="1" applyAlignment="1" applyProtection="1">
      <alignment vertical="center"/>
    </xf>
    <xf numFmtId="167" fontId="2" fillId="30" borderId="40" xfId="263" applyNumberFormat="1" applyFill="1" applyBorder="1" applyAlignment="1" applyProtection="1">
      <alignment vertical="center"/>
    </xf>
    <xf numFmtId="167" fontId="2" fillId="30" borderId="39" xfId="263" applyNumberFormat="1" applyFill="1" applyBorder="1" applyAlignment="1" applyProtection="1">
      <alignment vertical="center"/>
    </xf>
    <xf numFmtId="0" fontId="3" fillId="30" borderId="15" xfId="224" applyFont="1" applyFill="1" applyBorder="1" applyAlignment="1" applyProtection="1">
      <alignment horizontal="right" vertical="center"/>
    </xf>
    <xf numFmtId="0" fontId="3" fillId="30" borderId="28" xfId="224" applyFont="1" applyFill="1" applyBorder="1" applyAlignment="1" applyProtection="1">
      <alignment vertical="center" wrapText="1"/>
    </xf>
    <xf numFmtId="0" fontId="2" fillId="30" borderId="0" xfId="224" applyFill="1" applyAlignment="1" applyProtection="1">
      <alignment vertical="top"/>
    </xf>
    <xf numFmtId="0" fontId="2" fillId="30" borderId="21" xfId="224" applyFill="1" applyBorder="1" applyProtection="1"/>
    <xf numFmtId="0" fontId="2" fillId="30" borderId="23" xfId="224" applyFill="1" applyBorder="1" applyAlignment="1" applyProtection="1">
      <alignment horizontal="right"/>
    </xf>
    <xf numFmtId="4" fontId="81" fillId="30" borderId="194" xfId="224" applyNumberFormat="1" applyFont="1" applyFill="1" applyBorder="1" applyProtection="1"/>
    <xf numFmtId="4" fontId="81" fillId="30" borderId="61" xfId="224" applyNumberFormat="1" applyFont="1" applyFill="1" applyBorder="1" applyProtection="1"/>
    <xf numFmtId="4" fontId="81" fillId="30" borderId="22" xfId="224" applyNumberFormat="1" applyFont="1" applyFill="1" applyBorder="1" applyProtection="1"/>
    <xf numFmtId="4" fontId="81" fillId="30" borderId="23" xfId="224" applyNumberFormat="1" applyFont="1" applyFill="1" applyBorder="1" applyProtection="1"/>
    <xf numFmtId="0" fontId="2" fillId="30" borderId="16" xfId="224" applyFill="1" applyBorder="1" applyProtection="1"/>
    <xf numFmtId="0" fontId="2" fillId="30" borderId="198" xfId="224" applyFill="1" applyBorder="1" applyProtection="1"/>
    <xf numFmtId="4" fontId="2" fillId="30" borderId="198" xfId="224" applyNumberFormat="1" applyFill="1" applyBorder="1" applyProtection="1"/>
    <xf numFmtId="167" fontId="2" fillId="30" borderId="199" xfId="263" applyNumberFormat="1" applyFill="1" applyBorder="1" applyProtection="1"/>
    <xf numFmtId="4" fontId="2" fillId="30" borderId="199" xfId="263" applyNumberFormat="1" applyFill="1" applyBorder="1" applyAlignment="1" applyProtection="1"/>
    <xf numFmtId="4" fontId="81" fillId="30" borderId="189" xfId="224" applyNumberFormat="1" applyFont="1" applyFill="1" applyBorder="1" applyProtection="1"/>
    <xf numFmtId="176" fontId="0" fillId="30" borderId="87" xfId="0" applyNumberFormat="1" applyFill="1" applyBorder="1" applyAlignment="1">
      <alignment horizontal="right" vertical="center"/>
    </xf>
    <xf numFmtId="176" fontId="0" fillId="30" borderId="91" xfId="0" applyNumberFormat="1" applyFill="1" applyBorder="1" applyAlignment="1">
      <alignment horizontal="right" vertical="center"/>
    </xf>
    <xf numFmtId="0" fontId="0" fillId="30" borderId="0" xfId="0" applyFill="1" applyAlignment="1">
      <alignment horizontal="left" vertical="center"/>
    </xf>
    <xf numFmtId="176" fontId="0" fillId="30" borderId="52" xfId="0" applyNumberFormat="1" applyFill="1" applyBorder="1" applyAlignment="1" applyProtection="1">
      <alignment horizontal="right" vertical="center"/>
      <protection locked="0"/>
    </xf>
    <xf numFmtId="176" fontId="0" fillId="30" borderId="81" xfId="0" applyNumberFormat="1" applyFill="1" applyBorder="1" applyAlignment="1" applyProtection="1">
      <alignment horizontal="right" vertical="center"/>
      <protection locked="0"/>
    </xf>
    <xf numFmtId="0" fontId="65" fillId="30" borderId="217" xfId="0" applyFont="1" applyFill="1" applyBorder="1" applyAlignment="1">
      <alignment horizontal="center" vertical="center"/>
    </xf>
    <xf numFmtId="0" fontId="65" fillId="30" borderId="218" xfId="0" applyFont="1" applyFill="1" applyBorder="1" applyAlignment="1">
      <alignment horizontal="center" vertical="center"/>
    </xf>
    <xf numFmtId="0" fontId="65" fillId="30" borderId="219" xfId="0" applyFont="1" applyFill="1" applyBorder="1" applyAlignment="1">
      <alignment horizontal="center" vertical="center"/>
    </xf>
    <xf numFmtId="0" fontId="65" fillId="30" borderId="220" xfId="0" applyFont="1" applyFill="1" applyBorder="1" applyAlignment="1">
      <alignment horizontal="center" vertical="center"/>
    </xf>
    <xf numFmtId="0" fontId="65" fillId="30" borderId="221" xfId="0" applyFont="1" applyFill="1" applyBorder="1" applyAlignment="1">
      <alignment horizontal="center" vertical="center"/>
    </xf>
    <xf numFmtId="10" fontId="65" fillId="30" borderId="222" xfId="158" applyNumberFormat="1" applyFont="1" applyFill="1" applyBorder="1" applyAlignment="1">
      <alignment horizontal="center" vertical="center"/>
    </xf>
    <xf numFmtId="10" fontId="65" fillId="30" borderId="223" xfId="158" applyNumberFormat="1" applyFont="1" applyFill="1" applyBorder="1" applyAlignment="1">
      <alignment horizontal="center" vertical="center"/>
    </xf>
    <xf numFmtId="10" fontId="65" fillId="30" borderId="224" xfId="158" applyNumberFormat="1" applyFont="1" applyFill="1" applyBorder="1" applyAlignment="1">
      <alignment horizontal="center" vertical="center"/>
    </xf>
    <xf numFmtId="10" fontId="65" fillId="30" borderId="225" xfId="158" applyNumberFormat="1" applyFont="1" applyFill="1" applyBorder="1" applyAlignment="1">
      <alignment horizontal="center" vertical="center"/>
    </xf>
    <xf numFmtId="0" fontId="89" fillId="0" borderId="0" xfId="224" applyFont="1" applyFill="1" applyAlignment="1" applyProtection="1">
      <alignment vertical="center"/>
    </xf>
    <xf numFmtId="0" fontId="3" fillId="30" borderId="140" xfId="224" applyFont="1" applyFill="1" applyBorder="1" applyAlignment="1" applyProtection="1">
      <alignment horizontal="center" vertical="center"/>
    </xf>
    <xf numFmtId="0" fontId="3" fillId="30" borderId="141" xfId="224" applyFont="1" applyFill="1" applyBorder="1" applyAlignment="1" applyProtection="1">
      <alignment horizontal="center" vertical="center"/>
    </xf>
    <xf numFmtId="0" fontId="3" fillId="30" borderId="21" xfId="224" applyFont="1" applyFill="1" applyBorder="1" applyAlignment="1" applyProtection="1">
      <alignment horizontal="center" vertical="center"/>
    </xf>
    <xf numFmtId="0" fontId="36" fillId="30" borderId="21" xfId="224" applyFont="1" applyFill="1" applyBorder="1" applyAlignment="1" applyProtection="1">
      <alignment horizontal="center" vertical="center"/>
    </xf>
    <xf numFmtId="0" fontId="36" fillId="30" borderId="22" xfId="224" applyFont="1" applyFill="1" applyBorder="1" applyAlignment="1" applyProtection="1">
      <alignment horizontal="center" vertical="center"/>
    </xf>
    <xf numFmtId="0" fontId="36" fillId="30" borderId="23" xfId="224" applyFont="1" applyFill="1" applyBorder="1" applyAlignment="1" applyProtection="1">
      <alignment horizontal="center" vertical="center"/>
    </xf>
    <xf numFmtId="0" fontId="62" fillId="30" borderId="0" xfId="0" applyFont="1" applyFill="1" applyAlignment="1" applyProtection="1">
      <alignment horizontal="left"/>
      <protection locked="0"/>
    </xf>
    <xf numFmtId="0" fontId="62" fillId="30" borderId="0" xfId="0" applyFont="1" applyFill="1" applyAlignment="1" applyProtection="1">
      <protection locked="0"/>
    </xf>
    <xf numFmtId="0" fontId="59" fillId="30" borderId="0" xfId="0" applyFont="1" applyFill="1" applyAlignment="1" applyProtection="1">
      <alignment horizontal="right" vertical="top"/>
    </xf>
    <xf numFmtId="0" fontId="59" fillId="30" borderId="0" xfId="0" applyFont="1" applyFill="1" applyAlignment="1" applyProtection="1">
      <alignment vertical="top"/>
    </xf>
    <xf numFmtId="0" fontId="59" fillId="30" borderId="0" xfId="0" applyFont="1" applyFill="1" applyAlignment="1" applyProtection="1">
      <alignment horizontal="right"/>
    </xf>
    <xf numFmtId="0" fontId="59" fillId="30" borderId="0" xfId="0" applyFont="1" applyFill="1" applyAlignment="1" applyProtection="1">
      <alignment horizontal="center"/>
    </xf>
    <xf numFmtId="0" fontId="59" fillId="30" borderId="0" xfId="0" applyFont="1" applyFill="1" applyProtection="1"/>
    <xf numFmtId="0" fontId="0" fillId="30" borderId="0" xfId="0" applyFill="1" applyAlignment="1" applyProtection="1">
      <alignment vertical="top"/>
    </xf>
    <xf numFmtId="0" fontId="0" fillId="30" borderId="0" xfId="0" applyFill="1" applyAlignment="1" applyProtection="1">
      <alignment horizontal="right"/>
    </xf>
    <xf numFmtId="0" fontId="59" fillId="30" borderId="0" xfId="0" applyFont="1" applyFill="1" applyAlignment="1" applyProtection="1">
      <alignment vertical="center"/>
    </xf>
    <xf numFmtId="0" fontId="78" fillId="30" borderId="181" xfId="0" applyFont="1" applyFill="1" applyBorder="1" applyAlignment="1" applyProtection="1">
      <alignment horizontal="left" vertical="center" wrapText="1"/>
    </xf>
    <xf numFmtId="0" fontId="0" fillId="30" borderId="0" xfId="0" applyFill="1" applyAlignment="1" applyProtection="1">
      <alignment horizontal="left" vertical="top"/>
    </xf>
    <xf numFmtId="0" fontId="0" fillId="30" borderId="16" xfId="0" applyFill="1" applyBorder="1" applyProtection="1"/>
    <xf numFmtId="0" fontId="0" fillId="30" borderId="0" xfId="0" applyFill="1" applyAlignment="1" applyProtection="1">
      <alignment horizontal="left"/>
    </xf>
    <xf numFmtId="0" fontId="0" fillId="30" borderId="22" xfId="0" applyFill="1" applyBorder="1" applyProtection="1"/>
    <xf numFmtId="0" fontId="62" fillId="30" borderId="0" xfId="0" applyFont="1" applyFill="1" applyProtection="1"/>
    <xf numFmtId="0" fontId="62" fillId="30" borderId="0" xfId="0" applyFont="1" applyFill="1" applyAlignment="1" applyProtection="1">
      <alignment vertical="top"/>
    </xf>
    <xf numFmtId="0" fontId="62" fillId="30" borderId="0" xfId="0" applyFont="1" applyFill="1" applyAlignment="1" applyProtection="1">
      <alignment horizontal="right"/>
    </xf>
    <xf numFmtId="0" fontId="62" fillId="30" borderId="0" xfId="0" applyFont="1" applyFill="1" applyAlignment="1" applyProtection="1">
      <alignment horizontal="center" vertical="center"/>
    </xf>
    <xf numFmtId="181" fontId="62" fillId="30" borderId="191" xfId="0" applyNumberFormat="1" applyFont="1" applyFill="1" applyBorder="1" applyProtection="1"/>
    <xf numFmtId="181" fontId="62" fillId="30" borderId="187" xfId="0" applyNumberFormat="1" applyFont="1" applyFill="1" applyBorder="1" applyProtection="1"/>
    <xf numFmtId="0" fontId="78" fillId="30" borderId="0" xfId="0" applyFont="1" applyFill="1" applyBorder="1" applyAlignment="1" applyProtection="1">
      <alignment horizontal="left" vertical="center" wrapText="1"/>
    </xf>
    <xf numFmtId="0" fontId="59" fillId="30" borderId="226" xfId="0" applyFont="1" applyFill="1" applyBorder="1" applyAlignment="1" applyProtection="1">
      <alignment horizontal="center" vertical="center"/>
    </xf>
    <xf numFmtId="0" fontId="59" fillId="30" borderId="226" xfId="0" applyFont="1" applyFill="1" applyBorder="1" applyAlignment="1" applyProtection="1">
      <alignment horizontal="center" vertical="center" wrapText="1"/>
    </xf>
    <xf numFmtId="0" fontId="0" fillId="30" borderId="0" xfId="0" applyFill="1" applyBorder="1" applyProtection="1"/>
    <xf numFmtId="0" fontId="0" fillId="30" borderId="193" xfId="0" applyFill="1" applyBorder="1" applyProtection="1"/>
    <xf numFmtId="0" fontId="0" fillId="46" borderId="234" xfId="0" applyFill="1" applyBorder="1" applyAlignment="1" applyProtection="1">
      <alignment vertical="top"/>
    </xf>
    <xf numFmtId="0" fontId="0" fillId="46" borderId="234" xfId="0" applyFill="1" applyBorder="1" applyProtection="1"/>
    <xf numFmtId="0" fontId="0" fillId="46" borderId="235" xfId="0" applyFill="1" applyBorder="1" applyAlignment="1" applyProtection="1">
      <alignment horizontal="right"/>
    </xf>
    <xf numFmtId="0" fontId="0" fillId="46" borderId="0" xfId="0" applyFill="1" applyBorder="1" applyAlignment="1" applyProtection="1">
      <alignment vertical="top"/>
    </xf>
    <xf numFmtId="0" fontId="0" fillId="46" borderId="0" xfId="0" applyFill="1" applyBorder="1" applyProtection="1"/>
    <xf numFmtId="0" fontId="0" fillId="46" borderId="181" xfId="0" applyFill="1" applyBorder="1" applyAlignment="1" applyProtection="1">
      <alignment horizontal="right"/>
    </xf>
    <xf numFmtId="0" fontId="0" fillId="46" borderId="22" xfId="0" applyFill="1" applyBorder="1" applyProtection="1"/>
    <xf numFmtId="0" fontId="0" fillId="46" borderId="23" xfId="0" applyFill="1" applyBorder="1" applyAlignment="1" applyProtection="1">
      <alignment horizontal="right"/>
    </xf>
    <xf numFmtId="0" fontId="0" fillId="46" borderId="236" xfId="0" applyFill="1" applyBorder="1" applyAlignment="1" applyProtection="1">
      <alignment horizontal="right"/>
    </xf>
    <xf numFmtId="0" fontId="0" fillId="46" borderId="234" xfId="0" applyFill="1" applyBorder="1" applyAlignment="1" applyProtection="1">
      <alignment horizontal="right"/>
    </xf>
    <xf numFmtId="0" fontId="0" fillId="46" borderId="16" xfId="0" applyFill="1" applyBorder="1" applyAlignment="1" applyProtection="1">
      <alignment horizontal="right"/>
    </xf>
    <xf numFmtId="0" fontId="0" fillId="46" borderId="0" xfId="0" applyFill="1" applyBorder="1" applyAlignment="1" applyProtection="1">
      <alignment horizontal="right"/>
    </xf>
    <xf numFmtId="0" fontId="0" fillId="46" borderId="21" xfId="0" applyFill="1" applyBorder="1" applyAlignment="1" applyProtection="1">
      <alignment horizontal="right"/>
    </xf>
    <xf numFmtId="0" fontId="0" fillId="46" borderId="22" xfId="0" applyFill="1" applyBorder="1" applyAlignment="1" applyProtection="1">
      <alignment horizontal="right"/>
    </xf>
    <xf numFmtId="0" fontId="78" fillId="46" borderId="193" xfId="0" applyFont="1" applyFill="1" applyBorder="1" applyAlignment="1" applyProtection="1">
      <alignment horizontal="center" vertical="center"/>
    </xf>
    <xf numFmtId="0" fontId="78" fillId="46" borderId="192" xfId="0" applyFont="1" applyFill="1" applyBorder="1" applyAlignment="1" applyProtection="1">
      <alignment horizontal="center" vertical="center"/>
    </xf>
    <xf numFmtId="0" fontId="78" fillId="46" borderId="181" xfId="0" applyFont="1" applyFill="1" applyBorder="1" applyAlignment="1" applyProtection="1">
      <alignment horizontal="center" vertical="center"/>
    </xf>
    <xf numFmtId="0" fontId="78" fillId="46" borderId="193" xfId="0" applyFont="1" applyFill="1" applyBorder="1" applyAlignment="1" applyProtection="1">
      <alignment horizontal="center" vertical="center" wrapText="1"/>
    </xf>
    <xf numFmtId="0" fontId="78" fillId="46" borderId="192" xfId="0" applyFont="1" applyFill="1" applyBorder="1" applyAlignment="1" applyProtection="1">
      <alignment horizontal="center" vertical="center" wrapText="1"/>
    </xf>
    <xf numFmtId="0" fontId="78" fillId="46" borderId="191" xfId="0" applyFont="1" applyFill="1" applyBorder="1" applyAlignment="1" applyProtection="1">
      <alignment horizontal="center" vertical="center" wrapText="1"/>
    </xf>
    <xf numFmtId="0" fontId="78" fillId="46" borderId="190" xfId="0" applyFont="1" applyFill="1" applyBorder="1" applyAlignment="1" applyProtection="1">
      <alignment horizontal="center" vertical="center" wrapText="1"/>
    </xf>
    <xf numFmtId="0" fontId="59" fillId="46" borderId="230" xfId="0" applyFont="1" applyFill="1" applyBorder="1" applyAlignment="1" applyProtection="1">
      <alignment horizontal="center" vertical="center" wrapText="1"/>
    </xf>
    <xf numFmtId="0" fontId="59" fillId="46" borderId="231" xfId="0" applyFont="1" applyFill="1" applyBorder="1" applyAlignment="1" applyProtection="1">
      <alignment horizontal="center" vertical="center" wrapText="1"/>
    </xf>
    <xf numFmtId="0" fontId="59" fillId="46" borderId="232" xfId="0" applyFont="1" applyFill="1" applyBorder="1" applyAlignment="1" applyProtection="1">
      <alignment horizontal="center" vertical="center" wrapText="1"/>
    </xf>
    <xf numFmtId="9" fontId="0" fillId="46" borderId="192" xfId="0" applyNumberFormat="1" applyFill="1" applyBorder="1" applyAlignment="1" applyProtection="1">
      <alignment horizontal="center" vertical="center"/>
    </xf>
    <xf numFmtId="0" fontId="0" fillId="46" borderId="191" xfId="0" applyFill="1" applyBorder="1" applyAlignment="1" applyProtection="1">
      <alignment horizontal="center" vertical="center"/>
    </xf>
    <xf numFmtId="0" fontId="0" fillId="46" borderId="190" xfId="0" applyFill="1" applyBorder="1" applyAlignment="1" applyProtection="1">
      <alignment horizontal="center" vertical="center"/>
    </xf>
    <xf numFmtId="0" fontId="65" fillId="46" borderId="192" xfId="0" applyFont="1" applyFill="1" applyBorder="1" applyAlignment="1" applyProtection="1">
      <alignment horizontal="center" vertical="center"/>
    </xf>
    <xf numFmtId="0" fontId="65" fillId="46" borderId="191" xfId="0" applyFont="1" applyFill="1" applyBorder="1" applyAlignment="1" applyProtection="1">
      <alignment horizontal="center" vertical="center"/>
    </xf>
    <xf numFmtId="0" fontId="65" fillId="46" borderId="190" xfId="0" applyFont="1" applyFill="1" applyBorder="1" applyAlignment="1" applyProtection="1">
      <alignment horizontal="center" vertical="center"/>
    </xf>
    <xf numFmtId="0" fontId="0" fillId="46" borderId="191" xfId="0" applyFill="1" applyBorder="1" applyAlignment="1" applyProtection="1">
      <alignment horizontal="center"/>
    </xf>
    <xf numFmtId="0" fontId="0" fillId="46" borderId="190" xfId="0" applyFill="1" applyBorder="1" applyAlignment="1" applyProtection="1">
      <alignment horizontal="center"/>
    </xf>
    <xf numFmtId="0" fontId="0" fillId="46" borderId="192" xfId="0" applyFill="1" applyBorder="1" applyAlignment="1" applyProtection="1">
      <alignment horizontal="center" vertical="center"/>
    </xf>
    <xf numFmtId="0" fontId="59" fillId="46" borderId="192" xfId="0" applyFont="1" applyFill="1" applyBorder="1" applyAlignment="1" applyProtection="1">
      <alignment horizontal="center" vertical="center" wrapText="1"/>
    </xf>
    <xf numFmtId="0" fontId="59" fillId="46" borderId="191" xfId="0" applyFont="1" applyFill="1" applyBorder="1" applyAlignment="1" applyProtection="1">
      <alignment horizontal="center" vertical="center" wrapText="1"/>
    </xf>
    <xf numFmtId="0" fontId="59" fillId="46" borderId="190" xfId="0" applyFont="1" applyFill="1" applyBorder="1" applyAlignment="1" applyProtection="1">
      <alignment horizontal="center" vertical="center" wrapText="1"/>
    </xf>
    <xf numFmtId="9" fontId="0" fillId="46" borderId="188" xfId="0" applyNumberFormat="1" applyFill="1" applyBorder="1" applyAlignment="1" applyProtection="1">
      <alignment horizontal="center" vertical="center"/>
    </xf>
    <xf numFmtId="0" fontId="0" fillId="46" borderId="187" xfId="0" applyFill="1" applyBorder="1" applyAlignment="1" applyProtection="1">
      <alignment horizontal="center" vertical="center"/>
    </xf>
    <xf numFmtId="0" fontId="0" fillId="46" borderId="186" xfId="0" applyFill="1" applyBorder="1" applyAlignment="1" applyProtection="1">
      <alignment horizontal="center" vertical="center"/>
    </xf>
    <xf numFmtId="0" fontId="62" fillId="46" borderId="228" xfId="0" applyFont="1" applyFill="1" applyBorder="1" applyAlignment="1" applyProtection="1">
      <alignment horizontal="right"/>
    </xf>
    <xf numFmtId="0" fontId="62" fillId="46" borderId="226" xfId="0" applyFont="1" applyFill="1" applyBorder="1" applyAlignment="1" applyProtection="1">
      <alignment horizontal="right"/>
    </xf>
    <xf numFmtId="0" fontId="62" fillId="46" borderId="229" xfId="0" applyFont="1" applyFill="1" applyBorder="1" applyAlignment="1" applyProtection="1">
      <alignment horizontal="right"/>
    </xf>
    <xf numFmtId="0" fontId="0" fillId="46" borderId="234" xfId="0" applyFont="1" applyFill="1" applyBorder="1" applyAlignment="1" applyProtection="1">
      <alignment vertical="top"/>
    </xf>
    <xf numFmtId="0" fontId="0" fillId="46" borderId="0" xfId="0" applyFont="1" applyFill="1" applyBorder="1" applyAlignment="1" applyProtection="1">
      <alignment vertical="top"/>
    </xf>
    <xf numFmtId="0" fontId="0" fillId="46" borderId="22" xfId="0" applyFont="1" applyFill="1" applyBorder="1" applyAlignment="1" applyProtection="1">
      <alignment vertical="top"/>
    </xf>
    <xf numFmtId="0" fontId="0" fillId="46" borderId="233" xfId="0" applyFill="1" applyBorder="1" applyProtection="1"/>
    <xf numFmtId="0" fontId="0" fillId="46" borderId="193" xfId="0" applyFill="1" applyBorder="1" applyProtection="1"/>
    <xf numFmtId="0" fontId="0" fillId="46" borderId="245" xfId="0" applyFill="1" applyBorder="1" applyProtection="1"/>
    <xf numFmtId="0" fontId="0" fillId="46" borderId="232" xfId="0" applyFill="1" applyBorder="1" applyAlignment="1" applyProtection="1">
      <alignment horizontal="center" vertical="center"/>
    </xf>
    <xf numFmtId="0" fontId="0" fillId="46" borderId="241" xfId="0" applyFill="1" applyBorder="1" applyAlignment="1" applyProtection="1">
      <alignment horizontal="center" vertical="center"/>
    </xf>
    <xf numFmtId="0" fontId="0" fillId="46" borderId="243" xfId="0" applyFill="1" applyBorder="1" applyAlignment="1" applyProtection="1">
      <alignment vertical="top"/>
    </xf>
    <xf numFmtId="0" fontId="0" fillId="46" borderId="243" xfId="0" applyFill="1" applyBorder="1" applyProtection="1"/>
    <xf numFmtId="0" fontId="0" fillId="46" borderId="244" xfId="0" applyFill="1" applyBorder="1" applyAlignment="1" applyProtection="1">
      <alignment horizontal="right"/>
    </xf>
    <xf numFmtId="0" fontId="0" fillId="46" borderId="231" xfId="0" applyFill="1" applyBorder="1" applyAlignment="1" applyProtection="1">
      <alignment horizontal="right" vertical="center"/>
    </xf>
    <xf numFmtId="0" fontId="0" fillId="46" borderId="191" xfId="0" applyFill="1" applyBorder="1" applyAlignment="1" applyProtection="1">
      <alignment horizontal="right" vertical="center"/>
    </xf>
    <xf numFmtId="0" fontId="0" fillId="46" borderId="240" xfId="0" applyFill="1" applyBorder="1" applyAlignment="1" applyProtection="1">
      <alignment horizontal="right" vertical="center"/>
    </xf>
    <xf numFmtId="0" fontId="0" fillId="46" borderId="231" xfId="0" applyFill="1" applyBorder="1" applyAlignment="1" applyProtection="1">
      <alignment horizontal="center" vertical="center"/>
    </xf>
    <xf numFmtId="0" fontId="0" fillId="46" borderId="240" xfId="0" applyFill="1" applyBorder="1" applyAlignment="1" applyProtection="1">
      <alignment horizontal="center" vertical="center"/>
    </xf>
    <xf numFmtId="0" fontId="0" fillId="46" borderId="230" xfId="0" applyFill="1" applyBorder="1" applyAlignment="1" applyProtection="1">
      <alignment horizontal="right" vertical="center"/>
    </xf>
    <xf numFmtId="0" fontId="0" fillId="46" borderId="192" xfId="0" applyFill="1" applyBorder="1" applyAlignment="1" applyProtection="1">
      <alignment horizontal="right" vertical="center"/>
    </xf>
    <xf numFmtId="0" fontId="0" fillId="46" borderId="239" xfId="0" applyFill="1" applyBorder="1" applyAlignment="1" applyProtection="1">
      <alignment horizontal="right" vertical="center"/>
    </xf>
    <xf numFmtId="0" fontId="59" fillId="30" borderId="0" xfId="0" applyFont="1" applyFill="1" applyBorder="1" applyAlignment="1" applyProtection="1">
      <alignment horizontal="center" vertical="center" wrapText="1"/>
    </xf>
    <xf numFmtId="0" fontId="78" fillId="30" borderId="0" xfId="0" applyFont="1" applyFill="1" applyBorder="1" applyAlignment="1" applyProtection="1">
      <alignment horizontal="center" vertical="center" wrapText="1"/>
    </xf>
    <xf numFmtId="0" fontId="62" fillId="30" borderId="240" xfId="0" applyFont="1" applyFill="1" applyBorder="1" applyAlignment="1" applyProtection="1">
      <alignment horizontal="center" vertical="center" wrapText="1"/>
    </xf>
    <xf numFmtId="0" fontId="62" fillId="30" borderId="248" xfId="0" applyFont="1" applyFill="1" applyBorder="1" applyAlignment="1" applyProtection="1">
      <alignment horizontal="center" vertical="center" wrapText="1"/>
    </xf>
    <xf numFmtId="0" fontId="73" fillId="30" borderId="0" xfId="0" applyFont="1" applyFill="1" applyBorder="1" applyAlignment="1" applyProtection="1">
      <alignment vertical="center"/>
    </xf>
    <xf numFmtId="0" fontId="73" fillId="30" borderId="181" xfId="0" applyFont="1" applyFill="1" applyBorder="1" applyAlignment="1" applyProtection="1">
      <alignment vertical="center"/>
    </xf>
    <xf numFmtId="0" fontId="62" fillId="30" borderId="241" xfId="0" applyFont="1" applyFill="1" applyBorder="1" applyAlignment="1" applyProtection="1">
      <alignment horizontal="center" vertical="center" wrapText="1"/>
    </xf>
    <xf numFmtId="0" fontId="62" fillId="30" borderId="228" xfId="0" applyFont="1" applyFill="1" applyBorder="1" applyAlignment="1" applyProtection="1">
      <alignment horizontal="center" vertical="center"/>
    </xf>
    <xf numFmtId="0" fontId="62" fillId="30" borderId="250" xfId="0" applyFont="1" applyFill="1" applyBorder="1" applyProtection="1"/>
    <xf numFmtId="0" fontId="62" fillId="30" borderId="236" xfId="0" applyFont="1" applyFill="1" applyBorder="1" applyAlignment="1" applyProtection="1">
      <alignment horizontal="center"/>
    </xf>
    <xf numFmtId="0" fontId="62" fillId="30" borderId="251" xfId="0" applyFont="1" applyFill="1" applyBorder="1" applyProtection="1"/>
    <xf numFmtId="0" fontId="62" fillId="30" borderId="16" xfId="0" applyFont="1" applyFill="1" applyBorder="1" applyAlignment="1" applyProtection="1">
      <alignment horizontal="center"/>
    </xf>
    <xf numFmtId="0" fontId="62" fillId="30" borderId="238" xfId="0" applyFont="1" applyFill="1" applyBorder="1" applyProtection="1"/>
    <xf numFmtId="0" fontId="62" fillId="30" borderId="242" xfId="0" applyFont="1" applyFill="1" applyBorder="1" applyAlignment="1" applyProtection="1">
      <alignment horizontal="center"/>
    </xf>
    <xf numFmtId="0" fontId="62" fillId="30" borderId="252" xfId="0" applyFont="1" applyFill="1" applyBorder="1" applyProtection="1"/>
    <xf numFmtId="0" fontId="0" fillId="46" borderId="236" xfId="0" applyFill="1" applyBorder="1" applyAlignment="1" applyProtection="1">
      <alignment horizontal="center" vertical="center"/>
    </xf>
    <xf numFmtId="0" fontId="0" fillId="46" borderId="235" xfId="0" applyFill="1" applyBorder="1" applyAlignment="1" applyProtection="1">
      <alignment horizontal="center" vertical="center"/>
    </xf>
    <xf numFmtId="0" fontId="0" fillId="46" borderId="16" xfId="0" applyFill="1" applyBorder="1" applyAlignment="1" applyProtection="1">
      <alignment horizontal="center" vertical="center"/>
    </xf>
    <xf numFmtId="0" fontId="0" fillId="46" borderId="181" xfId="0" applyFill="1" applyBorder="1" applyAlignment="1" applyProtection="1">
      <alignment horizontal="center" vertical="center"/>
    </xf>
    <xf numFmtId="0" fontId="0" fillId="46" borderId="242" xfId="0" applyFill="1" applyBorder="1" applyAlignment="1" applyProtection="1">
      <alignment horizontal="center" vertical="center"/>
    </xf>
    <xf numFmtId="0" fontId="0" fillId="46" borderId="244" xfId="0" applyFill="1" applyBorder="1" applyAlignment="1" applyProtection="1">
      <alignment horizontal="center" vertical="center"/>
    </xf>
    <xf numFmtId="0" fontId="0" fillId="46" borderId="236" xfId="0" applyFill="1" applyBorder="1" applyProtection="1"/>
    <xf numFmtId="0" fontId="0" fillId="46" borderId="235" xfId="0" applyFill="1" applyBorder="1" applyProtection="1"/>
    <xf numFmtId="0" fontId="0" fillId="46" borderId="16" xfId="0" applyFill="1" applyBorder="1" applyProtection="1"/>
    <xf numFmtId="0" fontId="0" fillId="46" borderId="181" xfId="0" applyFill="1" applyBorder="1" applyProtection="1"/>
    <xf numFmtId="0" fontId="0" fillId="46" borderId="242" xfId="0" applyFill="1" applyBorder="1" applyProtection="1"/>
    <xf numFmtId="0" fontId="0" fillId="46" borderId="244" xfId="0" applyFill="1" applyBorder="1" applyProtection="1"/>
    <xf numFmtId="167" fontId="0" fillId="30" borderId="193" xfId="0" applyNumberFormat="1" applyFill="1" applyBorder="1" applyAlignment="1" applyProtection="1">
      <alignment horizontal="right"/>
      <protection locked="0"/>
    </xf>
    <xf numFmtId="167" fontId="0" fillId="30" borderId="192" xfId="0" applyNumberFormat="1" applyFill="1" applyBorder="1" applyAlignment="1" applyProtection="1">
      <alignment horizontal="right" vertical="center"/>
      <protection locked="0"/>
    </xf>
    <xf numFmtId="167" fontId="0" fillId="30" borderId="181" xfId="0" applyNumberFormat="1" applyFill="1" applyBorder="1" applyAlignment="1" applyProtection="1">
      <alignment horizontal="right" vertical="center"/>
      <protection locked="0"/>
    </xf>
    <xf numFmtId="167" fontId="62" fillId="30" borderId="237" xfId="0" applyNumberFormat="1" applyFont="1" applyFill="1" applyBorder="1" applyProtection="1"/>
    <xf numFmtId="167" fontId="62" fillId="30" borderId="190" xfId="0" applyNumberFormat="1" applyFont="1" applyFill="1" applyBorder="1" applyProtection="1"/>
    <xf numFmtId="167" fontId="62" fillId="30" borderId="248" xfId="0" applyNumberFormat="1" applyFont="1" applyFill="1" applyBorder="1" applyProtection="1"/>
    <xf numFmtId="167" fontId="62" fillId="30" borderId="241" xfId="0" applyNumberFormat="1" applyFont="1" applyFill="1" applyBorder="1" applyProtection="1"/>
    <xf numFmtId="0" fontId="0" fillId="30" borderId="0" xfId="0" quotePrefix="1" applyFont="1" applyFill="1" applyAlignment="1" applyProtection="1">
      <alignment horizontal="center"/>
      <protection locked="0"/>
    </xf>
    <xf numFmtId="0" fontId="0" fillId="30" borderId="0" xfId="0" applyFont="1" applyFill="1" applyAlignment="1" applyProtection="1">
      <alignment horizontal="center"/>
      <protection locked="0"/>
    </xf>
    <xf numFmtId="0" fontId="0" fillId="30" borderId="16" xfId="0" applyFont="1" applyFill="1" applyBorder="1" applyAlignment="1">
      <alignment horizontal="left" vertical="top"/>
    </xf>
    <xf numFmtId="0" fontId="0" fillId="30" borderId="181" xfId="0" applyFont="1" applyFill="1" applyBorder="1" applyAlignment="1">
      <alignment horizontal="left" vertical="top"/>
    </xf>
    <xf numFmtId="0" fontId="59" fillId="30" borderId="0" xfId="0" applyFont="1" applyFill="1" applyAlignment="1" applyProtection="1">
      <alignment horizontal="left" vertical="top"/>
    </xf>
    <xf numFmtId="0" fontId="62" fillId="30" borderId="0" xfId="0" applyFont="1" applyFill="1" applyAlignment="1" applyProtection="1">
      <alignment horizontal="left" vertical="top"/>
    </xf>
    <xf numFmtId="0" fontId="62" fillId="30" borderId="0" xfId="0" applyFont="1" applyFill="1" applyAlignment="1" applyProtection="1">
      <alignment horizontal="left"/>
    </xf>
    <xf numFmtId="0" fontId="75" fillId="30" borderId="0" xfId="0" applyFont="1" applyFill="1" applyAlignment="1" applyProtection="1">
      <alignment vertical="top"/>
    </xf>
    <xf numFmtId="0" fontId="75" fillId="30" borderId="0" xfId="0" applyFont="1" applyFill="1" applyProtection="1"/>
    <xf numFmtId="0" fontId="0" fillId="30" borderId="0" xfId="0" applyFill="1" applyAlignment="1">
      <alignment horizontal="right"/>
    </xf>
    <xf numFmtId="0" fontId="59" fillId="30" borderId="0" xfId="0" applyFont="1" applyFill="1" applyAlignment="1">
      <alignment horizontal="right" vertical="top"/>
    </xf>
    <xf numFmtId="0" fontId="0" fillId="30" borderId="0" xfId="0" applyFill="1" applyAlignment="1" applyProtection="1">
      <alignment horizontal="center"/>
      <protection locked="0"/>
    </xf>
    <xf numFmtId="0" fontId="62" fillId="30" borderId="0" xfId="0" applyFont="1" applyFill="1"/>
    <xf numFmtId="167" fontId="62" fillId="30" borderId="241" xfId="0" applyNumberFormat="1" applyFont="1" applyFill="1" applyBorder="1"/>
    <xf numFmtId="181" fontId="62" fillId="30" borderId="240" xfId="0" applyNumberFormat="1" applyFont="1" applyFill="1" applyBorder="1"/>
    <xf numFmtId="0" fontId="62" fillId="30" borderId="188" xfId="0" applyFont="1" applyFill="1" applyBorder="1" applyAlignment="1">
      <alignment horizontal="center"/>
    </xf>
    <xf numFmtId="167" fontId="62" fillId="30" borderId="190" xfId="0" applyNumberFormat="1" applyFont="1" applyFill="1" applyBorder="1"/>
    <xf numFmtId="181" fontId="62" fillId="30" borderId="191" xfId="0" applyNumberFormat="1" applyFont="1" applyFill="1" applyBorder="1"/>
    <xf numFmtId="0" fontId="62" fillId="30" borderId="192" xfId="0" applyFont="1" applyFill="1" applyBorder="1" applyAlignment="1">
      <alignment horizontal="center"/>
    </xf>
    <xf numFmtId="0" fontId="0" fillId="30" borderId="0" xfId="0" quotePrefix="1" applyFill="1" applyAlignment="1" applyProtection="1">
      <alignment horizontal="center"/>
      <protection locked="0"/>
    </xf>
    <xf numFmtId="0" fontId="62" fillId="30" borderId="0" xfId="0" applyFont="1" applyFill="1" applyAlignment="1">
      <alignment horizontal="right"/>
    </xf>
    <xf numFmtId="0" fontId="62" fillId="30" borderId="0" xfId="0" applyFont="1" applyFill="1" applyAlignment="1">
      <alignment vertical="top"/>
    </xf>
    <xf numFmtId="0" fontId="62" fillId="30" borderId="246" xfId="0" applyFont="1" applyFill="1" applyBorder="1" applyAlignment="1">
      <alignment horizontal="center" vertical="center" wrapText="1"/>
    </xf>
    <xf numFmtId="0" fontId="62" fillId="30" borderId="254" xfId="0" applyFont="1" applyFill="1" applyBorder="1" applyAlignment="1">
      <alignment horizontal="center" vertical="center" wrapText="1"/>
    </xf>
    <xf numFmtId="0" fontId="62" fillId="30" borderId="249" xfId="0" applyFont="1" applyFill="1" applyBorder="1" applyAlignment="1">
      <alignment horizontal="center" vertical="center"/>
    </xf>
    <xf numFmtId="0" fontId="73" fillId="30" borderId="0" xfId="0" applyFont="1" applyFill="1" applyAlignment="1">
      <alignment vertical="center"/>
    </xf>
    <xf numFmtId="10" fontId="62" fillId="30" borderId="246" xfId="0" applyNumberFormat="1" applyFont="1" applyFill="1" applyBorder="1"/>
    <xf numFmtId="10" fontId="62" fillId="30" borderId="254" xfId="0" applyNumberFormat="1" applyFont="1" applyFill="1" applyBorder="1"/>
    <xf numFmtId="10" fontId="62" fillId="30" borderId="249" xfId="0" applyNumberFormat="1" applyFont="1" applyFill="1" applyBorder="1"/>
    <xf numFmtId="10" fontId="62" fillId="30" borderId="227" xfId="0" applyNumberFormat="1" applyFont="1" applyFill="1" applyBorder="1"/>
    <xf numFmtId="10" fontId="62" fillId="30" borderId="246" xfId="0" applyNumberFormat="1" applyFont="1" applyFill="1" applyBorder="1" applyAlignment="1">
      <alignment horizontal="center" vertical="center"/>
    </xf>
    <xf numFmtId="10" fontId="62" fillId="30" borderId="249" xfId="0" applyNumberFormat="1" applyFont="1" applyFill="1" applyBorder="1" applyAlignment="1">
      <alignment horizontal="center" vertical="center"/>
    </xf>
    <xf numFmtId="0" fontId="62" fillId="30" borderId="229" xfId="0" applyFont="1" applyFill="1" applyBorder="1" applyAlignment="1">
      <alignment horizontal="right"/>
    </xf>
    <xf numFmtId="0" fontId="62" fillId="30" borderId="226" xfId="0" applyFont="1" applyFill="1" applyBorder="1"/>
    <xf numFmtId="0" fontId="73" fillId="30" borderId="226" xfId="0" applyFont="1" applyFill="1" applyBorder="1" applyAlignment="1">
      <alignment vertical="top"/>
    </xf>
    <xf numFmtId="0" fontId="59" fillId="30" borderId="228" xfId="0" applyFont="1" applyFill="1" applyBorder="1" applyAlignment="1">
      <alignment horizontal="right" vertical="top"/>
    </xf>
    <xf numFmtId="178" fontId="0" fillId="44" borderId="241" xfId="0" applyNumberFormat="1" applyFill="1" applyBorder="1" applyAlignment="1">
      <alignment horizontal="right"/>
    </xf>
    <xf numFmtId="178" fontId="0" fillId="44" borderId="240" xfId="0" applyNumberFormat="1" applyFill="1" applyBorder="1" applyAlignment="1">
      <alignment horizontal="right"/>
    </xf>
    <xf numFmtId="178" fontId="0" fillId="30" borderId="188" xfId="0" applyNumberFormat="1" applyFill="1" applyBorder="1" applyAlignment="1">
      <alignment horizontal="right"/>
    </xf>
    <xf numFmtId="178" fontId="0" fillId="30" borderId="0" xfId="0" applyNumberFormat="1" applyFill="1" applyAlignment="1">
      <alignment horizontal="right"/>
    </xf>
    <xf numFmtId="178" fontId="0" fillId="30" borderId="189" xfId="0" applyNumberFormat="1" applyFill="1" applyBorder="1" applyAlignment="1">
      <alignment horizontal="right"/>
    </xf>
    <xf numFmtId="178" fontId="0" fillId="30" borderId="244" xfId="0" applyNumberFormat="1" applyFill="1" applyBorder="1" applyAlignment="1">
      <alignment horizontal="right" vertical="center"/>
    </xf>
    <xf numFmtId="178" fontId="0" fillId="30" borderId="188" xfId="0" applyNumberFormat="1" applyFill="1" applyBorder="1" applyAlignment="1">
      <alignment horizontal="right" vertical="center"/>
    </xf>
    <xf numFmtId="0" fontId="0" fillId="30" borderId="244" xfId="0" applyFill="1" applyBorder="1" applyAlignment="1">
      <alignment horizontal="right" vertical="center"/>
    </xf>
    <xf numFmtId="0" fontId="0" fillId="30" borderId="243" xfId="0" applyFill="1" applyBorder="1"/>
    <xf numFmtId="0" fontId="59" fillId="30" borderId="243" xfId="0" applyFont="1" applyFill="1" applyBorder="1" applyAlignment="1">
      <alignment vertical="top" wrapText="1"/>
    </xf>
    <xf numFmtId="0" fontId="59" fillId="30" borderId="242" xfId="0" applyFont="1" applyFill="1" applyBorder="1" applyAlignment="1">
      <alignment horizontal="right" vertical="top"/>
    </xf>
    <xf numFmtId="178" fontId="0" fillId="30" borderId="190" xfId="0" applyNumberFormat="1" applyFill="1" applyBorder="1" applyAlignment="1">
      <alignment horizontal="right"/>
    </xf>
    <xf numFmtId="178" fontId="0" fillId="30" borderId="191" xfId="0" applyNumberFormat="1" applyFill="1" applyBorder="1" applyAlignment="1">
      <alignment horizontal="right"/>
    </xf>
    <xf numFmtId="178" fontId="0" fillId="30" borderId="192" xfId="0" applyNumberFormat="1" applyFill="1" applyBorder="1" applyAlignment="1">
      <alignment horizontal="right"/>
    </xf>
    <xf numFmtId="178" fontId="0" fillId="30" borderId="193" xfId="0" applyNumberFormat="1" applyFill="1" applyBorder="1" applyAlignment="1">
      <alignment horizontal="right"/>
    </xf>
    <xf numFmtId="178" fontId="0" fillId="30" borderId="181" xfId="0" applyNumberFormat="1" applyFill="1" applyBorder="1" applyAlignment="1">
      <alignment horizontal="right" vertical="center"/>
    </xf>
    <xf numFmtId="178" fontId="0" fillId="30" borderId="192" xfId="0" applyNumberFormat="1" applyFill="1" applyBorder="1" applyAlignment="1">
      <alignment horizontal="right" vertical="center"/>
    </xf>
    <xf numFmtId="178" fontId="63" fillId="30" borderId="193" xfId="268" applyNumberFormat="1" applyFont="1" applyFill="1" applyBorder="1" applyAlignment="1">
      <alignment horizontal="right"/>
    </xf>
    <xf numFmtId="0" fontId="0" fillId="30" borderId="181" xfId="0" applyFill="1" applyBorder="1" applyAlignment="1">
      <alignment horizontal="right" vertical="center"/>
    </xf>
    <xf numFmtId="0" fontId="59" fillId="30" borderId="16" xfId="0" applyFont="1" applyFill="1" applyBorder="1" applyAlignment="1">
      <alignment horizontal="right" vertical="top"/>
    </xf>
    <xf numFmtId="2" fontId="0" fillId="30" borderId="190" xfId="0" applyNumberFormat="1" applyFill="1" applyBorder="1" applyAlignment="1">
      <alignment horizontal="right"/>
    </xf>
    <xf numFmtId="178" fontId="0" fillId="44" borderId="191" xfId="0" applyNumberFormat="1" applyFill="1" applyBorder="1" applyAlignment="1">
      <alignment horizontal="right"/>
    </xf>
    <xf numFmtId="178" fontId="0" fillId="44" borderId="192" xfId="0" applyNumberFormat="1" applyFill="1" applyBorder="1" applyAlignment="1">
      <alignment horizontal="right"/>
    </xf>
    <xf numFmtId="178" fontId="0" fillId="44" borderId="193" xfId="0" applyNumberFormat="1" applyFill="1" applyBorder="1" applyAlignment="1">
      <alignment horizontal="right"/>
    </xf>
    <xf numFmtId="178" fontId="0" fillId="44" borderId="181" xfId="0" applyNumberFormat="1" applyFill="1" applyBorder="1" applyAlignment="1">
      <alignment horizontal="right"/>
    </xf>
    <xf numFmtId="2" fontId="0" fillId="30" borderId="191" xfId="0" applyNumberFormat="1" applyFill="1" applyBorder="1" applyAlignment="1">
      <alignment horizontal="right"/>
    </xf>
    <xf numFmtId="2" fontId="0" fillId="30" borderId="192" xfId="0" applyNumberFormat="1" applyFill="1" applyBorder="1" applyAlignment="1">
      <alignment horizontal="right"/>
    </xf>
    <xf numFmtId="2" fontId="0" fillId="30" borderId="0" xfId="0" applyNumberFormat="1" applyFill="1" applyAlignment="1">
      <alignment horizontal="right"/>
    </xf>
    <xf numFmtId="2" fontId="0" fillId="44" borderId="193" xfId="0" applyNumberFormat="1" applyFill="1" applyBorder="1" applyAlignment="1">
      <alignment horizontal="right"/>
    </xf>
    <xf numFmtId="2" fontId="0" fillId="44" borderId="181" xfId="0" applyNumberFormat="1" applyFill="1" applyBorder="1" applyAlignment="1">
      <alignment horizontal="right"/>
    </xf>
    <xf numFmtId="2" fontId="0" fillId="44" borderId="192" xfId="0" applyNumberFormat="1" applyFill="1" applyBorder="1" applyAlignment="1">
      <alignment horizontal="right"/>
    </xf>
    <xf numFmtId="2" fontId="0" fillId="44" borderId="190" xfId="0" applyNumberFormat="1" applyFill="1" applyBorder="1" applyAlignment="1">
      <alignment horizontal="right"/>
    </xf>
    <xf numFmtId="2" fontId="0" fillId="44" borderId="191" xfId="0" applyNumberFormat="1" applyFill="1" applyBorder="1" applyAlignment="1">
      <alignment horizontal="right"/>
    </xf>
    <xf numFmtId="2" fontId="0" fillId="45" borderId="192" xfId="0" applyNumberFormat="1" applyFill="1" applyBorder="1" applyAlignment="1">
      <alignment horizontal="right"/>
    </xf>
    <xf numFmtId="2" fontId="0" fillId="30" borderId="193" xfId="0" applyNumberFormat="1" applyFill="1" applyBorder="1" applyAlignment="1">
      <alignment horizontal="right"/>
    </xf>
    <xf numFmtId="2" fontId="0" fillId="30" borderId="181" xfId="0" applyNumberFormat="1" applyFill="1" applyBorder="1" applyAlignment="1">
      <alignment horizontal="right" vertical="center"/>
    </xf>
    <xf numFmtId="2" fontId="0" fillId="30" borderId="192" xfId="0" applyNumberFormat="1" applyFill="1" applyBorder="1" applyAlignment="1">
      <alignment horizontal="right" vertical="center"/>
    </xf>
    <xf numFmtId="178" fontId="0" fillId="44" borderId="190" xfId="0" applyNumberFormat="1" applyFill="1" applyBorder="1" applyAlignment="1">
      <alignment horizontal="right"/>
    </xf>
    <xf numFmtId="178" fontId="0" fillId="30" borderId="181" xfId="0" applyNumberFormat="1" applyFill="1" applyBorder="1" applyAlignment="1">
      <alignment horizontal="right"/>
    </xf>
    <xf numFmtId="0" fontId="59" fillId="30" borderId="181" xfId="0" applyFont="1" applyFill="1" applyBorder="1" applyAlignment="1">
      <alignment horizontal="right" vertical="center" wrapText="1"/>
    </xf>
    <xf numFmtId="0" fontId="59" fillId="30" borderId="0" xfId="0" applyFont="1" applyFill="1" applyAlignment="1">
      <alignment vertical="center" wrapText="1"/>
    </xf>
    <xf numFmtId="0" fontId="0" fillId="30" borderId="181" xfId="0" applyFill="1" applyBorder="1" applyAlignment="1">
      <alignment horizontal="right"/>
    </xf>
    <xf numFmtId="0" fontId="78" fillId="30" borderId="0" xfId="0" applyFont="1" applyFill="1" applyAlignment="1">
      <alignment horizontal="left" vertical="center" wrapText="1"/>
    </xf>
    <xf numFmtId="0" fontId="78" fillId="30" borderId="16" xfId="0" applyFont="1" applyFill="1" applyBorder="1" applyAlignment="1">
      <alignment horizontal="right" vertical="top"/>
    </xf>
    <xf numFmtId="178" fontId="65" fillId="30" borderId="192" xfId="0" applyNumberFormat="1" applyFont="1" applyFill="1" applyBorder="1" applyAlignment="1">
      <alignment horizontal="right"/>
    </xf>
    <xf numFmtId="178" fontId="65" fillId="30" borderId="193" xfId="0" applyNumberFormat="1" applyFont="1" applyFill="1" applyBorder="1" applyAlignment="1">
      <alignment horizontal="right"/>
    </xf>
    <xf numFmtId="178" fontId="65" fillId="30" borderId="181" xfId="0" applyNumberFormat="1" applyFont="1" applyFill="1" applyBorder="1" applyAlignment="1">
      <alignment horizontal="right" vertical="center"/>
    </xf>
    <xf numFmtId="178" fontId="65" fillId="30" borderId="192" xfId="0" applyNumberFormat="1" applyFont="1" applyFill="1" applyBorder="1" applyAlignment="1">
      <alignment horizontal="right" vertical="center"/>
    </xf>
    <xf numFmtId="178" fontId="88" fillId="30" borderId="193" xfId="268" applyNumberFormat="1" applyFont="1" applyFill="1" applyBorder="1" applyAlignment="1">
      <alignment horizontal="right"/>
    </xf>
    <xf numFmtId="178" fontId="78" fillId="30" borderId="190" xfId="0" applyNumberFormat="1" applyFont="1" applyFill="1" applyBorder="1" applyAlignment="1">
      <alignment horizontal="right" wrapText="1"/>
    </xf>
    <xf numFmtId="178" fontId="78" fillId="30" borderId="191" xfId="0" applyNumberFormat="1" applyFont="1" applyFill="1" applyBorder="1" applyAlignment="1">
      <alignment horizontal="right" wrapText="1"/>
    </xf>
    <xf numFmtId="178" fontId="78" fillId="30" borderId="192" xfId="0" applyNumberFormat="1" applyFont="1" applyFill="1" applyBorder="1" applyAlignment="1">
      <alignment horizontal="right" wrapText="1"/>
    </xf>
    <xf numFmtId="178" fontId="78" fillId="30" borderId="0" xfId="0" applyNumberFormat="1" applyFont="1" applyFill="1" applyAlignment="1">
      <alignment horizontal="right" wrapText="1"/>
    </xf>
    <xf numFmtId="178" fontId="78" fillId="30" borderId="193" xfId="0" applyNumberFormat="1" applyFont="1" applyFill="1" applyBorder="1" applyAlignment="1">
      <alignment horizontal="right" wrapText="1"/>
    </xf>
    <xf numFmtId="178" fontId="78" fillId="30" borderId="181" xfId="0" applyNumberFormat="1" applyFont="1" applyFill="1" applyBorder="1" applyAlignment="1">
      <alignment horizontal="right" wrapText="1"/>
    </xf>
    <xf numFmtId="178" fontId="59" fillId="30" borderId="190" xfId="0" applyNumberFormat="1" applyFont="1" applyFill="1" applyBorder="1" applyAlignment="1">
      <alignment horizontal="right" vertical="center"/>
    </xf>
    <xf numFmtId="178" fontId="59" fillId="30" borderId="191" xfId="0" applyNumberFormat="1" applyFont="1" applyFill="1" applyBorder="1" applyAlignment="1">
      <alignment horizontal="right" vertical="center"/>
    </xf>
    <xf numFmtId="178" fontId="59" fillId="30" borderId="192" xfId="0" applyNumberFormat="1" applyFont="1" applyFill="1" applyBorder="1" applyAlignment="1">
      <alignment horizontal="right" vertical="center"/>
    </xf>
    <xf numFmtId="178" fontId="59" fillId="30" borderId="0" xfId="0" applyNumberFormat="1" applyFont="1" applyFill="1" applyAlignment="1">
      <alignment horizontal="right" vertical="center"/>
    </xf>
    <xf numFmtId="178" fontId="59" fillId="30" borderId="193" xfId="0" applyNumberFormat="1" applyFont="1" applyFill="1" applyBorder="1" applyAlignment="1">
      <alignment horizontal="right" vertical="center"/>
    </xf>
    <xf numFmtId="178" fontId="59" fillId="30" borderId="181" xfId="0" applyNumberFormat="1" applyFont="1" applyFill="1" applyBorder="1" applyAlignment="1">
      <alignment horizontal="right" vertical="center"/>
    </xf>
    <xf numFmtId="0" fontId="59" fillId="30" borderId="235" xfId="0" applyFont="1" applyFill="1" applyBorder="1" applyAlignment="1">
      <alignment horizontal="right" vertical="center" wrapText="1"/>
    </xf>
    <xf numFmtId="0" fontId="59" fillId="30" borderId="234" xfId="0" applyFont="1" applyFill="1" applyBorder="1" applyAlignment="1">
      <alignment vertical="center" wrapText="1"/>
    </xf>
    <xf numFmtId="0" fontId="59" fillId="30" borderId="234" xfId="0" applyFont="1" applyFill="1" applyBorder="1" applyAlignment="1">
      <alignment vertical="top" wrapText="1"/>
    </xf>
    <xf numFmtId="0" fontId="59" fillId="30" borderId="236" xfId="0" applyFont="1" applyFill="1" applyBorder="1" applyAlignment="1">
      <alignment horizontal="right" vertical="top"/>
    </xf>
    <xf numFmtId="0" fontId="59" fillId="30" borderId="246" xfId="0" applyFont="1" applyFill="1" applyBorder="1" applyAlignment="1">
      <alignment horizontal="center" vertical="center" wrapText="1"/>
    </xf>
    <xf numFmtId="0" fontId="59" fillId="30" borderId="254" xfId="0" applyFont="1" applyFill="1" applyBorder="1" applyAlignment="1">
      <alignment horizontal="center" vertical="center" wrapText="1"/>
    </xf>
    <xf numFmtId="0" fontId="59" fillId="30" borderId="249" xfId="0" applyFont="1" applyFill="1" applyBorder="1" applyAlignment="1">
      <alignment horizontal="center" vertical="center" wrapText="1"/>
    </xf>
    <xf numFmtId="0" fontId="59" fillId="30" borderId="227" xfId="0" applyFont="1" applyFill="1" applyBorder="1" applyAlignment="1">
      <alignment horizontal="center" vertical="center" wrapText="1"/>
    </xf>
    <xf numFmtId="0" fontId="59" fillId="30" borderId="189" xfId="0" applyFont="1" applyFill="1" applyBorder="1" applyAlignment="1">
      <alignment horizontal="center" vertical="center"/>
    </xf>
    <xf numFmtId="0" fontId="59" fillId="30" borderId="244" xfId="0" applyFont="1" applyFill="1" applyBorder="1" applyAlignment="1">
      <alignment horizontal="center" vertical="center"/>
    </xf>
    <xf numFmtId="0" fontId="59" fillId="30" borderId="249" xfId="0" applyFont="1" applyFill="1" applyBorder="1" applyAlignment="1">
      <alignment horizontal="center" vertical="center"/>
    </xf>
    <xf numFmtId="0" fontId="59" fillId="30" borderId="227" xfId="0" applyFont="1" applyFill="1" applyBorder="1" applyAlignment="1">
      <alignment horizontal="center" wrapText="1"/>
    </xf>
    <xf numFmtId="0" fontId="59" fillId="30" borderId="227" xfId="0" applyFont="1" applyFill="1" applyBorder="1" applyAlignment="1">
      <alignment horizontal="center"/>
    </xf>
    <xf numFmtId="0" fontId="59" fillId="30" borderId="0" xfId="0" applyFont="1" applyFill="1" applyAlignment="1">
      <alignment horizontal="center"/>
    </xf>
    <xf numFmtId="0" fontId="59" fillId="30" borderId="0" xfId="0" applyFont="1" applyFill="1" applyAlignment="1">
      <alignment horizontal="right"/>
    </xf>
    <xf numFmtId="0" fontId="62" fillId="30" borderId="229" xfId="0" applyFont="1" applyFill="1" applyBorder="1" applyAlignment="1" applyProtection="1">
      <alignment horizontal="left"/>
    </xf>
    <xf numFmtId="0" fontId="62" fillId="30" borderId="228" xfId="0" applyFont="1" applyFill="1" applyBorder="1" applyProtection="1"/>
    <xf numFmtId="10" fontId="62" fillId="30" borderId="226" xfId="0" applyNumberFormat="1" applyFont="1" applyFill="1" applyBorder="1" applyAlignment="1" applyProtection="1">
      <alignment vertical="top"/>
    </xf>
    <xf numFmtId="0" fontId="0" fillId="30" borderId="16" xfId="0" applyFont="1" applyFill="1" applyBorder="1" applyAlignment="1">
      <alignment vertical="top"/>
    </xf>
    <xf numFmtId="0" fontId="57" fillId="30" borderId="181" xfId="0" applyFont="1" applyFill="1" applyBorder="1" applyAlignment="1">
      <alignment horizontal="left" vertical="top" wrapText="1"/>
    </xf>
    <xf numFmtId="0" fontId="59" fillId="30" borderId="242" xfId="0" applyFont="1" applyFill="1" applyBorder="1" applyAlignment="1">
      <alignment horizontal="left" vertical="top"/>
    </xf>
    <xf numFmtId="0" fontId="59" fillId="30" borderId="244" xfId="0" applyFont="1" applyFill="1" applyBorder="1" applyAlignment="1">
      <alignment horizontal="left" vertical="top" wrapText="1"/>
    </xf>
    <xf numFmtId="0" fontId="59" fillId="30" borderId="243" xfId="0" applyFont="1" applyFill="1" applyBorder="1"/>
    <xf numFmtId="178" fontId="0" fillId="30" borderId="243" xfId="0" applyNumberFormat="1" applyFill="1" applyBorder="1" applyAlignment="1">
      <alignment horizontal="right" vertical="top"/>
    </xf>
    <xf numFmtId="0" fontId="0" fillId="30" borderId="244" xfId="0" applyFill="1" applyBorder="1" applyAlignment="1">
      <alignment horizontal="left" vertical="top"/>
    </xf>
    <xf numFmtId="10" fontId="62" fillId="30" borderId="0" xfId="0" applyNumberFormat="1" applyFont="1" applyFill="1" applyBorder="1" applyAlignment="1" applyProtection="1">
      <alignment vertical="top"/>
    </xf>
    <xf numFmtId="0" fontId="73" fillId="30" borderId="235" xfId="0" applyFont="1" applyFill="1" applyBorder="1" applyAlignment="1">
      <alignment vertical="top"/>
    </xf>
    <xf numFmtId="0" fontId="62" fillId="30" borderId="236" xfId="0" applyFont="1" applyFill="1" applyBorder="1" applyProtection="1"/>
    <xf numFmtId="10" fontId="62" fillId="30" borderId="234" xfId="0" applyNumberFormat="1" applyFont="1" applyFill="1" applyBorder="1" applyAlignment="1" applyProtection="1">
      <alignment vertical="top"/>
    </xf>
    <xf numFmtId="0" fontId="62" fillId="30" borderId="235" xfId="0" applyFont="1" applyFill="1" applyBorder="1" applyAlignment="1" applyProtection="1">
      <alignment horizontal="left"/>
    </xf>
    <xf numFmtId="0" fontId="62" fillId="30" borderId="16" xfId="0" applyFont="1" applyFill="1" applyBorder="1" applyProtection="1"/>
    <xf numFmtId="0" fontId="62" fillId="30" borderId="181" xfId="0" applyFont="1" applyFill="1" applyBorder="1" applyAlignment="1" applyProtection="1">
      <alignment horizontal="left"/>
    </xf>
    <xf numFmtId="0" fontId="62" fillId="30" borderId="242" xfId="0" applyFont="1" applyFill="1" applyBorder="1" applyProtection="1"/>
    <xf numFmtId="10" fontId="62" fillId="30" borderId="243" xfId="0" applyNumberFormat="1" applyFont="1" applyFill="1" applyBorder="1" applyAlignment="1" applyProtection="1">
      <alignment vertical="top"/>
    </xf>
    <xf numFmtId="0" fontId="62" fillId="30" borderId="244" xfId="0" applyFont="1" applyFill="1" applyBorder="1" applyAlignment="1" applyProtection="1">
      <alignment horizontal="left"/>
    </xf>
    <xf numFmtId="0" fontId="62" fillId="30" borderId="181" xfId="0" applyFont="1" applyFill="1" applyBorder="1" applyAlignment="1">
      <alignment vertical="top"/>
    </xf>
    <xf numFmtId="0" fontId="62" fillId="30" borderId="244" xfId="0" applyFont="1" applyFill="1" applyBorder="1" applyAlignment="1">
      <alignment vertical="top"/>
    </xf>
    <xf numFmtId="0" fontId="0" fillId="30" borderId="237" xfId="0" applyFill="1" applyBorder="1"/>
    <xf numFmtId="181" fontId="62" fillId="30" borderId="238" xfId="0" applyNumberFormat="1" applyFont="1" applyFill="1" applyBorder="1"/>
    <xf numFmtId="0" fontId="0" fillId="30" borderId="247" xfId="0" applyFill="1" applyBorder="1"/>
    <xf numFmtId="0" fontId="62" fillId="30" borderId="250" xfId="0" applyFont="1" applyFill="1" applyBorder="1" applyAlignment="1">
      <alignment horizontal="center" vertical="center" wrapText="1"/>
    </xf>
    <xf numFmtId="0" fontId="0" fillId="30" borderId="255" xfId="0" applyFill="1" applyBorder="1"/>
    <xf numFmtId="181" fontId="62" fillId="30" borderId="251" xfId="0" applyNumberFormat="1" applyFont="1" applyFill="1" applyBorder="1"/>
    <xf numFmtId="0" fontId="0" fillId="30" borderId="248" xfId="0" applyFill="1" applyBorder="1"/>
    <xf numFmtId="181" fontId="62" fillId="30" borderId="252" xfId="0" applyNumberFormat="1" applyFont="1" applyFill="1" applyBorder="1"/>
    <xf numFmtId="0" fontId="62" fillId="30" borderId="250" xfId="0" applyFont="1" applyFill="1" applyBorder="1" applyAlignment="1">
      <alignment horizontal="right" vertical="center"/>
    </xf>
    <xf numFmtId="0" fontId="62" fillId="30" borderId="238" xfId="0" applyFont="1" applyFill="1" applyBorder="1" applyAlignment="1">
      <alignment horizontal="right"/>
    </xf>
    <xf numFmtId="0" fontId="62" fillId="30" borderId="252" xfId="0" applyFont="1" applyFill="1" applyBorder="1" applyAlignment="1">
      <alignment horizontal="right"/>
    </xf>
    <xf numFmtId="0" fontId="62" fillId="30" borderId="228" xfId="0" applyFont="1" applyFill="1" applyBorder="1" applyAlignment="1" applyProtection="1">
      <alignment horizontal="left" vertical="top"/>
    </xf>
    <xf numFmtId="0" fontId="62" fillId="30" borderId="236" xfId="0" applyFont="1" applyFill="1" applyBorder="1" applyAlignment="1" applyProtection="1">
      <alignment horizontal="left" vertical="top"/>
    </xf>
    <xf numFmtId="0" fontId="62" fillId="30" borderId="16" xfId="0" applyFont="1" applyFill="1" applyBorder="1" applyAlignment="1" applyProtection="1">
      <alignment horizontal="left" vertical="top"/>
    </xf>
    <xf numFmtId="0" fontId="62" fillId="30" borderId="242" xfId="0" applyFont="1" applyFill="1" applyBorder="1" applyAlignment="1" applyProtection="1">
      <alignment horizontal="left" vertical="top"/>
    </xf>
    <xf numFmtId="0" fontId="80" fillId="30" borderId="0" xfId="0" applyFont="1" applyFill="1" applyAlignment="1" applyProtection="1">
      <alignment wrapText="1"/>
    </xf>
    <xf numFmtId="0" fontId="0" fillId="30" borderId="0" xfId="0" applyFill="1" applyAlignment="1" applyProtection="1">
      <alignment horizontal="center" vertical="top"/>
    </xf>
    <xf numFmtId="0" fontId="0" fillId="30" borderId="228" xfId="0" applyFill="1" applyBorder="1" applyProtection="1"/>
    <xf numFmtId="0" fontId="59" fillId="30" borderId="229" xfId="0" applyFont="1" applyFill="1" applyBorder="1" applyAlignment="1" applyProtection="1">
      <alignment horizontal="left" vertical="center" wrapText="1"/>
    </xf>
    <xf numFmtId="0" fontId="59" fillId="30" borderId="135" xfId="0" applyFont="1" applyFill="1" applyBorder="1" applyAlignment="1" applyProtection="1">
      <alignment horizontal="left" vertical="center"/>
    </xf>
    <xf numFmtId="0" fontId="59" fillId="30" borderId="136" xfId="0" applyFont="1" applyFill="1" applyBorder="1" applyAlignment="1" applyProtection="1">
      <alignment horizontal="center" vertical="top"/>
    </xf>
    <xf numFmtId="0" fontId="59" fillId="30" borderId="142" xfId="0" applyFont="1" applyFill="1" applyBorder="1" applyAlignment="1" applyProtection="1">
      <alignment horizontal="left" vertical="top"/>
    </xf>
    <xf numFmtId="0" fontId="78" fillId="30" borderId="0" xfId="0" applyFont="1" applyFill="1" applyAlignment="1" applyProtection="1">
      <alignment horizontal="left" vertical="center"/>
    </xf>
    <xf numFmtId="0" fontId="78" fillId="30" borderId="0" xfId="0" applyFont="1" applyFill="1" applyProtection="1"/>
    <xf numFmtId="0" fontId="0" fillId="30" borderId="0" xfId="0" applyFill="1" applyAlignment="1" applyProtection="1">
      <alignment horizontal="right" vertical="top"/>
    </xf>
    <xf numFmtId="0" fontId="59" fillId="30" borderId="236" xfId="0" applyFont="1" applyFill="1" applyBorder="1" applyProtection="1"/>
    <xf numFmtId="0" fontId="59" fillId="30" borderId="234" xfId="0" applyFont="1" applyFill="1" applyBorder="1" applyAlignment="1" applyProtection="1">
      <alignment horizontal="left" vertical="center"/>
    </xf>
    <xf numFmtId="178" fontId="0" fillId="30" borderId="234" xfId="0" applyNumberFormat="1" applyFill="1" applyBorder="1" applyAlignment="1" applyProtection="1">
      <alignment horizontal="right" vertical="top"/>
    </xf>
    <xf numFmtId="0" fontId="0" fillId="30" borderId="235" xfId="0" applyFill="1" applyBorder="1" applyAlignment="1" applyProtection="1">
      <alignment vertical="top"/>
    </xf>
    <xf numFmtId="0" fontId="78" fillId="30" borderId="16" xfId="0" applyFont="1" applyFill="1" applyBorder="1" applyProtection="1"/>
    <xf numFmtId="178" fontId="78" fillId="30" borderId="0" xfId="0" applyNumberFormat="1" applyFont="1" applyFill="1" applyBorder="1" applyAlignment="1" applyProtection="1">
      <alignment horizontal="right" vertical="top"/>
    </xf>
    <xf numFmtId="0" fontId="78" fillId="30" borderId="181" xfId="0" applyFont="1" applyFill="1" applyBorder="1" applyAlignment="1" applyProtection="1">
      <alignment vertical="top"/>
    </xf>
    <xf numFmtId="0" fontId="78" fillId="30" borderId="0" xfId="0" applyFont="1" applyFill="1" applyBorder="1" applyAlignment="1" applyProtection="1">
      <alignment horizontal="right" vertical="top"/>
    </xf>
    <xf numFmtId="0" fontId="59" fillId="30" borderId="16" xfId="0" applyFont="1" applyFill="1" applyBorder="1" applyProtection="1"/>
    <xf numFmtId="0" fontId="59" fillId="30" borderId="0" xfId="0" applyFont="1" applyFill="1" applyBorder="1" applyProtection="1"/>
    <xf numFmtId="0" fontId="0" fillId="30" borderId="181" xfId="0" applyFill="1" applyBorder="1" applyAlignment="1" applyProtection="1">
      <alignment vertical="top"/>
    </xf>
    <xf numFmtId="0" fontId="0" fillId="30" borderId="242" xfId="0" applyFill="1" applyBorder="1" applyProtection="1"/>
    <xf numFmtId="0" fontId="0" fillId="30" borderId="243" xfId="0" applyFill="1" applyBorder="1" applyAlignment="1" applyProtection="1">
      <alignment horizontal="left" vertical="top" wrapText="1"/>
    </xf>
    <xf numFmtId="0" fontId="59" fillId="30" borderId="242" xfId="0" applyFont="1" applyFill="1" applyBorder="1" applyProtection="1"/>
    <xf numFmtId="2" fontId="78" fillId="30" borderId="243" xfId="0" applyNumberFormat="1" applyFont="1" applyFill="1" applyBorder="1" applyAlignment="1" applyProtection="1">
      <alignment horizontal="right" vertical="top"/>
    </xf>
    <xf numFmtId="0" fontId="0" fillId="30" borderId="244" xfId="0" applyFill="1" applyBorder="1" applyAlignment="1" applyProtection="1">
      <alignment vertical="top"/>
    </xf>
    <xf numFmtId="0" fontId="78" fillId="30" borderId="0" xfId="0" applyFont="1" applyFill="1" applyBorder="1" applyProtection="1"/>
    <xf numFmtId="0" fontId="59" fillId="30" borderId="0" xfId="0" applyFont="1" applyFill="1" applyBorder="1" applyAlignment="1" applyProtection="1">
      <alignment horizontal="left" vertical="center"/>
    </xf>
    <xf numFmtId="0" fontId="59" fillId="30" borderId="0" xfId="0" applyFont="1" applyFill="1" applyBorder="1" applyAlignment="1" applyProtection="1">
      <alignment horizontal="left" vertical="center" wrapText="1"/>
    </xf>
    <xf numFmtId="178" fontId="0" fillId="30" borderId="233" xfId="0" applyNumberFormat="1" applyFill="1" applyBorder="1" applyAlignment="1" applyProtection="1">
      <alignment horizontal="right" vertical="top"/>
    </xf>
    <xf numFmtId="178" fontId="78" fillId="30" borderId="193" xfId="0" applyNumberFormat="1" applyFont="1" applyFill="1" applyBorder="1" applyAlignment="1" applyProtection="1">
      <alignment horizontal="right" vertical="top"/>
    </xf>
    <xf numFmtId="0" fontId="78" fillId="30" borderId="193" xfId="0" applyFont="1" applyFill="1" applyBorder="1" applyAlignment="1" applyProtection="1">
      <alignment horizontal="right" vertical="top"/>
    </xf>
    <xf numFmtId="2" fontId="78" fillId="30" borderId="189" xfId="0" applyNumberFormat="1" applyFont="1" applyFill="1" applyBorder="1" applyAlignment="1" applyProtection="1">
      <alignment horizontal="right" vertical="top"/>
    </xf>
    <xf numFmtId="178" fontId="0" fillId="30" borderId="230" xfId="0" applyNumberFormat="1" applyFill="1" applyBorder="1" applyAlignment="1" applyProtection="1">
      <alignment horizontal="right" vertical="top"/>
    </xf>
    <xf numFmtId="178" fontId="0" fillId="30" borderId="232" xfId="0" applyNumberFormat="1" applyFill="1" applyBorder="1" applyAlignment="1" applyProtection="1">
      <alignment horizontal="right" vertical="top"/>
    </xf>
    <xf numFmtId="178" fontId="78" fillId="30" borderId="192" xfId="0" applyNumberFormat="1" applyFont="1" applyFill="1" applyBorder="1" applyAlignment="1" applyProtection="1">
      <alignment horizontal="right" vertical="top"/>
    </xf>
    <xf numFmtId="178" fontId="78" fillId="30" borderId="190" xfId="0" applyNumberFormat="1" applyFont="1" applyFill="1" applyBorder="1" applyAlignment="1" applyProtection="1">
      <alignment horizontal="right" vertical="top"/>
    </xf>
    <xf numFmtId="0" fontId="78" fillId="30" borderId="192" xfId="0" applyFont="1" applyFill="1" applyBorder="1" applyAlignment="1" applyProtection="1">
      <alignment horizontal="right" vertical="top"/>
    </xf>
    <xf numFmtId="0" fontId="78" fillId="30" borderId="190" xfId="0" applyFont="1" applyFill="1" applyBorder="1" applyAlignment="1" applyProtection="1">
      <alignment horizontal="right" vertical="top"/>
    </xf>
    <xf numFmtId="0" fontId="0" fillId="30" borderId="192" xfId="0" applyFill="1" applyBorder="1" applyProtection="1"/>
    <xf numFmtId="0" fontId="0" fillId="30" borderId="190" xfId="0" applyFill="1" applyBorder="1" applyProtection="1"/>
    <xf numFmtId="2" fontId="78" fillId="30" borderId="188" xfId="0" applyNumberFormat="1" applyFont="1" applyFill="1" applyBorder="1" applyAlignment="1" applyProtection="1">
      <alignment horizontal="right" vertical="top"/>
    </xf>
    <xf numFmtId="2" fontId="78" fillId="30" borderId="241" xfId="0" applyNumberFormat="1" applyFont="1" applyFill="1" applyBorder="1" applyAlignment="1" applyProtection="1">
      <alignment horizontal="right" vertical="top"/>
    </xf>
    <xf numFmtId="0" fontId="0" fillId="30" borderId="193" xfId="0" applyFill="1" applyBorder="1" applyAlignment="1" applyProtection="1">
      <alignment vertical="top"/>
    </xf>
    <xf numFmtId="0" fontId="78" fillId="30" borderId="193" xfId="0" applyFont="1" applyFill="1" applyBorder="1" applyAlignment="1" applyProtection="1">
      <alignment vertical="top"/>
    </xf>
    <xf numFmtId="0" fontId="59" fillId="30" borderId="0" xfId="0" applyFont="1" applyFill="1" applyBorder="1" applyAlignment="1">
      <alignment horizontal="center"/>
    </xf>
    <xf numFmtId="0" fontId="59" fillId="30" borderId="0" xfId="0" applyFont="1" applyFill="1" applyBorder="1" applyAlignment="1">
      <alignment horizontal="center" vertical="center"/>
    </xf>
    <xf numFmtId="0" fontId="59" fillId="30" borderId="0" xfId="0" applyFont="1" applyFill="1" applyBorder="1" applyAlignment="1">
      <alignment horizontal="center" wrapText="1"/>
    </xf>
    <xf numFmtId="0" fontId="59" fillId="46" borderId="229" xfId="0" applyFont="1" applyFill="1" applyBorder="1" applyAlignment="1" applyProtection="1">
      <alignment horizontal="left" vertical="center" wrapText="1"/>
    </xf>
    <xf numFmtId="0" fontId="0" fillId="46" borderId="228" xfId="0" applyFill="1" applyBorder="1" applyProtection="1"/>
    <xf numFmtId="0" fontId="0" fillId="46" borderId="227" xfId="0" applyFont="1" applyFill="1" applyBorder="1" applyAlignment="1">
      <alignment horizontal="center"/>
    </xf>
    <xf numFmtId="0" fontId="0" fillId="46" borderId="249" xfId="0" applyFont="1" applyFill="1" applyBorder="1" applyAlignment="1">
      <alignment horizontal="center" vertical="center"/>
    </xf>
    <xf numFmtId="0" fontId="0" fillId="46" borderId="246" xfId="0" applyFont="1" applyFill="1" applyBorder="1" applyAlignment="1">
      <alignment horizontal="center" vertical="center"/>
    </xf>
    <xf numFmtId="0" fontId="0" fillId="46" borderId="227" xfId="0" applyFont="1" applyFill="1" applyBorder="1" applyAlignment="1">
      <alignment horizontal="center" wrapText="1"/>
    </xf>
    <xf numFmtId="0" fontId="0" fillId="30" borderId="0" xfId="0" applyFill="1" applyBorder="1" applyAlignment="1" applyProtection="1">
      <alignment horizontal="left" vertical="top" wrapText="1"/>
    </xf>
    <xf numFmtId="0" fontId="59" fillId="46" borderId="228" xfId="0" applyFont="1" applyFill="1" applyBorder="1" applyAlignment="1" applyProtection="1">
      <alignment horizontal="left" vertical="center" wrapText="1"/>
    </xf>
    <xf numFmtId="0" fontId="59" fillId="46" borderId="226" xfId="0" applyFont="1" applyFill="1" applyBorder="1" applyAlignment="1" applyProtection="1">
      <alignment horizontal="left" vertical="center" wrapText="1"/>
    </xf>
    <xf numFmtId="0" fontId="59" fillId="46" borderId="249" xfId="0" applyFont="1" applyFill="1" applyBorder="1" applyAlignment="1" applyProtection="1">
      <alignment horizontal="center" vertical="center" wrapText="1"/>
    </xf>
    <xf numFmtId="0" fontId="59" fillId="46" borderId="254" xfId="0" applyFont="1" applyFill="1" applyBorder="1" applyAlignment="1" applyProtection="1">
      <alignment horizontal="center" vertical="center" wrapText="1"/>
    </xf>
    <xf numFmtId="0" fontId="59" fillId="46" borderId="246" xfId="0" applyFont="1" applyFill="1" applyBorder="1" applyAlignment="1" applyProtection="1">
      <alignment horizontal="center" vertical="center" wrapText="1"/>
    </xf>
    <xf numFmtId="0" fontId="59" fillId="30" borderId="235" xfId="0" applyFont="1" applyFill="1" applyBorder="1" applyAlignment="1" applyProtection="1">
      <alignment horizontal="left" vertical="center"/>
    </xf>
    <xf numFmtId="0" fontId="59" fillId="30" borderId="181" xfId="0" applyFont="1" applyFill="1" applyBorder="1" applyProtection="1"/>
    <xf numFmtId="0" fontId="0" fillId="30" borderId="244" xfId="0" applyFill="1" applyBorder="1" applyAlignment="1" applyProtection="1">
      <alignment horizontal="left" vertical="top" wrapText="1"/>
    </xf>
    <xf numFmtId="9" fontId="0" fillId="46" borderId="230" xfId="0" applyNumberFormat="1" applyFont="1" applyFill="1" applyBorder="1" applyAlignment="1" applyProtection="1">
      <alignment horizontal="center" vertical="center"/>
    </xf>
    <xf numFmtId="0" fontId="0" fillId="46" borderId="231" xfId="0" applyFont="1" applyFill="1" applyBorder="1" applyAlignment="1" applyProtection="1">
      <alignment horizontal="center" vertical="center"/>
    </xf>
    <xf numFmtId="0" fontId="0" fillId="46" borderId="232" xfId="0" applyFont="1" applyFill="1" applyBorder="1" applyAlignment="1" applyProtection="1">
      <alignment horizontal="center" vertical="center"/>
    </xf>
    <xf numFmtId="0" fontId="0" fillId="46" borderId="192" xfId="0" applyFont="1" applyFill="1" applyBorder="1" applyAlignment="1" applyProtection="1">
      <alignment horizontal="center"/>
    </xf>
    <xf numFmtId="0" fontId="0" fillId="46" borderId="191" xfId="0" applyFont="1" applyFill="1" applyBorder="1" applyAlignment="1" applyProtection="1">
      <alignment horizontal="center"/>
    </xf>
    <xf numFmtId="0" fontId="0" fillId="46" borderId="190" xfId="0" applyFont="1" applyFill="1" applyBorder="1" applyAlignment="1" applyProtection="1">
      <alignment horizontal="center"/>
    </xf>
    <xf numFmtId="0" fontId="0" fillId="46" borderId="240" xfId="0" applyFont="1" applyFill="1" applyBorder="1" applyAlignment="1" applyProtection="1">
      <alignment horizontal="center" vertical="top" wrapText="1"/>
    </xf>
    <xf numFmtId="0" fontId="0" fillId="46" borderId="241" xfId="0" applyFont="1" applyFill="1" applyBorder="1" applyAlignment="1" applyProtection="1">
      <alignment horizontal="center" vertical="top" wrapText="1"/>
    </xf>
    <xf numFmtId="9" fontId="0" fillId="46" borderId="188" xfId="0" applyNumberFormat="1" applyFont="1" applyFill="1" applyBorder="1" applyAlignment="1" applyProtection="1">
      <alignment horizontal="center" vertical="top" wrapText="1"/>
    </xf>
    <xf numFmtId="0" fontId="59" fillId="46" borderId="235" xfId="0" applyFont="1" applyFill="1" applyBorder="1" applyProtection="1"/>
    <xf numFmtId="0" fontId="0" fillId="46" borderId="181" xfId="0" applyFill="1" applyBorder="1" applyAlignment="1" applyProtection="1">
      <alignment vertical="center"/>
    </xf>
    <xf numFmtId="0" fontId="0" fillId="46" borderId="244" xfId="0" applyFill="1" applyBorder="1" applyAlignment="1" applyProtection="1">
      <alignment vertical="center"/>
    </xf>
    <xf numFmtId="0" fontId="0" fillId="46" borderId="233" xfId="0" applyFill="1" applyBorder="1" applyAlignment="1" applyProtection="1">
      <alignment vertical="top"/>
    </xf>
    <xf numFmtId="0" fontId="0" fillId="46" borderId="193" xfId="0" applyFill="1" applyBorder="1" applyAlignment="1" applyProtection="1">
      <alignment vertical="top"/>
    </xf>
    <xf numFmtId="0" fontId="0" fillId="46" borderId="189" xfId="0" applyFill="1" applyBorder="1" applyAlignment="1" applyProtection="1">
      <alignment vertical="top"/>
    </xf>
    <xf numFmtId="0" fontId="0" fillId="46" borderId="189" xfId="0" applyFill="1" applyBorder="1" applyProtection="1"/>
    <xf numFmtId="0" fontId="0" fillId="46" borderId="234" xfId="0" applyFill="1" applyBorder="1" applyAlignment="1" applyProtection="1">
      <alignment horizontal="center" vertical="center"/>
    </xf>
    <xf numFmtId="0" fontId="0" fillId="46" borderId="0" xfId="0" applyFill="1" applyBorder="1" applyAlignment="1" applyProtection="1">
      <alignment horizontal="center" vertical="center"/>
    </xf>
    <xf numFmtId="0" fontId="0" fillId="46" borderId="243" xfId="0" applyFill="1" applyBorder="1" applyAlignment="1" applyProtection="1">
      <alignment horizontal="center" vertical="center"/>
    </xf>
    <xf numFmtId="0" fontId="0" fillId="30" borderId="228" xfId="0" applyFill="1" applyBorder="1" applyAlignment="1">
      <alignment horizontal="center" vertical="center"/>
    </xf>
    <xf numFmtId="0" fontId="0" fillId="30" borderId="226" xfId="0" applyFill="1" applyBorder="1" applyAlignment="1">
      <alignment horizontal="center" vertical="center"/>
    </xf>
    <xf numFmtId="0" fontId="0" fillId="30" borderId="226" xfId="0" applyFill="1" applyBorder="1" applyAlignment="1">
      <alignment horizontal="left" vertical="center"/>
    </xf>
    <xf numFmtId="0" fontId="59" fillId="30" borderId="253" xfId="0" applyFont="1" applyFill="1" applyBorder="1" applyAlignment="1">
      <alignment horizontal="left" vertical="center"/>
    </xf>
    <xf numFmtId="176" fontId="0" fillId="30" borderId="88" xfId="0" applyNumberFormat="1" applyFill="1" applyBorder="1"/>
    <xf numFmtId="177" fontId="0" fillId="30" borderId="52" xfId="0" applyNumberFormat="1" applyFill="1" applyBorder="1" applyAlignment="1" applyProtection="1">
      <alignment horizontal="right" vertical="center"/>
    </xf>
    <xf numFmtId="182" fontId="0" fillId="30" borderId="52" xfId="0" applyNumberFormat="1" applyFill="1" applyBorder="1" applyAlignment="1">
      <alignment horizontal="right" vertical="center"/>
    </xf>
    <xf numFmtId="0" fontId="2" fillId="30" borderId="0" xfId="224" applyFill="1" applyAlignment="1" applyProtection="1">
      <alignment horizontal="center"/>
      <protection locked="0"/>
    </xf>
    <xf numFmtId="0" fontId="2" fillId="30" borderId="0" xfId="224" quotePrefix="1" applyFill="1" applyAlignment="1" applyProtection="1">
      <alignment horizontal="center"/>
      <protection locked="0"/>
    </xf>
    <xf numFmtId="0" fontId="2" fillId="30" borderId="0" xfId="224" applyFill="1" applyAlignment="1" applyProtection="1">
      <alignment horizontal="center"/>
    </xf>
    <xf numFmtId="4" fontId="2" fillId="30" borderId="39" xfId="224" applyNumberFormat="1" applyFill="1" applyBorder="1" applyProtection="1"/>
    <xf numFmtId="49" fontId="2" fillId="46" borderId="36" xfId="224" applyNumberFormat="1" applyFont="1" applyFill="1" applyBorder="1" applyAlignment="1" applyProtection="1">
      <alignment horizontal="center" vertical="center"/>
    </xf>
    <xf numFmtId="49" fontId="2" fillId="46" borderId="52" xfId="224" applyNumberFormat="1" applyFont="1" applyFill="1" applyBorder="1" applyAlignment="1" applyProtection="1">
      <alignment horizontal="center" vertical="center"/>
    </xf>
    <xf numFmtId="49" fontId="2" fillId="46" borderId="68" xfId="224" applyNumberFormat="1" applyFont="1" applyFill="1" applyBorder="1" applyAlignment="1" applyProtection="1">
      <alignment horizontal="center" vertical="center"/>
    </xf>
    <xf numFmtId="49" fontId="2" fillId="46" borderId="196" xfId="224" applyNumberFormat="1" applyFont="1" applyFill="1" applyBorder="1" applyAlignment="1" applyProtection="1">
      <alignment horizontal="center" vertical="center"/>
    </xf>
    <xf numFmtId="49" fontId="2" fillId="46" borderId="264" xfId="224" applyNumberFormat="1" applyFont="1" applyFill="1" applyBorder="1" applyAlignment="1" applyProtection="1">
      <alignment horizontal="center" vertical="center"/>
    </xf>
    <xf numFmtId="49" fontId="2" fillId="46" borderId="265" xfId="224" applyNumberFormat="1" applyFont="1" applyFill="1" applyBorder="1" applyAlignment="1" applyProtection="1">
      <alignment horizontal="center" vertical="center"/>
    </xf>
    <xf numFmtId="49" fontId="3" fillId="46" borderId="196" xfId="224" applyNumberFormat="1" applyFont="1" applyFill="1" applyBorder="1" applyAlignment="1" applyProtection="1">
      <alignment horizontal="center" vertical="center"/>
    </xf>
    <xf numFmtId="49" fontId="3" fillId="46" borderId="264" xfId="224" applyNumberFormat="1" applyFont="1" applyFill="1" applyBorder="1" applyAlignment="1" applyProtection="1">
      <alignment horizontal="center" vertical="center"/>
    </xf>
    <xf numFmtId="49" fontId="3" fillId="46" borderId="265" xfId="224" applyNumberFormat="1" applyFont="1" applyFill="1" applyBorder="1" applyAlignment="1" applyProtection="1">
      <alignment horizontal="center" vertical="center"/>
    </xf>
    <xf numFmtId="49" fontId="2" fillId="46" borderId="196" xfId="263" applyNumberFormat="1" applyFont="1" applyFill="1" applyBorder="1" applyAlignment="1" applyProtection="1">
      <alignment horizontal="center" vertical="center"/>
    </xf>
    <xf numFmtId="49" fontId="2" fillId="46" borderId="264" xfId="263" applyNumberFormat="1" applyFont="1" applyFill="1" applyBorder="1" applyAlignment="1" applyProtection="1">
      <alignment horizontal="center" vertical="center"/>
    </xf>
    <xf numFmtId="49" fontId="2" fillId="46" borderId="265" xfId="263" applyNumberFormat="1" applyFont="1" applyFill="1" applyBorder="1" applyAlignment="1" applyProtection="1">
      <alignment horizontal="center" vertical="center"/>
    </xf>
    <xf numFmtId="49" fontId="2" fillId="46" borderId="194" xfId="224" applyNumberFormat="1" applyFont="1" applyFill="1" applyBorder="1" applyAlignment="1" applyProtection="1">
      <alignment horizontal="center" vertical="center"/>
    </xf>
    <xf numFmtId="49" fontId="2" fillId="46" borderId="60" xfId="224" applyNumberFormat="1" applyFont="1" applyFill="1" applyBorder="1" applyAlignment="1" applyProtection="1">
      <alignment horizontal="center" vertical="center"/>
    </xf>
    <xf numFmtId="49" fontId="2" fillId="46" borderId="62" xfId="224" applyNumberFormat="1" applyFont="1" applyFill="1" applyBorder="1" applyAlignment="1" applyProtection="1">
      <alignment horizontal="center" vertical="center"/>
    </xf>
    <xf numFmtId="0" fontId="3" fillId="46" borderId="259" xfId="224" applyFont="1" applyFill="1" applyBorder="1" applyAlignment="1" applyProtection="1">
      <alignment horizontal="center" vertical="center"/>
    </xf>
    <xf numFmtId="0" fontId="3" fillId="46" borderId="261" xfId="224" applyFont="1" applyFill="1" applyBorder="1" applyAlignment="1" applyProtection="1">
      <alignment horizontal="center" vertical="center"/>
    </xf>
    <xf numFmtId="0" fontId="3" fillId="46" borderId="228" xfId="224" applyFont="1" applyFill="1" applyBorder="1" applyAlignment="1" applyProtection="1">
      <alignment horizontal="center" vertical="center"/>
    </xf>
    <xf numFmtId="0" fontId="3" fillId="46" borderId="228" xfId="224" applyFont="1" applyFill="1" applyBorder="1" applyAlignment="1" applyProtection="1">
      <alignment horizontal="left" vertical="center"/>
    </xf>
    <xf numFmtId="0" fontId="2" fillId="46" borderId="259" xfId="224" applyFont="1" applyFill="1" applyBorder="1" applyAlignment="1" applyProtection="1">
      <alignment horizontal="center" vertical="center"/>
    </xf>
    <xf numFmtId="0" fontId="2" fillId="46" borderId="260" xfId="224" applyFont="1" applyFill="1" applyBorder="1" applyAlignment="1" applyProtection="1">
      <alignment horizontal="center" vertical="center"/>
    </xf>
    <xf numFmtId="0" fontId="2" fillId="46" borderId="261" xfId="224" applyFont="1" applyFill="1" applyBorder="1" applyAlignment="1" applyProtection="1">
      <alignment horizontal="center" vertical="center"/>
    </xf>
    <xf numFmtId="0" fontId="3" fillId="46" borderId="226" xfId="224" applyFont="1" applyFill="1" applyBorder="1" applyAlignment="1" applyProtection="1">
      <alignment horizontal="center" vertical="center"/>
    </xf>
    <xf numFmtId="0" fontId="3" fillId="46" borderId="229" xfId="224" applyFont="1" applyFill="1" applyBorder="1" applyAlignment="1" applyProtection="1">
      <alignment horizontal="center" vertical="center"/>
    </xf>
    <xf numFmtId="0" fontId="2" fillId="30" borderId="0" xfId="224" applyFont="1" applyFill="1" applyProtection="1"/>
    <xf numFmtId="0" fontId="3" fillId="46" borderId="226" xfId="224" applyFont="1" applyFill="1" applyBorder="1" applyAlignment="1" applyProtection="1">
      <alignment horizontal="left" vertical="center"/>
    </xf>
    <xf numFmtId="0" fontId="3" fillId="46" borderId="229" xfId="224" applyFont="1" applyFill="1" applyBorder="1" applyAlignment="1" applyProtection="1">
      <alignment horizontal="left" vertical="center"/>
    </xf>
    <xf numFmtId="0" fontId="3" fillId="46" borderId="44" xfId="224" applyFont="1" applyFill="1" applyBorder="1" applyProtection="1"/>
    <xf numFmtId="0" fontId="3" fillId="46" borderId="38" xfId="224" applyFont="1" applyFill="1" applyBorder="1" applyProtection="1"/>
    <xf numFmtId="0" fontId="2" fillId="46" borderId="53" xfId="224" applyFill="1" applyBorder="1" applyAlignment="1" applyProtection="1">
      <alignment horizontal="right"/>
    </xf>
    <xf numFmtId="0" fontId="2" fillId="46" borderId="15" xfId="224" applyFill="1" applyBorder="1" applyProtection="1"/>
    <xf numFmtId="0" fontId="2" fillId="46" borderId="14" xfId="224" applyFill="1" applyBorder="1" applyProtection="1"/>
    <xf numFmtId="0" fontId="2" fillId="46" borderId="31" xfId="224" applyFill="1" applyBorder="1" applyAlignment="1" applyProtection="1">
      <alignment horizontal="right"/>
    </xf>
    <xf numFmtId="0" fontId="2" fillId="46" borderId="70" xfId="224" applyFill="1" applyBorder="1" applyProtection="1"/>
    <xf numFmtId="0" fontId="2" fillId="46" borderId="67" xfId="224" applyFill="1" applyBorder="1" applyProtection="1"/>
    <xf numFmtId="0" fontId="2" fillId="46" borderId="35" xfId="224" applyFill="1" applyBorder="1" applyAlignment="1" applyProtection="1">
      <alignment horizontal="right"/>
    </xf>
    <xf numFmtId="4" fontId="81" fillId="46" borderId="36" xfId="224" applyNumberFormat="1" applyFont="1" applyFill="1" applyBorder="1" applyProtection="1"/>
    <xf numFmtId="4" fontId="81" fillId="46" borderId="68" xfId="224" applyNumberFormat="1" applyFont="1" applyFill="1" applyBorder="1" applyProtection="1"/>
    <xf numFmtId="4" fontId="81" fillId="46" borderId="39" xfId="224" applyNumberFormat="1" applyFont="1" applyFill="1" applyBorder="1" applyProtection="1"/>
    <xf numFmtId="4" fontId="81" fillId="46" borderId="55" xfId="224" applyNumberFormat="1" applyFont="1" applyFill="1" applyBorder="1" applyProtection="1"/>
    <xf numFmtId="4" fontId="81" fillId="46" borderId="34" xfId="224" applyNumberFormat="1" applyFont="1" applyFill="1" applyBorder="1" applyProtection="1"/>
    <xf numFmtId="4" fontId="81" fillId="46" borderId="69" xfId="224" applyNumberFormat="1" applyFont="1" applyFill="1" applyBorder="1" applyProtection="1"/>
    <xf numFmtId="4" fontId="81" fillId="46" borderId="52" xfId="224" applyNumberFormat="1" applyFont="1" applyFill="1" applyBorder="1" applyProtection="1"/>
    <xf numFmtId="4" fontId="81" fillId="46" borderId="48" xfId="224" applyNumberFormat="1" applyFont="1" applyFill="1" applyBorder="1" applyProtection="1"/>
    <xf numFmtId="4" fontId="81" fillId="46" borderId="79" xfId="224" applyNumberFormat="1" applyFont="1" applyFill="1" applyBorder="1" applyProtection="1"/>
    <xf numFmtId="49" fontId="2" fillId="46" borderId="39" xfId="224" applyNumberFormat="1" applyFont="1" applyFill="1" applyBorder="1" applyAlignment="1" applyProtection="1">
      <alignment horizontal="center" vertical="center"/>
    </xf>
    <xf numFmtId="49" fontId="2" fillId="46" borderId="48" xfId="224" applyNumberFormat="1" applyFont="1" applyFill="1" applyBorder="1" applyAlignment="1" applyProtection="1">
      <alignment horizontal="center" vertical="center"/>
    </xf>
    <xf numFmtId="49" fontId="2" fillId="46" borderId="55" xfId="224" applyNumberFormat="1" applyFont="1" applyFill="1" applyBorder="1" applyAlignment="1" applyProtection="1">
      <alignment horizontal="center" vertical="center"/>
    </xf>
    <xf numFmtId="49" fontId="2" fillId="46" borderId="34" xfId="224" applyNumberFormat="1" applyFont="1" applyFill="1" applyBorder="1" applyAlignment="1" applyProtection="1">
      <alignment horizontal="center" vertical="center"/>
    </xf>
    <xf numFmtId="49" fontId="2" fillId="46" borderId="79" xfId="224" applyNumberFormat="1" applyFont="1" applyFill="1" applyBorder="1" applyAlignment="1" applyProtection="1">
      <alignment horizontal="center" vertical="center"/>
    </xf>
    <xf numFmtId="49" fontId="2" fillId="46" borderId="69" xfId="224" applyNumberFormat="1" applyFont="1" applyFill="1" applyBorder="1" applyAlignment="1" applyProtection="1">
      <alignment horizontal="center" vertical="center"/>
    </xf>
    <xf numFmtId="2" fontId="2" fillId="43" borderId="196" xfId="224" applyNumberFormat="1" applyFill="1" applyBorder="1" applyProtection="1"/>
    <xf numFmtId="2" fontId="2" fillId="43" borderId="28" xfId="224" applyNumberFormat="1" applyFill="1" applyBorder="1" applyProtection="1"/>
    <xf numFmtId="2" fontId="2" fillId="43" borderId="195" xfId="224" applyNumberFormat="1" applyFill="1" applyBorder="1" applyProtection="1"/>
    <xf numFmtId="178" fontId="2" fillId="43" borderId="196" xfId="224" applyNumberFormat="1" applyFill="1" applyBorder="1" applyProtection="1"/>
    <xf numFmtId="178" fontId="2" fillId="43" borderId="51" xfId="224" applyNumberFormat="1" applyFill="1" applyBorder="1" applyProtection="1"/>
    <xf numFmtId="167" fontId="2" fillId="43" borderId="15" xfId="263" applyNumberFormat="1" applyFill="1" applyBorder="1" applyProtection="1"/>
    <xf numFmtId="167" fontId="2" fillId="43" borderId="48" xfId="263" applyNumberFormat="1" applyFill="1" applyBorder="1" applyProtection="1"/>
    <xf numFmtId="167" fontId="2" fillId="43" borderId="40" xfId="263" applyNumberFormat="1" applyFill="1" applyBorder="1" applyProtection="1"/>
    <xf numFmtId="167" fontId="2" fillId="43" borderId="39" xfId="263" applyNumberFormat="1" applyFill="1" applyBorder="1" applyProtection="1"/>
    <xf numFmtId="167" fontId="2" fillId="43" borderId="55" xfId="263" applyNumberFormat="1" applyFill="1" applyBorder="1" applyProtection="1"/>
    <xf numFmtId="178" fontId="2" fillId="43" borderId="195" xfId="224" applyNumberFormat="1" applyFill="1" applyBorder="1" applyProtection="1"/>
    <xf numFmtId="167" fontId="2" fillId="43" borderId="39" xfId="263" applyNumberFormat="1" applyFill="1" applyBorder="1" applyAlignment="1" applyProtection="1">
      <alignment vertical="center"/>
    </xf>
    <xf numFmtId="167" fontId="2" fillId="43" borderId="55" xfId="263" applyNumberFormat="1" applyFill="1" applyBorder="1" applyAlignment="1" applyProtection="1">
      <alignment vertical="center"/>
    </xf>
    <xf numFmtId="0" fontId="2" fillId="46" borderId="236" xfId="224" applyFill="1" applyBorder="1" applyProtection="1"/>
    <xf numFmtId="0" fontId="2" fillId="46" borderId="235" xfId="224" applyFill="1" applyBorder="1" applyAlignment="1" applyProtection="1">
      <alignment horizontal="right"/>
    </xf>
    <xf numFmtId="0" fontId="2" fillId="46" borderId="242" xfId="224" applyFill="1" applyBorder="1" applyProtection="1"/>
    <xf numFmtId="0" fontId="2" fillId="46" borderId="243" xfId="224" applyFill="1" applyBorder="1" applyProtection="1"/>
    <xf numFmtId="0" fontId="2" fillId="46" borderId="244" xfId="224" applyFill="1" applyBorder="1" applyAlignment="1" applyProtection="1">
      <alignment horizontal="right"/>
    </xf>
    <xf numFmtId="4" fontId="81" fillId="46" borderId="233" xfId="224" applyNumberFormat="1" applyFont="1" applyFill="1" applyBorder="1" applyProtection="1"/>
    <xf numFmtId="4" fontId="81" fillId="46" borderId="189" xfId="224" applyNumberFormat="1" applyFont="1" applyFill="1" applyBorder="1" applyProtection="1"/>
    <xf numFmtId="0" fontId="3" fillId="46" borderId="234" xfId="224" applyFont="1" applyFill="1" applyBorder="1" applyProtection="1"/>
    <xf numFmtId="0" fontId="2" fillId="46" borderId="262" xfId="224" applyFill="1" applyBorder="1" applyAlignment="1" applyProtection="1">
      <alignment horizontal="right"/>
    </xf>
    <xf numFmtId="0" fontId="2" fillId="46" borderId="256" xfId="224" applyFill="1" applyBorder="1" applyAlignment="1" applyProtection="1">
      <alignment horizontal="right"/>
    </xf>
    <xf numFmtId="0" fontId="2" fillId="46" borderId="263" xfId="224" applyFill="1" applyBorder="1" applyAlignment="1" applyProtection="1">
      <alignment horizontal="right"/>
    </xf>
    <xf numFmtId="0" fontId="2" fillId="46" borderId="194" xfId="224" applyFill="1" applyBorder="1" applyAlignment="1" applyProtection="1">
      <alignment horizontal="right"/>
    </xf>
    <xf numFmtId="0" fontId="2" fillId="46" borderId="60" xfId="224" applyFill="1" applyBorder="1" applyAlignment="1" applyProtection="1">
      <alignment horizontal="right"/>
    </xf>
    <xf numFmtId="0" fontId="2" fillId="46" borderId="60" xfId="224" applyFill="1" applyBorder="1" applyAlignment="1" applyProtection="1">
      <alignment horizontal="center"/>
    </xf>
    <xf numFmtId="0" fontId="2" fillId="46" borderId="62" xfId="224" applyFill="1" applyBorder="1" applyAlignment="1" applyProtection="1">
      <alignment horizontal="center"/>
    </xf>
    <xf numFmtId="49" fontId="2" fillId="46" borderId="36" xfId="224" applyNumberFormat="1" applyFill="1" applyBorder="1" applyAlignment="1" applyProtection="1">
      <alignment horizontal="center"/>
    </xf>
    <xf numFmtId="49" fontId="2" fillId="46" borderId="52" xfId="224" applyNumberFormat="1" applyFill="1" applyBorder="1" applyAlignment="1" applyProtection="1">
      <alignment horizontal="center"/>
    </xf>
    <xf numFmtId="49" fontId="2" fillId="46" borderId="68" xfId="224" applyNumberFormat="1" applyFill="1" applyBorder="1" applyAlignment="1" applyProtection="1">
      <alignment horizontal="center"/>
    </xf>
    <xf numFmtId="49" fontId="2" fillId="46" borderId="196" xfId="224" applyNumberFormat="1" applyFill="1" applyBorder="1" applyAlignment="1" applyProtection="1">
      <alignment horizontal="center"/>
    </xf>
    <xf numFmtId="49" fontId="2" fillId="46" borderId="264" xfId="224" applyNumberFormat="1" applyFill="1" applyBorder="1" applyAlignment="1" applyProtection="1">
      <alignment horizontal="center"/>
    </xf>
    <xf numFmtId="49" fontId="2" fillId="46" borderId="265" xfId="224" applyNumberFormat="1" applyFill="1" applyBorder="1" applyAlignment="1" applyProtection="1">
      <alignment horizontal="center"/>
    </xf>
    <xf numFmtId="49" fontId="38" fillId="46" borderId="196" xfId="263" applyNumberFormat="1" applyFont="1" applyFill="1" applyBorder="1" applyAlignment="1" applyProtection="1">
      <alignment horizontal="center"/>
    </xf>
    <xf numFmtId="49" fontId="38" fillId="46" borderId="264" xfId="263" applyNumberFormat="1" applyFont="1" applyFill="1" applyBorder="1" applyAlignment="1" applyProtection="1">
      <alignment horizontal="center"/>
    </xf>
    <xf numFmtId="49" fontId="38" fillId="46" borderId="265" xfId="263" applyNumberFormat="1" applyFont="1" applyFill="1" applyBorder="1" applyAlignment="1" applyProtection="1">
      <alignment horizontal="center"/>
    </xf>
    <xf numFmtId="49" fontId="2" fillId="46" borderId="194" xfId="224" applyNumberFormat="1" applyFill="1" applyBorder="1" applyAlignment="1" applyProtection="1">
      <alignment horizontal="center"/>
    </xf>
    <xf numFmtId="49" fontId="2" fillId="46" borderId="60" xfId="224" applyNumberFormat="1" applyFill="1" applyBorder="1" applyAlignment="1" applyProtection="1">
      <alignment horizontal="center"/>
    </xf>
    <xf numFmtId="49" fontId="2" fillId="46" borderId="62" xfId="224" applyNumberFormat="1" applyFill="1" applyBorder="1" applyAlignment="1" applyProtection="1">
      <alignment horizontal="center"/>
    </xf>
    <xf numFmtId="0" fontId="2" fillId="46" borderId="227" xfId="224" applyFont="1" applyFill="1" applyBorder="1" applyAlignment="1" applyProtection="1">
      <alignment horizontal="center" vertical="center"/>
    </xf>
    <xf numFmtId="0" fontId="62" fillId="30" borderId="0" xfId="0" applyFont="1" applyFill="1" applyAlignment="1" applyProtection="1">
      <alignment horizontal="left"/>
      <protection locked="0"/>
    </xf>
    <xf numFmtId="0" fontId="0" fillId="30" borderId="0" xfId="0" applyFill="1" applyAlignment="1">
      <alignment horizontal="left" vertical="center"/>
    </xf>
    <xf numFmtId="0" fontId="78" fillId="30" borderId="0" xfId="0" applyFont="1" applyFill="1" applyAlignment="1">
      <alignment horizontal="left" vertical="center" wrapText="1"/>
    </xf>
    <xf numFmtId="0" fontId="78" fillId="30" borderId="0" xfId="0" applyFont="1" applyFill="1" applyAlignment="1" applyProtection="1">
      <alignment horizontal="left" vertical="center" wrapText="1"/>
    </xf>
    <xf numFmtId="0" fontId="5" fillId="37" borderId="0" xfId="224" applyFont="1" applyFill="1" applyAlignment="1" applyProtection="1">
      <alignment horizontal="center" vertical="center"/>
    </xf>
    <xf numFmtId="0" fontId="3" fillId="30" borderId="66" xfId="1" applyFont="1" applyFill="1" applyBorder="1" applyAlignment="1" applyProtection="1">
      <alignment horizontal="left" vertical="center"/>
    </xf>
    <xf numFmtId="0" fontId="3" fillId="30" borderId="24" xfId="1" applyFont="1" applyFill="1" applyBorder="1" applyAlignment="1" applyProtection="1">
      <alignment horizontal="left" vertical="center"/>
    </xf>
    <xf numFmtId="0" fontId="3" fillId="30" borderId="93" xfId="1" applyFont="1" applyFill="1" applyBorder="1" applyAlignment="1" applyProtection="1">
      <alignment horizontal="left" vertical="center"/>
    </xf>
    <xf numFmtId="0" fontId="2" fillId="0" borderId="0" xfId="224" applyAlignment="1" applyProtection="1">
      <alignment horizontal="left" vertical="center" wrapText="1"/>
    </xf>
    <xf numFmtId="0" fontId="3" fillId="31" borderId="25" xfId="263" applyNumberFormat="1" applyFont="1" applyFill="1" applyBorder="1" applyAlignment="1" applyProtection="1">
      <alignment horizontal="center" vertical="center"/>
      <protection locked="0"/>
    </xf>
    <xf numFmtId="0" fontId="3" fillId="31" borderId="26" xfId="263" applyNumberFormat="1" applyFont="1" applyFill="1" applyBorder="1" applyAlignment="1" applyProtection="1">
      <alignment horizontal="center" vertical="center"/>
      <protection locked="0"/>
    </xf>
    <xf numFmtId="0" fontId="3" fillId="31" borderId="20" xfId="263" applyNumberFormat="1" applyFont="1" applyFill="1" applyBorder="1" applyAlignment="1" applyProtection="1">
      <alignment horizontal="center" vertical="center"/>
      <protection locked="0"/>
    </xf>
    <xf numFmtId="0" fontId="65" fillId="30" borderId="0" xfId="0" applyFont="1" applyFill="1" applyAlignment="1" applyProtection="1">
      <alignment horizontal="left" vertical="center"/>
    </xf>
    <xf numFmtId="0" fontId="0" fillId="30" borderId="24" xfId="0" applyFill="1" applyBorder="1" applyAlignment="1" applyProtection="1">
      <alignment horizontal="left" vertical="center"/>
    </xf>
    <xf numFmtId="0" fontId="0" fillId="30" borderId="0" xfId="0" applyFill="1" applyAlignment="1" applyProtection="1">
      <alignment horizontal="left" vertical="center" wrapText="1"/>
    </xf>
    <xf numFmtId="0" fontId="66" fillId="30" borderId="25" xfId="0" applyFont="1" applyFill="1" applyBorder="1" applyAlignment="1" applyProtection="1">
      <alignment horizontal="center" vertical="center"/>
    </xf>
    <xf numFmtId="0" fontId="66" fillId="30" borderId="26" xfId="0" applyFont="1" applyFill="1" applyBorder="1" applyAlignment="1" applyProtection="1">
      <alignment horizontal="center" vertical="center"/>
    </xf>
    <xf numFmtId="0" fontId="66" fillId="30" borderId="136" xfId="0" applyFont="1" applyFill="1" applyBorder="1" applyAlignment="1" applyProtection="1">
      <alignment horizontal="center" vertical="center"/>
    </xf>
    <xf numFmtId="0" fontId="66" fillId="30" borderId="20" xfId="0" applyFont="1" applyFill="1" applyBorder="1" applyAlignment="1" applyProtection="1">
      <alignment horizontal="center" vertical="center"/>
    </xf>
    <xf numFmtId="0" fontId="42" fillId="30" borderId="25" xfId="258" applyFont="1" applyFill="1" applyBorder="1" applyAlignment="1" applyProtection="1">
      <alignment horizontal="center" vertical="center"/>
    </xf>
    <xf numFmtId="0" fontId="42" fillId="30" borderId="26" xfId="258" applyFont="1" applyFill="1" applyBorder="1" applyAlignment="1" applyProtection="1">
      <alignment horizontal="center" vertical="center"/>
    </xf>
    <xf numFmtId="0" fontId="42" fillId="30" borderId="20" xfId="258" applyFont="1" applyFill="1" applyBorder="1" applyAlignment="1" applyProtection="1">
      <alignment horizontal="center" vertical="center"/>
    </xf>
    <xf numFmtId="0" fontId="0" fillId="30" borderId="0" xfId="0" applyFill="1" applyAlignment="1" applyProtection="1">
      <alignment horizontal="left" vertical="center"/>
    </xf>
    <xf numFmtId="0" fontId="0" fillId="30" borderId="0" xfId="0" applyFill="1" applyAlignment="1" applyProtection="1">
      <alignment horizontal="left" vertical="top" wrapText="1"/>
    </xf>
    <xf numFmtId="0" fontId="0" fillId="30" borderId="84" xfId="0" applyFill="1" applyBorder="1" applyAlignment="1">
      <alignment horizontal="center" vertical="center"/>
    </xf>
    <xf numFmtId="0" fontId="0" fillId="30" borderId="160" xfId="0" applyFill="1" applyBorder="1" applyAlignment="1">
      <alignment horizontal="center" vertical="center"/>
    </xf>
    <xf numFmtId="0" fontId="34" fillId="30" borderId="135" xfId="258" applyFont="1" applyFill="1" applyBorder="1" applyAlignment="1" applyProtection="1">
      <alignment horizontal="center" vertical="center"/>
    </xf>
    <xf numFmtId="0" fontId="34" fillId="30" borderId="136" xfId="258" applyFont="1" applyFill="1" applyBorder="1" applyAlignment="1" applyProtection="1">
      <alignment horizontal="center" vertical="center"/>
    </xf>
    <xf numFmtId="0" fontId="0" fillId="30" borderId="152" xfId="0" applyFill="1" applyBorder="1" applyAlignment="1">
      <alignment horizontal="center" vertical="center"/>
    </xf>
    <xf numFmtId="0" fontId="0" fillId="30" borderId="141" xfId="0" applyFill="1" applyBorder="1" applyAlignment="1">
      <alignment horizontal="center" vertical="center"/>
    </xf>
    <xf numFmtId="0" fontId="0" fillId="30" borderId="143" xfId="0" applyFill="1" applyBorder="1" applyAlignment="1">
      <alignment horizontal="center" vertical="center"/>
    </xf>
    <xf numFmtId="0" fontId="0" fillId="30" borderId="147" xfId="0" applyFill="1" applyBorder="1" applyAlignment="1">
      <alignment horizontal="center" vertical="center"/>
    </xf>
    <xf numFmtId="0" fontId="0" fillId="30" borderId="104" xfId="0" applyFill="1" applyBorder="1" applyAlignment="1">
      <alignment horizontal="center" vertical="center"/>
    </xf>
    <xf numFmtId="0" fontId="0" fillId="30" borderId="75" xfId="0" applyFill="1" applyBorder="1" applyAlignment="1">
      <alignment horizontal="center" vertical="center"/>
    </xf>
    <xf numFmtId="0" fontId="65" fillId="30" borderId="0" xfId="0" applyFont="1" applyFill="1" applyAlignment="1" applyProtection="1">
      <alignment horizontal="center" vertical="center"/>
    </xf>
    <xf numFmtId="0" fontId="42" fillId="30" borderId="135" xfId="258" applyFont="1" applyFill="1" applyBorder="1" applyAlignment="1" applyProtection="1">
      <alignment horizontal="center" vertical="center"/>
    </xf>
    <xf numFmtId="0" fontId="42" fillId="30" borderId="136" xfId="258" applyFont="1" applyFill="1" applyBorder="1" applyAlignment="1" applyProtection="1">
      <alignment horizontal="center" vertical="center"/>
    </xf>
    <xf numFmtId="0" fontId="42" fillId="30" borderId="142" xfId="258" applyFont="1" applyFill="1" applyBorder="1" applyAlignment="1" applyProtection="1">
      <alignment horizontal="center" vertical="center"/>
    </xf>
    <xf numFmtId="0" fontId="34" fillId="30" borderId="25" xfId="258" applyFont="1" applyFill="1" applyBorder="1" applyAlignment="1" applyProtection="1">
      <alignment horizontal="center" vertical="center"/>
    </xf>
    <xf numFmtId="0" fontId="34" fillId="30" borderId="26" xfId="258" applyFont="1" applyFill="1" applyBorder="1" applyAlignment="1" applyProtection="1">
      <alignment horizontal="center" vertical="center"/>
    </xf>
    <xf numFmtId="0" fontId="34" fillId="30" borderId="20" xfId="258" applyFont="1" applyFill="1" applyBorder="1" applyAlignment="1" applyProtection="1">
      <alignment horizontal="center" vertical="center"/>
    </xf>
    <xf numFmtId="10" fontId="56" fillId="30" borderId="92" xfId="158" applyNumberFormat="1" applyFont="1" applyFill="1" applyBorder="1" applyAlignment="1">
      <alignment horizontal="center" vertical="center"/>
    </xf>
    <xf numFmtId="10" fontId="56" fillId="30" borderId="168" xfId="158" applyNumberFormat="1" applyFont="1" applyFill="1" applyBorder="1" applyAlignment="1">
      <alignment horizontal="center" vertical="center"/>
    </xf>
    <xf numFmtId="10" fontId="56" fillId="30" borderId="99" xfId="158" applyNumberFormat="1" applyFont="1" applyFill="1" applyBorder="1" applyAlignment="1">
      <alignment horizontal="center" vertical="center"/>
    </xf>
    <xf numFmtId="176" fontId="0" fillId="30" borderId="88" xfId="0" applyNumberFormat="1" applyFill="1" applyBorder="1" applyAlignment="1">
      <alignment horizontal="right" vertical="center"/>
    </xf>
    <xf numFmtId="176" fontId="0" fillId="30" borderId="169" xfId="0" applyNumberFormat="1" applyFill="1" applyBorder="1" applyAlignment="1">
      <alignment horizontal="right" vertical="center"/>
    </xf>
    <xf numFmtId="176" fontId="0" fillId="30" borderId="100" xfId="0" applyNumberFormat="1" applyFill="1" applyBorder="1" applyAlignment="1">
      <alignment horizontal="right" vertical="center"/>
    </xf>
    <xf numFmtId="10" fontId="56" fillId="30" borderId="88" xfId="158" applyNumberFormat="1" applyFont="1" applyFill="1" applyBorder="1" applyAlignment="1">
      <alignment horizontal="right" vertical="center"/>
    </xf>
    <xf numFmtId="10" fontId="56" fillId="30" borderId="169" xfId="158" applyNumberFormat="1" applyFont="1" applyFill="1" applyBorder="1" applyAlignment="1">
      <alignment horizontal="right" vertical="center"/>
    </xf>
    <xf numFmtId="10" fontId="56" fillId="30" borderId="100" xfId="158" applyNumberFormat="1" applyFont="1" applyFill="1" applyBorder="1" applyAlignment="1">
      <alignment horizontal="right" vertical="center"/>
    </xf>
    <xf numFmtId="0" fontId="67" fillId="30" borderId="22" xfId="0" applyFont="1" applyFill="1" applyBorder="1" applyAlignment="1">
      <alignment horizontal="center"/>
    </xf>
    <xf numFmtId="0" fontId="0" fillId="30" borderId="17" xfId="0" applyFill="1" applyBorder="1" applyAlignment="1">
      <alignment horizontal="center" vertical="center" wrapText="1"/>
    </xf>
    <xf numFmtId="0" fontId="0" fillId="30" borderId="21" xfId="0" applyFill="1" applyBorder="1" applyAlignment="1">
      <alignment horizontal="center" vertical="center" wrapText="1"/>
    </xf>
    <xf numFmtId="0" fontId="0" fillId="30" borderId="49" xfId="0" applyFill="1" applyBorder="1" applyAlignment="1">
      <alignment horizontal="center" vertical="center"/>
    </xf>
    <xf numFmtId="0" fontId="0" fillId="30" borderId="23" xfId="0" applyFill="1" applyBorder="1" applyAlignment="1">
      <alignment horizontal="center" vertical="center"/>
    </xf>
    <xf numFmtId="0" fontId="0" fillId="30" borderId="101" xfId="0" applyFill="1" applyBorder="1" applyAlignment="1">
      <alignment horizontal="center" vertical="center" wrapText="1"/>
    </xf>
    <xf numFmtId="0" fontId="0" fillId="30" borderId="102" xfId="0" applyFill="1" applyBorder="1" applyAlignment="1">
      <alignment horizontal="center" vertical="center" wrapText="1"/>
    </xf>
    <xf numFmtId="0" fontId="0" fillId="30" borderId="101" xfId="0" applyFill="1" applyBorder="1" applyAlignment="1">
      <alignment horizontal="center" vertical="center"/>
    </xf>
    <xf numFmtId="0" fontId="0" fillId="30" borderId="102" xfId="0" applyFill="1" applyBorder="1" applyAlignment="1">
      <alignment horizontal="center" vertical="center"/>
    </xf>
    <xf numFmtId="0" fontId="0" fillId="30" borderId="104" xfId="0" applyFill="1" applyBorder="1" applyAlignment="1">
      <alignment horizontal="center" vertical="center" wrapText="1"/>
    </xf>
    <xf numFmtId="0" fontId="0" fillId="30" borderId="75" xfId="0" applyFill="1" applyBorder="1" applyAlignment="1">
      <alignment horizontal="center" vertical="center" wrapText="1"/>
    </xf>
    <xf numFmtId="176" fontId="0" fillId="30" borderId="149" xfId="0" applyNumberFormat="1" applyFill="1" applyBorder="1" applyAlignment="1">
      <alignment horizontal="right" vertical="center"/>
    </xf>
    <xf numFmtId="176" fontId="0" fillId="30" borderId="99" xfId="0" applyNumberFormat="1" applyFill="1" applyBorder="1" applyAlignment="1">
      <alignment horizontal="right" vertical="center"/>
    </xf>
    <xf numFmtId="176" fontId="0" fillId="30" borderId="167" xfId="0" applyNumberFormat="1" applyFill="1" applyBorder="1" applyAlignment="1">
      <alignment horizontal="right" vertical="center"/>
    </xf>
    <xf numFmtId="176" fontId="0" fillId="30" borderId="92" xfId="0" applyNumberFormat="1" applyFill="1" applyBorder="1" applyAlignment="1">
      <alignment horizontal="right" vertical="center"/>
    </xf>
    <xf numFmtId="176" fontId="0" fillId="30" borderId="168" xfId="0" applyNumberFormat="1" applyFill="1" applyBorder="1" applyAlignment="1">
      <alignment horizontal="right" vertical="center"/>
    </xf>
    <xf numFmtId="176" fontId="0" fillId="30" borderId="87" xfId="0" applyNumberFormat="1" applyFill="1" applyBorder="1" applyAlignment="1">
      <alignment horizontal="right" vertical="center"/>
    </xf>
    <xf numFmtId="176" fontId="0" fillId="30" borderId="91" xfId="0" applyNumberFormat="1" applyFill="1" applyBorder="1" applyAlignment="1">
      <alignment horizontal="right" vertical="center"/>
    </xf>
    <xf numFmtId="10" fontId="0" fillId="30" borderId="149" xfId="158" applyNumberFormat="1" applyFont="1" applyFill="1" applyBorder="1" applyAlignment="1">
      <alignment horizontal="center" vertical="center"/>
    </xf>
    <xf numFmtId="10" fontId="0" fillId="30" borderId="99" xfId="158" applyNumberFormat="1" applyFont="1" applyFill="1" applyBorder="1" applyAlignment="1">
      <alignment horizontal="center" vertical="center"/>
    </xf>
    <xf numFmtId="10" fontId="0" fillId="30" borderId="92" xfId="158" applyNumberFormat="1" applyFont="1" applyFill="1" applyBorder="1" applyAlignment="1">
      <alignment horizontal="center" vertical="center"/>
    </xf>
    <xf numFmtId="10" fontId="0" fillId="30" borderId="168" xfId="158" applyNumberFormat="1" applyFont="1" applyFill="1" applyBorder="1" applyAlignment="1">
      <alignment horizontal="center" vertical="center"/>
    </xf>
    <xf numFmtId="10" fontId="0" fillId="32" borderId="92" xfId="158" applyNumberFormat="1" applyFont="1" applyFill="1" applyBorder="1" applyAlignment="1">
      <alignment horizontal="center" vertical="center"/>
    </xf>
    <xf numFmtId="10" fontId="0" fillId="32" borderId="168" xfId="158" applyNumberFormat="1" applyFont="1" applyFill="1" applyBorder="1" applyAlignment="1">
      <alignment horizontal="center" vertical="center"/>
    </xf>
    <xf numFmtId="10" fontId="0" fillId="32" borderId="99" xfId="158" applyNumberFormat="1" applyFont="1" applyFill="1" applyBorder="1" applyAlignment="1">
      <alignment horizontal="center" vertical="center"/>
    </xf>
    <xf numFmtId="176" fontId="0" fillId="38" borderId="88" xfId="0" applyNumberFormat="1" applyFill="1" applyBorder="1" applyAlignment="1">
      <alignment horizontal="right" vertical="center"/>
    </xf>
    <xf numFmtId="176" fontId="0" fillId="38" borderId="169" xfId="0" applyNumberFormat="1" applyFill="1" applyBorder="1" applyAlignment="1">
      <alignment horizontal="right" vertical="center"/>
    </xf>
    <xf numFmtId="176" fontId="0" fillId="38" borderId="100" xfId="0" applyNumberFormat="1" applyFill="1" applyBorder="1" applyAlignment="1">
      <alignment horizontal="right" vertical="center"/>
    </xf>
    <xf numFmtId="10" fontId="0" fillId="30" borderId="87" xfId="158" applyNumberFormat="1" applyFont="1" applyFill="1" applyBorder="1" applyAlignment="1">
      <alignment horizontal="center" vertical="center"/>
    </xf>
    <xf numFmtId="0" fontId="0" fillId="32" borderId="149" xfId="0" applyFill="1" applyBorder="1" applyAlignment="1">
      <alignment horizontal="center" vertical="center"/>
    </xf>
    <xf numFmtId="0" fontId="0" fillId="32" borderId="168" xfId="0" applyFill="1" applyBorder="1" applyAlignment="1">
      <alignment horizontal="center" vertical="center"/>
    </xf>
    <xf numFmtId="0" fontId="0" fillId="32" borderId="87" xfId="0" applyFill="1" applyBorder="1" applyAlignment="1">
      <alignment horizontal="center" vertical="center"/>
    </xf>
    <xf numFmtId="176" fontId="0" fillId="32" borderId="167" xfId="0" applyNumberFormat="1" applyFill="1" applyBorder="1" applyAlignment="1">
      <alignment horizontal="right" vertical="center"/>
    </xf>
    <xf numFmtId="176" fontId="0" fillId="32" borderId="169" xfId="0" applyNumberFormat="1" applyFill="1" applyBorder="1" applyAlignment="1">
      <alignment horizontal="right" vertical="center"/>
    </xf>
    <xf numFmtId="176" fontId="0" fillId="32" borderId="91" xfId="0" applyNumberFormat="1" applyFill="1" applyBorder="1" applyAlignment="1">
      <alignment horizontal="right" vertical="center"/>
    </xf>
    <xf numFmtId="10" fontId="56" fillId="30" borderId="149" xfId="158" applyNumberFormat="1" applyFont="1" applyFill="1" applyBorder="1" applyAlignment="1">
      <alignment horizontal="center" vertical="center"/>
    </xf>
    <xf numFmtId="10" fontId="56" fillId="30" borderId="167" xfId="158" applyNumberFormat="1" applyFont="1" applyFill="1" applyBorder="1" applyAlignment="1">
      <alignment horizontal="right" vertical="center"/>
    </xf>
    <xf numFmtId="10" fontId="56" fillId="30" borderId="91" xfId="158" applyNumberFormat="1" applyFont="1" applyFill="1" applyBorder="1" applyAlignment="1">
      <alignment horizontal="right" vertical="center"/>
    </xf>
    <xf numFmtId="0" fontId="0" fillId="30" borderId="170" xfId="0" applyFill="1" applyBorder="1" applyAlignment="1">
      <alignment horizontal="left" vertical="center"/>
    </xf>
    <xf numFmtId="0" fontId="0" fillId="30" borderId="171" xfId="0" applyFill="1" applyBorder="1" applyAlignment="1">
      <alignment horizontal="left" vertical="center"/>
    </xf>
    <xf numFmtId="0" fontId="0" fillId="30" borderId="172" xfId="0" applyFill="1" applyBorder="1" applyAlignment="1">
      <alignment horizontal="left" vertical="center"/>
    </xf>
    <xf numFmtId="0" fontId="0" fillId="30" borderId="64" xfId="0" applyFill="1" applyBorder="1" applyAlignment="1">
      <alignment horizontal="left" vertical="center"/>
    </xf>
    <xf numFmtId="0" fontId="0" fillId="30" borderId="173" xfId="0" applyFill="1" applyBorder="1" applyAlignment="1">
      <alignment horizontal="left" vertical="center"/>
    </xf>
    <xf numFmtId="0" fontId="34" fillId="30" borderId="142" xfId="258" applyFont="1" applyFill="1" applyBorder="1" applyAlignment="1" applyProtection="1">
      <alignment horizontal="center" vertical="center"/>
    </xf>
    <xf numFmtId="0" fontId="0" fillId="30" borderId="25" xfId="0" applyFill="1" applyBorder="1" applyAlignment="1">
      <alignment horizontal="center" vertical="center"/>
    </xf>
    <xf numFmtId="0" fontId="0" fillId="30" borderId="26" xfId="0" applyFill="1" applyBorder="1" applyAlignment="1">
      <alignment horizontal="center" vertical="center"/>
    </xf>
    <xf numFmtId="0" fontId="0" fillId="30" borderId="136" xfId="0" applyFill="1" applyBorder="1" applyAlignment="1">
      <alignment horizontal="center" vertical="center"/>
    </xf>
    <xf numFmtId="0" fontId="0" fillId="30" borderId="17" xfId="0" applyFill="1" applyBorder="1" applyAlignment="1">
      <alignment horizontal="center" vertical="center"/>
    </xf>
    <xf numFmtId="10" fontId="0" fillId="30" borderId="60" xfId="0" quotePrefix="1" applyNumberFormat="1" applyFill="1" applyBorder="1" applyAlignment="1">
      <alignment horizontal="center" vertical="center"/>
    </xf>
    <xf numFmtId="177" fontId="0" fillId="33" borderId="47" xfId="0" applyNumberFormat="1" applyFill="1" applyBorder="1" applyAlignment="1" applyProtection="1">
      <alignment horizontal="center" vertical="center"/>
      <protection locked="0"/>
    </xf>
    <xf numFmtId="177" fontId="0" fillId="33" borderId="50" xfId="0" applyNumberFormat="1" applyFill="1" applyBorder="1" applyAlignment="1" applyProtection="1">
      <alignment horizontal="center" vertical="center"/>
      <protection locked="0"/>
    </xf>
    <xf numFmtId="177" fontId="0" fillId="33" borderId="57" xfId="0" applyNumberFormat="1" applyFill="1" applyBorder="1" applyAlignment="1" applyProtection="1">
      <alignment horizontal="center" vertical="center"/>
      <protection locked="0"/>
    </xf>
    <xf numFmtId="0" fontId="0" fillId="30" borderId="149" xfId="0" applyFill="1" applyBorder="1" applyAlignment="1">
      <alignment horizontal="center" vertical="center" wrapText="1"/>
    </xf>
    <xf numFmtId="0" fontId="0" fillId="30" borderId="87" xfId="0" applyFill="1" applyBorder="1" applyAlignment="1">
      <alignment horizontal="center" vertical="center" wrapText="1"/>
    </xf>
    <xf numFmtId="0" fontId="0" fillId="30" borderId="150" xfId="0" applyFill="1" applyBorder="1" applyAlignment="1">
      <alignment horizontal="center" vertical="center"/>
    </xf>
    <xf numFmtId="0" fontId="0" fillId="30" borderId="60" xfId="0" applyFill="1" applyBorder="1" applyAlignment="1">
      <alignment horizontal="center" vertical="center"/>
    </xf>
    <xf numFmtId="0" fontId="67" fillId="30" borderId="17" xfId="0" applyFont="1" applyFill="1" applyBorder="1" applyAlignment="1">
      <alignment horizontal="center" vertical="center" textRotation="90"/>
    </xf>
    <xf numFmtId="0" fontId="67" fillId="30" borderId="16" xfId="0" applyFont="1" applyFill="1" applyBorder="1" applyAlignment="1">
      <alignment horizontal="center" vertical="center" textRotation="90"/>
    </xf>
    <xf numFmtId="0" fontId="67" fillId="30" borderId="21" xfId="0" applyFont="1" applyFill="1" applyBorder="1" applyAlignment="1">
      <alignment horizontal="center" vertical="center" textRotation="90"/>
    </xf>
    <xf numFmtId="0" fontId="0" fillId="30" borderId="18" xfId="0" applyFill="1" applyBorder="1" applyAlignment="1">
      <alignment horizontal="center" vertical="center"/>
    </xf>
    <xf numFmtId="0" fontId="0" fillId="30" borderId="149" xfId="0" applyFill="1" applyBorder="1" applyAlignment="1">
      <alignment horizontal="center" vertical="center"/>
    </xf>
    <xf numFmtId="0" fontId="0" fillId="30" borderId="87" xfId="0" applyFill="1" applyBorder="1" applyAlignment="1">
      <alignment horizontal="center" vertical="center"/>
    </xf>
    <xf numFmtId="0" fontId="0" fillId="30" borderId="174" xfId="0" applyFill="1" applyBorder="1" applyAlignment="1">
      <alignment horizontal="center" vertical="center"/>
    </xf>
    <xf numFmtId="0" fontId="0" fillId="30" borderId="62" xfId="0" applyFill="1" applyBorder="1" applyAlignment="1">
      <alignment horizontal="center" vertical="center"/>
    </xf>
    <xf numFmtId="0" fontId="0" fillId="30" borderId="150" xfId="0" applyFill="1" applyBorder="1" applyAlignment="1">
      <alignment horizontal="center" vertical="center" wrapText="1"/>
    </xf>
    <xf numFmtId="0" fontId="0" fillId="30" borderId="60" xfId="0" applyFill="1" applyBorder="1" applyAlignment="1">
      <alignment horizontal="center" vertical="center" wrapText="1"/>
    </xf>
    <xf numFmtId="0" fontId="0" fillId="30" borderId="149" xfId="0" applyFill="1" applyBorder="1" applyAlignment="1" applyProtection="1">
      <alignment horizontal="center" vertical="center"/>
    </xf>
    <xf numFmtId="0" fontId="0" fillId="30" borderId="87" xfId="0" applyFill="1" applyBorder="1" applyAlignment="1" applyProtection="1">
      <alignment horizontal="center" vertical="center"/>
    </xf>
    <xf numFmtId="0" fontId="0" fillId="30" borderId="174" xfId="0" applyFill="1" applyBorder="1" applyAlignment="1" applyProtection="1">
      <alignment horizontal="center" vertical="center"/>
    </xf>
    <xf numFmtId="0" fontId="0" fillId="30" borderId="62" xfId="0" applyFill="1" applyBorder="1" applyAlignment="1" applyProtection="1">
      <alignment horizontal="center" vertical="center"/>
    </xf>
    <xf numFmtId="0" fontId="0" fillId="30" borderId="17" xfId="0" applyFill="1" applyBorder="1" applyAlignment="1" applyProtection="1">
      <alignment horizontal="center" vertical="center"/>
    </xf>
    <xf numFmtId="0" fontId="0" fillId="30" borderId="49" xfId="0" applyFill="1" applyBorder="1" applyAlignment="1" applyProtection="1">
      <alignment horizontal="center" vertical="center"/>
    </xf>
    <xf numFmtId="0" fontId="0" fillId="30" borderId="25" xfId="0" applyFill="1" applyBorder="1" applyAlignment="1" applyProtection="1">
      <alignment horizontal="center" vertical="center"/>
    </xf>
    <xf numFmtId="0" fontId="0" fillId="30" borderId="26" xfId="0" applyFill="1" applyBorder="1" applyAlignment="1" applyProtection="1">
      <alignment horizontal="center" vertical="center"/>
    </xf>
    <xf numFmtId="0" fontId="0" fillId="30" borderId="136" xfId="0" applyFill="1" applyBorder="1" applyAlignment="1" applyProtection="1">
      <alignment horizontal="center" vertical="center"/>
    </xf>
    <xf numFmtId="0" fontId="67" fillId="30" borderId="17" xfId="0" applyFont="1" applyFill="1" applyBorder="1" applyAlignment="1" applyProtection="1">
      <alignment horizontal="center" vertical="center" textRotation="90"/>
    </xf>
    <xf numFmtId="0" fontId="67" fillId="30" borderId="16" xfId="0" applyFont="1" applyFill="1" applyBorder="1" applyAlignment="1" applyProtection="1">
      <alignment horizontal="center" vertical="center" textRotation="90"/>
    </xf>
    <xf numFmtId="0" fontId="67" fillId="30" borderId="21" xfId="0" applyFont="1" applyFill="1" applyBorder="1" applyAlignment="1" applyProtection="1">
      <alignment horizontal="center" vertical="center" textRotation="90"/>
    </xf>
    <xf numFmtId="10" fontId="0" fillId="30" borderId="60" xfId="0" quotePrefix="1" applyNumberFormat="1" applyFill="1" applyBorder="1" applyAlignment="1" applyProtection="1">
      <alignment horizontal="center" vertical="center"/>
    </xf>
    <xf numFmtId="0" fontId="0" fillId="30" borderId="18" xfId="0" applyFill="1" applyBorder="1" applyAlignment="1" applyProtection="1">
      <alignment horizontal="center" vertical="center"/>
    </xf>
    <xf numFmtId="0" fontId="0" fillId="30" borderId="101" xfId="0" applyFill="1" applyBorder="1" applyAlignment="1" applyProtection="1">
      <alignment horizontal="center" vertical="center"/>
    </xf>
    <xf numFmtId="0" fontId="0" fillId="30" borderId="102" xfId="0" applyFill="1" applyBorder="1" applyAlignment="1" applyProtection="1">
      <alignment horizontal="center" vertical="center"/>
    </xf>
    <xf numFmtId="0" fontId="0" fillId="30" borderId="149" xfId="0" applyFill="1" applyBorder="1" applyAlignment="1" applyProtection="1">
      <alignment horizontal="center" vertical="center" wrapText="1"/>
    </xf>
    <xf numFmtId="0" fontId="0" fillId="30" borderId="87" xfId="0" applyFill="1" applyBorder="1" applyAlignment="1" applyProtection="1">
      <alignment horizontal="center" vertical="center" wrapText="1"/>
    </xf>
    <xf numFmtId="0" fontId="0" fillId="30" borderId="150" xfId="0" applyFill="1" applyBorder="1" applyAlignment="1" applyProtection="1">
      <alignment horizontal="center" vertical="center"/>
    </xf>
    <xf numFmtId="0" fontId="0" fillId="30" borderId="60" xfId="0" applyFill="1" applyBorder="1" applyAlignment="1" applyProtection="1">
      <alignment horizontal="center" vertical="center"/>
    </xf>
    <xf numFmtId="0" fontId="0" fillId="30" borderId="150" xfId="0" applyFill="1" applyBorder="1" applyAlignment="1" applyProtection="1">
      <alignment horizontal="center" vertical="center" wrapText="1"/>
    </xf>
    <xf numFmtId="0" fontId="0" fillId="30" borderId="60" xfId="0" applyFill="1" applyBorder="1" applyAlignment="1" applyProtection="1">
      <alignment horizontal="center" vertical="center" wrapText="1"/>
    </xf>
    <xf numFmtId="177" fontId="0" fillId="33" borderId="158" xfId="0" applyNumberFormat="1" applyFill="1" applyBorder="1" applyAlignment="1" applyProtection="1">
      <alignment horizontal="center" vertical="center"/>
      <protection locked="0"/>
    </xf>
    <xf numFmtId="0" fontId="0" fillId="30" borderId="256" xfId="0" applyFill="1" applyBorder="1" applyAlignment="1">
      <alignment horizontal="center" vertical="center"/>
    </xf>
    <xf numFmtId="0" fontId="0" fillId="30" borderId="257" xfId="0" applyFill="1" applyBorder="1" applyAlignment="1">
      <alignment horizontal="center" vertical="center" wrapText="1"/>
    </xf>
    <xf numFmtId="0" fontId="0" fillId="30" borderId="258" xfId="0" applyFill="1" applyBorder="1" applyAlignment="1">
      <alignment horizontal="center" vertical="center"/>
    </xf>
    <xf numFmtId="0" fontId="0" fillId="30" borderId="172" xfId="0" applyFill="1" applyBorder="1" applyAlignment="1">
      <alignment horizontal="center" vertical="center"/>
    </xf>
    <xf numFmtId="0" fontId="0" fillId="30" borderId="178" xfId="0" applyFill="1" applyBorder="1" applyAlignment="1">
      <alignment horizontal="center" vertical="center"/>
    </xf>
    <xf numFmtId="0" fontId="0" fillId="30" borderId="179" xfId="0" applyFill="1" applyBorder="1" applyAlignment="1">
      <alignment horizontal="center" vertical="center"/>
    </xf>
    <xf numFmtId="0" fontId="67" fillId="30" borderId="140" xfId="0" applyFont="1" applyFill="1" applyBorder="1" applyAlignment="1">
      <alignment horizontal="center" vertical="center" textRotation="90"/>
    </xf>
    <xf numFmtId="0" fontId="0" fillId="30" borderId="170" xfId="0" applyFill="1" applyBorder="1" applyAlignment="1">
      <alignment horizontal="center" vertical="center"/>
    </xf>
    <xf numFmtId="0" fontId="59" fillId="0" borderId="17" xfId="0" applyFont="1" applyBorder="1" applyAlignment="1" applyProtection="1">
      <alignment horizontal="left" vertical="center"/>
    </xf>
    <xf numFmtId="0" fontId="59" fillId="0" borderId="18" xfId="0" applyFont="1" applyBorder="1" applyAlignment="1" applyProtection="1">
      <alignment horizontal="left" vertical="center"/>
    </xf>
    <xf numFmtId="0" fontId="59" fillId="0" borderId="102" xfId="0" applyFont="1" applyBorder="1" applyAlignment="1" applyProtection="1">
      <alignment horizontal="left" vertical="center"/>
    </xf>
    <xf numFmtId="0" fontId="59" fillId="0" borderId="16" xfId="0" applyFont="1" applyBorder="1" applyAlignment="1" applyProtection="1">
      <alignment horizontal="left" vertical="center"/>
    </xf>
    <xf numFmtId="0" fontId="59" fillId="0" borderId="0" xfId="0" applyFont="1" applyBorder="1" applyAlignment="1" applyProtection="1">
      <alignment horizontal="left" vertical="center"/>
    </xf>
    <xf numFmtId="0" fontId="59" fillId="0" borderId="175" xfId="0" applyFont="1" applyBorder="1" applyAlignment="1" applyProtection="1">
      <alignment horizontal="left" vertical="center"/>
    </xf>
    <xf numFmtId="0" fontId="59" fillId="0" borderId="21" xfId="0" applyFont="1" applyBorder="1" applyAlignment="1" applyProtection="1">
      <alignment horizontal="left" vertical="center"/>
    </xf>
    <xf numFmtId="0" fontId="59" fillId="0" borderId="22" xfId="0" applyFont="1" applyBorder="1" applyAlignment="1" applyProtection="1">
      <alignment horizontal="left" vertical="center"/>
    </xf>
    <xf numFmtId="0" fontId="59" fillId="0" borderId="103" xfId="0" applyFont="1" applyBorder="1" applyAlignment="1" applyProtection="1">
      <alignment horizontal="left" vertical="center"/>
    </xf>
    <xf numFmtId="0" fontId="59" fillId="0" borderId="63" xfId="0" applyFont="1" applyBorder="1" applyAlignment="1" applyProtection="1">
      <alignment horizontal="center" vertical="center"/>
    </xf>
    <xf numFmtId="0" fontId="59" fillId="0" borderId="71" xfId="0" applyFont="1" applyBorder="1" applyAlignment="1" applyProtection="1">
      <alignment horizontal="center" vertical="center"/>
    </xf>
    <xf numFmtId="0" fontId="59" fillId="0" borderId="104" xfId="0" applyFont="1" applyBorder="1" applyAlignment="1" applyProtection="1">
      <alignment horizontal="center" vertical="center"/>
    </xf>
    <xf numFmtId="0" fontId="59" fillId="0" borderId="38" xfId="0" applyFont="1" applyBorder="1" applyAlignment="1" applyProtection="1">
      <alignment horizontal="center" vertical="center"/>
    </xf>
    <xf numFmtId="0" fontId="59" fillId="0" borderId="75" xfId="0" applyFont="1" applyBorder="1" applyAlignment="1" applyProtection="1">
      <alignment horizontal="center" vertical="center"/>
    </xf>
    <xf numFmtId="4" fontId="11" fillId="30" borderId="0" xfId="258" applyNumberFormat="1" applyFont="1" applyFill="1" applyAlignment="1" applyProtection="1">
      <alignment horizontal="center" vertical="center"/>
    </xf>
    <xf numFmtId="0" fontId="65" fillId="30" borderId="218" xfId="0" applyFont="1" applyFill="1" applyBorder="1" applyAlignment="1">
      <alignment horizontal="left" vertical="center"/>
    </xf>
    <xf numFmtId="0" fontId="65" fillId="30" borderId="119" xfId="0" applyFont="1" applyFill="1" applyBorder="1" applyAlignment="1">
      <alignment horizontal="left" vertical="center"/>
    </xf>
    <xf numFmtId="0" fontId="65" fillId="30" borderId="122" xfId="0" applyFont="1" applyFill="1" applyBorder="1" applyAlignment="1">
      <alignment horizontal="left" vertical="center"/>
    </xf>
    <xf numFmtId="0" fontId="67" fillId="30" borderId="97" xfId="0" applyFont="1" applyFill="1" applyBorder="1" applyAlignment="1">
      <alignment horizontal="center" vertical="center" textRotation="90" wrapText="1"/>
    </xf>
    <xf numFmtId="0" fontId="73" fillId="30" borderId="140" xfId="224" applyFont="1" applyFill="1" applyBorder="1" applyAlignment="1" applyProtection="1">
      <alignment horizontal="center" vertical="center"/>
    </xf>
    <xf numFmtId="0" fontId="73" fillId="30" borderId="141" xfId="224" applyFont="1" applyFill="1" applyBorder="1" applyAlignment="1" applyProtection="1">
      <alignment horizontal="center" vertical="center"/>
    </xf>
    <xf numFmtId="0" fontId="73" fillId="30" borderId="16" xfId="224" applyFont="1" applyFill="1" applyBorder="1" applyAlignment="1" applyProtection="1">
      <alignment horizontal="center" vertical="center"/>
    </xf>
    <xf numFmtId="0" fontId="73" fillId="30" borderId="0" xfId="224" applyFont="1" applyFill="1" applyBorder="1" applyAlignment="1" applyProtection="1">
      <alignment horizontal="center" vertical="center"/>
    </xf>
    <xf numFmtId="0" fontId="73" fillId="30" borderId="21" xfId="224" applyFont="1" applyFill="1" applyBorder="1" applyAlignment="1" applyProtection="1">
      <alignment horizontal="center" vertical="center"/>
    </xf>
    <xf numFmtId="0" fontId="73" fillId="30" borderId="22" xfId="224" applyFont="1" applyFill="1" applyBorder="1" applyAlignment="1" applyProtection="1">
      <alignment horizontal="center" vertical="center"/>
    </xf>
    <xf numFmtId="0" fontId="73" fillId="30" borderId="147" xfId="224" applyFont="1" applyFill="1" applyBorder="1" applyAlignment="1" applyProtection="1">
      <alignment horizontal="center" vertical="center"/>
    </xf>
    <xf numFmtId="0" fontId="73" fillId="30" borderId="0" xfId="224" applyFont="1" applyFill="1" applyAlignment="1" applyProtection="1">
      <alignment horizontal="center" vertical="center"/>
    </xf>
    <xf numFmtId="0" fontId="73" fillId="30" borderId="175" xfId="224" applyFont="1" applyFill="1" applyBorder="1" applyAlignment="1" applyProtection="1">
      <alignment horizontal="center" vertical="center"/>
    </xf>
    <xf numFmtId="0" fontId="73" fillId="30" borderId="103" xfId="224" applyFont="1" applyFill="1" applyBorder="1" applyAlignment="1" applyProtection="1">
      <alignment horizontal="center" vertical="center"/>
    </xf>
    <xf numFmtId="0" fontId="73" fillId="30" borderId="152" xfId="224" applyFont="1" applyFill="1" applyBorder="1" applyAlignment="1" applyProtection="1">
      <alignment horizontal="center" vertical="center"/>
    </xf>
    <xf numFmtId="0" fontId="73" fillId="30" borderId="143" xfId="224" applyFont="1" applyFill="1" applyBorder="1" applyAlignment="1" applyProtection="1">
      <alignment horizontal="center" vertical="center"/>
    </xf>
    <xf numFmtId="0" fontId="73" fillId="30" borderId="72" xfId="224" applyFont="1" applyFill="1" applyBorder="1" applyAlignment="1" applyProtection="1">
      <alignment horizontal="center" vertical="center"/>
    </xf>
    <xf numFmtId="0" fontId="73" fillId="30" borderId="48" xfId="224" applyFont="1" applyFill="1" applyBorder="1" applyAlignment="1" applyProtection="1">
      <alignment horizontal="center" vertical="center"/>
    </xf>
    <xf numFmtId="0" fontId="73" fillId="30" borderId="76" xfId="224" applyFont="1" applyFill="1" applyBorder="1" applyAlignment="1" applyProtection="1">
      <alignment horizontal="center" vertical="center"/>
    </xf>
    <xf numFmtId="0" fontId="73" fillId="30" borderId="183" xfId="224" applyFont="1" applyFill="1" applyBorder="1" applyAlignment="1" applyProtection="1">
      <alignment horizontal="center" vertical="center"/>
    </xf>
    <xf numFmtId="0" fontId="73" fillId="30" borderId="181" xfId="224" applyFont="1" applyFill="1" applyBorder="1" applyAlignment="1" applyProtection="1">
      <alignment horizontal="center" vertical="center"/>
    </xf>
    <xf numFmtId="0" fontId="34" fillId="30" borderId="135" xfId="258" applyFont="1" applyFill="1" applyBorder="1" applyAlignment="1">
      <alignment horizontal="center" vertical="center"/>
    </xf>
    <xf numFmtId="0" fontId="34" fillId="30" borderId="136" xfId="258" applyFont="1" applyFill="1" applyBorder="1" applyAlignment="1">
      <alignment horizontal="center" vertical="center"/>
    </xf>
    <xf numFmtId="0" fontId="34" fillId="30" borderId="142" xfId="258" applyFont="1" applyFill="1" applyBorder="1" applyAlignment="1">
      <alignment horizontal="center" vertical="center"/>
    </xf>
    <xf numFmtId="0" fontId="73" fillId="30" borderId="140" xfId="0" applyFont="1" applyFill="1" applyBorder="1" applyAlignment="1">
      <alignment horizontal="center" vertical="center"/>
    </xf>
    <xf numFmtId="0" fontId="73" fillId="30" borderId="141" xfId="0" applyFont="1" applyFill="1" applyBorder="1" applyAlignment="1">
      <alignment horizontal="center" vertical="center"/>
    </xf>
    <xf numFmtId="0" fontId="73" fillId="30" borderId="147" xfId="0" applyFont="1" applyFill="1" applyBorder="1" applyAlignment="1">
      <alignment horizontal="center" vertical="center"/>
    </xf>
    <xf numFmtId="0" fontId="73" fillId="30" borderId="16" xfId="0" applyFont="1" applyFill="1" applyBorder="1" applyAlignment="1">
      <alignment horizontal="center" vertical="center"/>
    </xf>
    <xf numFmtId="0" fontId="73" fillId="30" borderId="0" xfId="0" applyFont="1" applyFill="1" applyAlignment="1">
      <alignment horizontal="center" vertical="center"/>
    </xf>
    <xf numFmtId="0" fontId="73" fillId="30" borderId="175" xfId="0" applyFont="1" applyFill="1" applyBorder="1" applyAlignment="1">
      <alignment horizontal="center" vertical="center"/>
    </xf>
    <xf numFmtId="0" fontId="73" fillId="30" borderId="21" xfId="0" applyFont="1" applyFill="1" applyBorder="1" applyAlignment="1">
      <alignment horizontal="center" vertical="center"/>
    </xf>
    <xf numFmtId="0" fontId="73" fillId="30" borderId="22" xfId="0" applyFont="1" applyFill="1" applyBorder="1" applyAlignment="1">
      <alignment horizontal="center" vertical="center"/>
    </xf>
    <xf numFmtId="0" fontId="73" fillId="30" borderId="103" xfId="0" applyFont="1" applyFill="1" applyBorder="1" applyAlignment="1">
      <alignment horizontal="center" vertical="center"/>
    </xf>
    <xf numFmtId="0" fontId="73" fillId="30" borderId="152" xfId="224" applyFont="1" applyFill="1" applyBorder="1" applyAlignment="1">
      <alignment horizontal="center" vertical="center"/>
    </xf>
    <xf numFmtId="0" fontId="73" fillId="30" borderId="141" xfId="224" applyFont="1" applyFill="1" applyBorder="1" applyAlignment="1">
      <alignment horizontal="center" vertical="center"/>
    </xf>
    <xf numFmtId="0" fontId="73" fillId="30" borderId="147" xfId="224" applyFont="1" applyFill="1" applyBorder="1" applyAlignment="1">
      <alignment horizontal="center" vertical="center"/>
    </xf>
    <xf numFmtId="0" fontId="73" fillId="30" borderId="170" xfId="0" applyFont="1" applyFill="1" applyBorder="1" applyAlignment="1">
      <alignment horizontal="center" vertical="center"/>
    </xf>
    <xf numFmtId="0" fontId="73" fillId="30" borderId="171" xfId="0" applyFont="1" applyFill="1" applyBorder="1" applyAlignment="1">
      <alignment horizontal="center" vertical="center"/>
    </xf>
    <xf numFmtId="0" fontId="73" fillId="30" borderId="172" xfId="0" applyFont="1" applyFill="1" applyBorder="1" applyAlignment="1">
      <alignment horizontal="center" vertical="center"/>
    </xf>
    <xf numFmtId="0" fontId="73" fillId="30" borderId="72" xfId="0" applyFont="1" applyFill="1" applyBorder="1" applyAlignment="1">
      <alignment horizontal="center" vertical="center"/>
    </xf>
    <xf numFmtId="0" fontId="73" fillId="30" borderId="48" xfId="0" applyFont="1" applyFill="1" applyBorder="1" applyAlignment="1">
      <alignment horizontal="center" vertical="center"/>
    </xf>
    <xf numFmtId="0" fontId="73" fillId="30" borderId="76" xfId="0" applyFont="1" applyFill="1" applyBorder="1" applyAlignment="1">
      <alignment horizontal="center" vertical="center"/>
    </xf>
    <xf numFmtId="0" fontId="42" fillId="30" borderId="135" xfId="258" applyFont="1" applyFill="1" applyBorder="1" applyAlignment="1">
      <alignment horizontal="center" vertical="center"/>
    </xf>
    <xf numFmtId="0" fontId="42" fillId="30" borderId="142" xfId="258" applyFont="1" applyFill="1" applyBorder="1" applyAlignment="1">
      <alignment horizontal="center" vertical="center"/>
    </xf>
    <xf numFmtId="0" fontId="42" fillId="30" borderId="136" xfId="258" applyFont="1" applyFill="1" applyBorder="1" applyAlignment="1">
      <alignment horizontal="center" vertical="center"/>
    </xf>
    <xf numFmtId="0" fontId="73" fillId="30" borderId="44" xfId="0" applyFont="1" applyFill="1" applyBorder="1" applyAlignment="1">
      <alignment horizontal="center" vertical="center"/>
    </xf>
    <xf numFmtId="0" fontId="73" fillId="30" borderId="38" xfId="0" applyFont="1" applyFill="1" applyBorder="1" applyAlignment="1">
      <alignment horizontal="center" vertical="center"/>
    </xf>
    <xf numFmtId="0" fontId="73" fillId="30" borderId="75" xfId="0" applyFont="1" applyFill="1" applyBorder="1" applyAlignment="1">
      <alignment horizontal="center" vertical="center"/>
    </xf>
    <xf numFmtId="0" fontId="73" fillId="30" borderId="15" xfId="0" applyFont="1" applyFill="1" applyBorder="1" applyAlignment="1">
      <alignment horizontal="center" vertical="center"/>
    </xf>
    <xf numFmtId="0" fontId="73" fillId="30" borderId="14" xfId="0" applyFont="1" applyFill="1" applyBorder="1" applyAlignment="1">
      <alignment horizontal="center" vertical="center"/>
    </xf>
    <xf numFmtId="0" fontId="73" fillId="30" borderId="71" xfId="0" applyFont="1" applyFill="1" applyBorder="1" applyAlignment="1">
      <alignment horizontal="center" vertical="center"/>
    </xf>
    <xf numFmtId="0" fontId="73" fillId="30" borderId="70" xfId="0" applyFont="1" applyFill="1" applyBorder="1" applyAlignment="1">
      <alignment horizontal="center" vertical="center"/>
    </xf>
    <xf numFmtId="0" fontId="73" fillId="30" borderId="67" xfId="0" applyFont="1" applyFill="1" applyBorder="1" applyAlignment="1">
      <alignment horizontal="center" vertical="center"/>
    </xf>
    <xf numFmtId="0" fontId="73" fillId="30" borderId="77" xfId="0" applyFont="1" applyFill="1" applyBorder="1" applyAlignment="1">
      <alignment horizontal="center" vertical="center"/>
    </xf>
    <xf numFmtId="0" fontId="73" fillId="30" borderId="148" xfId="0" applyFont="1" applyFill="1" applyBorder="1" applyAlignment="1">
      <alignment horizontal="center" vertical="center"/>
    </xf>
    <xf numFmtId="0" fontId="73" fillId="30" borderId="185" xfId="0" applyFont="1" applyFill="1" applyBorder="1" applyAlignment="1">
      <alignment horizontal="center" vertical="center"/>
    </xf>
    <xf numFmtId="0" fontId="73" fillId="30" borderId="90" xfId="0" applyFont="1" applyFill="1" applyBorder="1" applyAlignment="1">
      <alignment horizontal="center" vertical="center"/>
    </xf>
    <xf numFmtId="0" fontId="62" fillId="30" borderId="27" xfId="0" applyFont="1" applyFill="1" applyBorder="1" applyAlignment="1">
      <alignment horizontal="left" vertical="center"/>
    </xf>
    <xf numFmtId="0" fontId="62" fillId="30" borderId="28" xfId="0" applyFont="1" applyFill="1" applyBorder="1" applyAlignment="1">
      <alignment horizontal="left" vertical="center"/>
    </xf>
    <xf numFmtId="0" fontId="62" fillId="30" borderId="184" xfId="0" applyFont="1" applyFill="1" applyBorder="1" applyAlignment="1">
      <alignment horizontal="left" vertical="center"/>
    </xf>
    <xf numFmtId="0" fontId="62" fillId="30" borderId="15" xfId="0" applyFont="1" applyFill="1" applyBorder="1" applyAlignment="1">
      <alignment horizontal="left" vertical="center"/>
    </xf>
    <xf numFmtId="0" fontId="62" fillId="30" borderId="14" xfId="0" applyFont="1" applyFill="1" applyBorder="1" applyAlignment="1">
      <alignment horizontal="left" vertical="center"/>
    </xf>
    <xf numFmtId="0" fontId="62" fillId="30" borderId="71" xfId="0" applyFont="1" applyFill="1" applyBorder="1" applyAlignment="1">
      <alignment horizontal="left" vertical="center"/>
    </xf>
    <xf numFmtId="0" fontId="62" fillId="30" borderId="15" xfId="224" applyFont="1" applyFill="1" applyBorder="1" applyAlignment="1">
      <alignment horizontal="left" vertical="center"/>
    </xf>
    <xf numFmtId="0" fontId="62" fillId="30" borderId="14" xfId="224" applyFont="1" applyFill="1" applyBorder="1" applyAlignment="1">
      <alignment horizontal="left" vertical="center"/>
    </xf>
    <xf numFmtId="0" fontId="62" fillId="30" borderId="71" xfId="224" applyFont="1" applyFill="1" applyBorder="1" applyAlignment="1">
      <alignment horizontal="left" vertical="center"/>
    </xf>
    <xf numFmtId="0" fontId="62" fillId="30" borderId="70" xfId="0" applyFont="1" applyFill="1" applyBorder="1" applyAlignment="1">
      <alignment horizontal="left" vertical="center"/>
    </xf>
    <xf numFmtId="0" fontId="62" fillId="30" borderId="67" xfId="0" applyFont="1" applyFill="1" applyBorder="1" applyAlignment="1">
      <alignment horizontal="left" vertical="center"/>
    </xf>
    <xf numFmtId="0" fontId="62" fillId="30" borderId="77" xfId="0" applyFont="1" applyFill="1" applyBorder="1" applyAlignment="1">
      <alignment horizontal="left" vertical="center"/>
    </xf>
    <xf numFmtId="0" fontId="62" fillId="30" borderId="0" xfId="0" applyFont="1" applyFill="1" applyAlignment="1" applyProtection="1">
      <alignment horizontal="left"/>
      <protection locked="0"/>
    </xf>
    <xf numFmtId="0" fontId="80" fillId="30" borderId="228" xfId="0" applyFont="1" applyFill="1" applyBorder="1" applyAlignment="1">
      <alignment horizontal="center" vertical="center"/>
    </xf>
    <xf numFmtId="0" fontId="80" fillId="30" borderId="226" xfId="0" applyFont="1" applyFill="1" applyBorder="1" applyAlignment="1">
      <alignment horizontal="center" vertical="center"/>
    </xf>
    <xf numFmtId="0" fontId="80" fillId="30" borderId="229" xfId="0" applyFont="1" applyFill="1" applyBorder="1" applyAlignment="1">
      <alignment horizontal="center" vertical="center"/>
    </xf>
    <xf numFmtId="0" fontId="59" fillId="30" borderId="228" xfId="0" applyFont="1" applyFill="1" applyBorder="1" applyAlignment="1">
      <alignment horizontal="center" vertical="center"/>
    </xf>
    <xf numFmtId="0" fontId="59" fillId="30" borderId="229" xfId="0" applyFont="1" applyFill="1" applyBorder="1" applyAlignment="1">
      <alignment horizontal="center" vertical="center"/>
    </xf>
    <xf numFmtId="0" fontId="59" fillId="30" borderId="228" xfId="0" applyFont="1" applyFill="1" applyBorder="1" applyAlignment="1">
      <alignment horizontal="center" vertical="center" wrapText="1"/>
    </xf>
    <xf numFmtId="0" fontId="59" fillId="30" borderId="226" xfId="0" applyFont="1" applyFill="1" applyBorder="1" applyAlignment="1">
      <alignment horizontal="center" vertical="center" wrapText="1"/>
    </xf>
    <xf numFmtId="0" fontId="59" fillId="30" borderId="229" xfId="0" applyFont="1" applyFill="1" applyBorder="1" applyAlignment="1">
      <alignment horizontal="center" vertical="center" wrapText="1"/>
    </xf>
    <xf numFmtId="0" fontId="0" fillId="30" borderId="0" xfId="0" applyFill="1" applyAlignment="1">
      <alignment horizontal="left" vertical="center"/>
    </xf>
    <xf numFmtId="0" fontId="0" fillId="30" borderId="181" xfId="0" applyFill="1" applyBorder="1" applyAlignment="1">
      <alignment horizontal="left" vertical="center"/>
    </xf>
    <xf numFmtId="0" fontId="78" fillId="30" borderId="0" xfId="0" applyFont="1" applyFill="1" applyAlignment="1">
      <alignment horizontal="left" vertical="center" wrapText="1"/>
    </xf>
    <xf numFmtId="0" fontId="78" fillId="30" borderId="181" xfId="0" applyFont="1" applyFill="1" applyBorder="1" applyAlignment="1">
      <alignment horizontal="left" vertical="center" wrapText="1"/>
    </xf>
    <xf numFmtId="0" fontId="73" fillId="30" borderId="228" xfId="0" applyFont="1" applyFill="1" applyBorder="1" applyAlignment="1">
      <alignment horizontal="center" wrapText="1"/>
    </xf>
    <xf numFmtId="0" fontId="73" fillId="30" borderId="226" xfId="0" applyFont="1" applyFill="1" applyBorder="1" applyAlignment="1">
      <alignment horizontal="center"/>
    </xf>
    <xf numFmtId="0" fontId="73" fillId="30" borderId="229" xfId="0" applyFont="1" applyFill="1" applyBorder="1" applyAlignment="1">
      <alignment horizontal="center"/>
    </xf>
    <xf numFmtId="0" fontId="73" fillId="30" borderId="243" xfId="0" applyFont="1" applyFill="1" applyBorder="1" applyAlignment="1">
      <alignment horizontal="left" vertical="center"/>
    </xf>
    <xf numFmtId="0" fontId="73" fillId="30" borderId="236" xfId="0" applyFont="1" applyFill="1" applyBorder="1" applyAlignment="1" applyProtection="1">
      <alignment horizontal="center" wrapText="1"/>
    </xf>
    <xf numFmtId="0" fontId="73" fillId="30" borderId="234" xfId="0" applyFont="1" applyFill="1" applyBorder="1" applyAlignment="1" applyProtection="1">
      <alignment horizontal="center" wrapText="1"/>
    </xf>
    <xf numFmtId="0" fontId="73" fillId="30" borderId="226" xfId="0" applyFont="1" applyFill="1" applyBorder="1" applyAlignment="1" applyProtection="1">
      <alignment horizontal="center" wrapText="1"/>
    </xf>
    <xf numFmtId="0" fontId="73" fillId="30" borderId="229" xfId="0" applyFont="1" applyFill="1" applyBorder="1" applyAlignment="1" applyProtection="1">
      <alignment horizontal="center" wrapText="1"/>
    </xf>
    <xf numFmtId="0" fontId="80" fillId="30" borderId="266" xfId="0" applyFont="1" applyFill="1" applyBorder="1" applyAlignment="1">
      <alignment horizontal="center" vertical="center"/>
    </xf>
    <xf numFmtId="0" fontId="59" fillId="46" borderId="230" xfId="0" applyFont="1" applyFill="1" applyBorder="1" applyAlignment="1" applyProtection="1">
      <alignment horizontal="center" vertical="center"/>
    </xf>
    <xf numFmtId="0" fontId="59" fillId="46" borderId="188" xfId="0" applyFont="1" applyFill="1" applyBorder="1" applyAlignment="1" applyProtection="1">
      <alignment horizontal="center" vertical="center"/>
    </xf>
    <xf numFmtId="0" fontId="59" fillId="46" borderId="231" xfId="0" applyFont="1" applyFill="1" applyBorder="1" applyAlignment="1" applyProtection="1">
      <alignment horizontal="center" vertical="center"/>
    </xf>
    <xf numFmtId="0" fontId="59" fillId="46" borderId="187" xfId="0" applyFont="1" applyFill="1" applyBorder="1" applyAlignment="1" applyProtection="1">
      <alignment horizontal="center" vertical="center"/>
    </xf>
    <xf numFmtId="0" fontId="59" fillId="46" borderId="232" xfId="0" applyFont="1" applyFill="1" applyBorder="1" applyAlignment="1" applyProtection="1">
      <alignment horizontal="center" vertical="center"/>
    </xf>
    <xf numFmtId="0" fontId="59" fillId="46" borderId="186" xfId="0" applyFont="1" applyFill="1" applyBorder="1" applyAlignment="1" applyProtection="1">
      <alignment horizontal="center" vertical="center"/>
    </xf>
    <xf numFmtId="0" fontId="59" fillId="46" borderId="236" xfId="0" applyFont="1" applyFill="1" applyBorder="1" applyAlignment="1" applyProtection="1">
      <alignment horizontal="center" vertical="center" textRotation="90"/>
    </xf>
    <xf numFmtId="0" fontId="59" fillId="46" borderId="16" xfId="0" applyFont="1" applyFill="1" applyBorder="1" applyAlignment="1" applyProtection="1">
      <alignment horizontal="center" vertical="center" textRotation="90"/>
    </xf>
    <xf numFmtId="0" fontId="59" fillId="46" borderId="21" xfId="0" applyFont="1" applyFill="1" applyBorder="1" applyAlignment="1" applyProtection="1">
      <alignment horizontal="center" vertical="center" textRotation="90"/>
    </xf>
    <xf numFmtId="0" fontId="59" fillId="46" borderId="242" xfId="0" applyFont="1" applyFill="1" applyBorder="1" applyAlignment="1" applyProtection="1">
      <alignment horizontal="center" vertical="center" textRotation="90"/>
    </xf>
    <xf numFmtId="0" fontId="73" fillId="30" borderId="243" xfId="0" applyFont="1" applyFill="1" applyBorder="1" applyAlignment="1" applyProtection="1">
      <alignment horizontal="left" vertical="center"/>
    </xf>
    <xf numFmtId="0" fontId="62" fillId="30" borderId="0" xfId="0" applyFont="1" applyFill="1" applyBorder="1" applyAlignment="1" applyProtection="1">
      <alignment horizontal="left" vertical="top"/>
      <protection locked="0"/>
    </xf>
    <xf numFmtId="0" fontId="80" fillId="30" borderId="136" xfId="0" applyFont="1" applyFill="1" applyBorder="1" applyAlignment="1">
      <alignment horizontal="center" wrapText="1"/>
    </xf>
    <xf numFmtId="0" fontId="80" fillId="30" borderId="142" xfId="0" applyFont="1" applyFill="1" applyBorder="1" applyAlignment="1">
      <alignment horizontal="center" wrapText="1"/>
    </xf>
    <xf numFmtId="0" fontId="59" fillId="30" borderId="135" xfId="0" applyFont="1" applyFill="1" applyBorder="1" applyAlignment="1">
      <alignment horizontal="left" vertical="top"/>
    </xf>
    <xf numFmtId="0" fontId="59" fillId="30" borderId="136" xfId="0" applyFont="1" applyFill="1" applyBorder="1" applyAlignment="1">
      <alignment horizontal="left" vertical="top"/>
    </xf>
    <xf numFmtId="0" fontId="0" fillId="30" borderId="181" xfId="0" applyFont="1" applyFill="1" applyBorder="1" applyAlignment="1">
      <alignment horizontal="left" vertical="top" wrapText="1"/>
    </xf>
    <xf numFmtId="0" fontId="59" fillId="30" borderId="135" xfId="0" applyFont="1" applyFill="1" applyBorder="1" applyAlignment="1">
      <alignment horizontal="center" vertical="center" wrapText="1"/>
    </xf>
    <xf numFmtId="0" fontId="59" fillId="30" borderId="136" xfId="0" applyFont="1" applyFill="1" applyBorder="1" applyAlignment="1">
      <alignment horizontal="center" vertical="center" wrapText="1"/>
    </xf>
    <xf numFmtId="0" fontId="59" fillId="30" borderId="142" xfId="0" applyFont="1" applyFill="1" applyBorder="1" applyAlignment="1">
      <alignment horizontal="center" vertical="center" wrapText="1"/>
    </xf>
    <xf numFmtId="0" fontId="80" fillId="30" borderId="135" xfId="0" applyFont="1" applyFill="1" applyBorder="1" applyAlignment="1">
      <alignment horizontal="center" wrapText="1"/>
    </xf>
    <xf numFmtId="0" fontId="73" fillId="30" borderId="226" xfId="0" applyFont="1" applyFill="1" applyBorder="1" applyAlignment="1">
      <alignment horizontal="left" wrapText="1"/>
    </xf>
    <xf numFmtId="0" fontId="73" fillId="30" borderId="234" xfId="0" applyFont="1" applyFill="1" applyBorder="1" applyAlignment="1">
      <alignment horizontal="left" wrapText="1"/>
    </xf>
    <xf numFmtId="0" fontId="73" fillId="30" borderId="229" xfId="0" applyFont="1" applyFill="1" applyBorder="1" applyAlignment="1">
      <alignment horizontal="left" wrapText="1"/>
    </xf>
    <xf numFmtId="0" fontId="59" fillId="30" borderId="228" xfId="0" applyFont="1" applyFill="1" applyBorder="1" applyAlignment="1">
      <alignment horizontal="left" vertical="top"/>
    </xf>
    <xf numFmtId="0" fontId="59" fillId="30" borderId="226" xfId="0" applyFont="1" applyFill="1" applyBorder="1" applyAlignment="1">
      <alignment horizontal="left" vertical="top"/>
    </xf>
    <xf numFmtId="0" fontId="80" fillId="30" borderId="228" xfId="0" applyFont="1" applyFill="1" applyBorder="1" applyAlignment="1">
      <alignment horizontal="center" wrapText="1"/>
    </xf>
    <xf numFmtId="0" fontId="80" fillId="30" borderId="226" xfId="0" applyFont="1" applyFill="1" applyBorder="1" applyAlignment="1">
      <alignment horizontal="center" wrapText="1"/>
    </xf>
    <xf numFmtId="0" fontId="80" fillId="30" borderId="229" xfId="0" applyFont="1" applyFill="1" applyBorder="1" applyAlignment="1">
      <alignment horizontal="center" wrapText="1"/>
    </xf>
    <xf numFmtId="0" fontId="62" fillId="30" borderId="234" xfId="0" applyFont="1" applyFill="1" applyBorder="1" applyAlignment="1" applyProtection="1">
      <alignment horizontal="left" vertical="top"/>
      <protection locked="0"/>
    </xf>
    <xf numFmtId="0" fontId="0" fillId="30" borderId="0" xfId="0" applyFont="1" applyFill="1" applyBorder="1" applyAlignment="1" applyProtection="1">
      <alignment horizontal="left" vertical="center"/>
      <protection locked="0"/>
    </xf>
    <xf numFmtId="0" fontId="59" fillId="30" borderId="243" xfId="0" applyFont="1" applyFill="1" applyBorder="1" applyAlignment="1" applyProtection="1">
      <alignment horizontal="left" vertical="center"/>
    </xf>
    <xf numFmtId="0" fontId="80" fillId="30" borderId="228" xfId="0" applyFont="1" applyFill="1" applyBorder="1" applyAlignment="1" applyProtection="1">
      <alignment horizontal="center" wrapText="1"/>
    </xf>
    <xf numFmtId="0" fontId="80" fillId="30" borderId="226" xfId="0" applyFont="1" applyFill="1" applyBorder="1" applyAlignment="1" applyProtection="1">
      <alignment horizontal="center" wrapText="1"/>
    </xf>
    <xf numFmtId="0" fontId="80" fillId="30" borderId="229" xfId="0" applyFont="1" applyFill="1" applyBorder="1" applyAlignment="1" applyProtection="1">
      <alignment horizontal="center" wrapText="1"/>
    </xf>
    <xf numFmtId="0" fontId="0" fillId="30" borderId="234" xfId="0" applyFont="1" applyFill="1" applyBorder="1" applyAlignment="1" applyProtection="1">
      <alignment horizontal="left" vertical="center"/>
      <protection locked="0"/>
    </xf>
    <xf numFmtId="0" fontId="0" fillId="30" borderId="0" xfId="0" applyFont="1" applyFill="1" applyBorder="1" applyAlignment="1" applyProtection="1">
      <alignment horizontal="center" vertical="center"/>
      <protection locked="0"/>
    </xf>
    <xf numFmtId="0" fontId="2" fillId="30" borderId="0" xfId="224" applyFill="1" applyAlignment="1" applyProtection="1">
      <alignment horizontal="left"/>
      <protection locked="0"/>
    </xf>
    <xf numFmtId="0" fontId="3" fillId="30" borderId="243" xfId="224" applyFont="1" applyFill="1" applyBorder="1" applyAlignment="1" applyProtection="1">
      <alignment horizontal="left" vertical="center"/>
      <protection locked="0"/>
    </xf>
    <xf numFmtId="0" fontId="2" fillId="30" borderId="234" xfId="224" applyFill="1" applyBorder="1" applyAlignment="1" applyProtection="1">
      <alignment horizontal="left"/>
      <protection locked="0"/>
    </xf>
    <xf numFmtId="0" fontId="82" fillId="30" borderId="135" xfId="258" applyFont="1" applyFill="1" applyBorder="1" applyAlignment="1" applyProtection="1">
      <alignment horizontal="center"/>
    </xf>
    <xf numFmtId="0" fontId="82" fillId="30" borderId="136" xfId="258" applyFont="1" applyFill="1" applyBorder="1" applyAlignment="1" applyProtection="1">
      <alignment horizontal="center"/>
    </xf>
    <xf numFmtId="0" fontId="82" fillId="30" borderId="142" xfId="258" applyFont="1" applyFill="1" applyBorder="1" applyAlignment="1" applyProtection="1">
      <alignment horizontal="center"/>
    </xf>
    <xf numFmtId="0" fontId="36" fillId="30" borderId="140" xfId="224" applyFont="1" applyFill="1" applyBorder="1" applyAlignment="1" applyProtection="1">
      <alignment horizontal="center" vertical="center"/>
    </xf>
    <xf numFmtId="0" fontId="36" fillId="30" borderId="141" xfId="224" applyFont="1" applyFill="1" applyBorder="1" applyAlignment="1" applyProtection="1">
      <alignment horizontal="center" vertical="center"/>
    </xf>
    <xf numFmtId="0" fontId="36" fillId="30" borderId="143" xfId="224" applyFont="1" applyFill="1" applyBorder="1" applyAlignment="1" applyProtection="1">
      <alignment horizontal="center" vertical="center"/>
    </xf>
    <xf numFmtId="0" fontId="36" fillId="30" borderId="16" xfId="224" applyFont="1" applyFill="1" applyBorder="1" applyAlignment="1" applyProtection="1">
      <alignment horizontal="center" vertical="center"/>
    </xf>
    <xf numFmtId="0" fontId="36" fillId="30" borderId="0" xfId="224" applyFont="1" applyFill="1" applyAlignment="1" applyProtection="1">
      <alignment horizontal="center" vertical="center"/>
    </xf>
    <xf numFmtId="0" fontId="36" fillId="30" borderId="181" xfId="224" applyFont="1" applyFill="1" applyBorder="1" applyAlignment="1" applyProtection="1">
      <alignment horizontal="center" vertical="center"/>
    </xf>
    <xf numFmtId="0" fontId="3" fillId="30" borderId="140" xfId="224" applyFont="1" applyFill="1" applyBorder="1" applyAlignment="1" applyProtection="1">
      <alignment horizontal="center" vertical="center"/>
    </xf>
    <xf numFmtId="0" fontId="3" fillId="30" borderId="141" xfId="224" applyFont="1" applyFill="1" applyBorder="1" applyAlignment="1" applyProtection="1">
      <alignment horizontal="center" vertical="center"/>
    </xf>
    <xf numFmtId="0" fontId="3" fillId="30" borderId="21" xfId="224" applyFont="1" applyFill="1" applyBorder="1" applyAlignment="1" applyProtection="1">
      <alignment horizontal="center" vertical="center"/>
    </xf>
    <xf numFmtId="0" fontId="3" fillId="30" borderId="22" xfId="224" applyFont="1" applyFill="1" applyBorder="1" applyAlignment="1" applyProtection="1">
      <alignment horizontal="center" vertical="center"/>
    </xf>
    <xf numFmtId="0" fontId="3" fillId="30" borderId="16" xfId="224" applyFont="1" applyFill="1" applyBorder="1" applyAlignment="1" applyProtection="1">
      <alignment horizontal="center" vertical="center"/>
    </xf>
    <xf numFmtId="0" fontId="3" fillId="30" borderId="0" xfId="224" applyFont="1" applyFill="1" applyAlignment="1" applyProtection="1">
      <alignment horizontal="center" vertical="center"/>
    </xf>
    <xf numFmtId="0" fontId="3" fillId="30" borderId="143" xfId="224" applyFont="1" applyFill="1" applyBorder="1" applyAlignment="1" applyProtection="1">
      <alignment horizontal="center" vertical="center"/>
    </xf>
    <xf numFmtId="0" fontId="3" fillId="30" borderId="181" xfId="224" applyFont="1" applyFill="1" applyBorder="1" applyAlignment="1" applyProtection="1">
      <alignment horizontal="center" vertical="center"/>
    </xf>
    <xf numFmtId="4" fontId="2" fillId="30" borderId="15" xfId="263" applyNumberFormat="1" applyFill="1" applyBorder="1" applyAlignment="1" applyProtection="1">
      <alignment horizontal="center"/>
    </xf>
    <xf numFmtId="4" fontId="2" fillId="30" borderId="14" xfId="263" applyNumberFormat="1" applyFill="1" applyBorder="1" applyAlignment="1" applyProtection="1">
      <alignment horizontal="center"/>
    </xf>
    <xf numFmtId="4" fontId="2" fillId="30" borderId="31" xfId="263" applyNumberFormat="1" applyFill="1" applyBorder="1" applyAlignment="1" applyProtection="1">
      <alignment horizontal="center"/>
    </xf>
    <xf numFmtId="4" fontId="2" fillId="43" borderId="15" xfId="263" applyNumberFormat="1" applyFill="1" applyBorder="1" applyAlignment="1" applyProtection="1">
      <alignment horizontal="center"/>
    </xf>
    <xf numFmtId="4" fontId="2" fillId="43" borderId="14" xfId="263" applyNumberFormat="1" applyFill="1" applyBorder="1" applyAlignment="1" applyProtection="1">
      <alignment horizontal="center"/>
    </xf>
    <xf numFmtId="4" fontId="2" fillId="43" borderId="31" xfId="263" applyNumberFormat="1" applyFill="1" applyBorder="1" applyAlignment="1" applyProtection="1">
      <alignment horizontal="center"/>
    </xf>
    <xf numFmtId="0" fontId="82" fillId="30" borderId="226" xfId="258" applyFont="1" applyFill="1" applyBorder="1" applyAlignment="1" applyProtection="1">
      <alignment horizontal="center"/>
    </xf>
    <xf numFmtId="0" fontId="3" fillId="46" borderId="262" xfId="224" applyFont="1" applyFill="1" applyBorder="1" applyAlignment="1" applyProtection="1">
      <alignment horizontal="center" vertical="center"/>
    </xf>
    <xf numFmtId="0" fontId="3" fillId="46" borderId="45" xfId="224" applyFont="1" applyFill="1" applyBorder="1" applyAlignment="1" applyProtection="1">
      <alignment horizontal="center" vertical="center"/>
    </xf>
    <xf numFmtId="0" fontId="3" fillId="46" borderId="194" xfId="224" applyFont="1" applyFill="1" applyBorder="1" applyAlignment="1" applyProtection="1">
      <alignment horizontal="center" vertical="center"/>
    </xf>
    <xf numFmtId="0" fontId="3" fillId="46" borderId="256" xfId="224" applyFont="1" applyFill="1" applyBorder="1" applyAlignment="1" applyProtection="1">
      <alignment horizontal="center" vertical="center"/>
    </xf>
    <xf numFmtId="0" fontId="3" fillId="46" borderId="56" xfId="224" applyFont="1" applyFill="1" applyBorder="1" applyAlignment="1" applyProtection="1">
      <alignment horizontal="center" vertical="center"/>
    </xf>
    <xf numFmtId="0" fontId="3" fillId="46" borderId="60" xfId="224" applyFont="1" applyFill="1" applyBorder="1" applyAlignment="1" applyProtection="1">
      <alignment horizontal="center" vertical="center"/>
    </xf>
    <xf numFmtId="0" fontId="3" fillId="46" borderId="263" xfId="224" applyFont="1" applyFill="1" applyBorder="1" applyAlignment="1" applyProtection="1">
      <alignment horizontal="center" vertical="center"/>
    </xf>
    <xf numFmtId="0" fontId="3" fillId="46" borderId="176" xfId="224" applyFont="1" applyFill="1" applyBorder="1" applyAlignment="1" applyProtection="1">
      <alignment horizontal="center" vertical="center"/>
    </xf>
    <xf numFmtId="0" fontId="3" fillId="46" borderId="62" xfId="224" applyFont="1" applyFill="1" applyBorder="1" applyAlignment="1" applyProtection="1">
      <alignment horizontal="center" vertical="center"/>
    </xf>
    <xf numFmtId="0" fontId="36" fillId="30" borderId="21" xfId="224" applyFont="1" applyFill="1" applyBorder="1" applyAlignment="1" applyProtection="1">
      <alignment horizontal="center" vertical="center"/>
    </xf>
    <xf numFmtId="0" fontId="36" fillId="30" borderId="22" xfId="224" applyFont="1" applyFill="1" applyBorder="1" applyAlignment="1" applyProtection="1">
      <alignment horizontal="center" vertical="center"/>
    </xf>
    <xf numFmtId="0" fontId="36" fillId="30" borderId="23" xfId="224" applyFont="1" applyFill="1" applyBorder="1" applyAlignment="1" applyProtection="1">
      <alignment horizontal="center" vertical="center"/>
    </xf>
    <xf numFmtId="0" fontId="3" fillId="30" borderId="197" xfId="224" applyFont="1" applyFill="1" applyBorder="1" applyAlignment="1" applyProtection="1">
      <alignment horizontal="center" vertical="center"/>
    </xf>
    <xf numFmtId="0" fontId="3" fillId="30" borderId="189" xfId="224" applyFont="1" applyFill="1" applyBorder="1" applyAlignment="1" applyProtection="1">
      <alignment horizontal="center" vertical="center"/>
    </xf>
  </cellXfs>
  <cellStyles count="269">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xfId="5" xr:uid="{00000000-0005-0000-0000-000004000000}"/>
    <cellStyle name="Comma 2" xfId="6" xr:uid="{00000000-0005-0000-0000-000005000000}"/>
    <cellStyle name="Comma0" xfId="7" xr:uid="{00000000-0005-0000-0000-000006000000}"/>
    <cellStyle name="Currency" xfId="8" xr:uid="{00000000-0005-0000-0000-000007000000}"/>
    <cellStyle name="Currency0" xfId="9" xr:uid="{00000000-0005-0000-0000-000008000000}"/>
    <cellStyle name="Date" xfId="10" xr:uid="{00000000-0005-0000-0000-000009000000}"/>
    <cellStyle name="E&amp;Y House" xfId="11" xr:uid="{00000000-0005-0000-0000-00000A000000}"/>
    <cellStyle name="Euro" xfId="12" xr:uid="{00000000-0005-0000-0000-00000B000000}"/>
    <cellStyle name="Explanatory Text" xfId="13" xr:uid="{00000000-0005-0000-0000-00000C000000}"/>
    <cellStyle name="Fixed" xfId="14" xr:uid="{00000000-0005-0000-0000-00000D000000}"/>
    <cellStyle name="Good" xfId="15" xr:uid="{00000000-0005-0000-0000-00000E000000}"/>
    <cellStyle name="Heading 1" xfId="16" xr:uid="{00000000-0005-0000-0000-00000F000000}"/>
    <cellStyle name="Heading 2" xfId="17" xr:uid="{00000000-0005-0000-0000-000010000000}"/>
    <cellStyle name="Heading 3" xfId="18" xr:uid="{00000000-0005-0000-0000-000011000000}"/>
    <cellStyle name="Heading 4" xfId="19" xr:uid="{00000000-0005-0000-0000-000012000000}"/>
    <cellStyle name="Heading1" xfId="20" xr:uid="{00000000-0005-0000-0000-000013000000}"/>
    <cellStyle name="Heading2" xfId="21" xr:uid="{00000000-0005-0000-0000-000014000000}"/>
    <cellStyle name="Hyperlink" xfId="22" builtinId="8"/>
    <cellStyle name="Input" xfId="23" xr:uid="{00000000-0005-0000-0000-000016000000}"/>
    <cellStyle name="Komma 10" xfId="24" xr:uid="{00000000-0005-0000-0000-000018000000}"/>
    <cellStyle name="Komma 11" xfId="25" xr:uid="{00000000-0005-0000-0000-000019000000}"/>
    <cellStyle name="Komma 12" xfId="26" xr:uid="{00000000-0005-0000-0000-00001A000000}"/>
    <cellStyle name="Komma 13" xfId="27" xr:uid="{00000000-0005-0000-0000-00001B000000}"/>
    <cellStyle name="Komma 2" xfId="28" xr:uid="{00000000-0005-0000-0000-00001C000000}"/>
    <cellStyle name="Komma 2 2" xfId="29" xr:uid="{00000000-0005-0000-0000-00001D000000}"/>
    <cellStyle name="Komma 2 2 2" xfId="30" xr:uid="{00000000-0005-0000-0000-00001E000000}"/>
    <cellStyle name="Komma 2 3" xfId="31" xr:uid="{00000000-0005-0000-0000-00001F000000}"/>
    <cellStyle name="Komma 2 4" xfId="32" xr:uid="{00000000-0005-0000-0000-000020000000}"/>
    <cellStyle name="Komma 2 5" xfId="33" xr:uid="{00000000-0005-0000-0000-000021000000}"/>
    <cellStyle name="Komma 2 6" xfId="34" xr:uid="{00000000-0005-0000-0000-000022000000}"/>
    <cellStyle name="Komma 2 7" xfId="35" xr:uid="{00000000-0005-0000-0000-000023000000}"/>
    <cellStyle name="Komma 2_Tabel 7" xfId="36" xr:uid="{00000000-0005-0000-0000-000024000000}"/>
    <cellStyle name="Komma 3" xfId="37" xr:uid="{00000000-0005-0000-0000-000025000000}"/>
    <cellStyle name="Komma 3 2" xfId="38" xr:uid="{00000000-0005-0000-0000-000026000000}"/>
    <cellStyle name="Komma 3 3" xfId="39" xr:uid="{00000000-0005-0000-0000-000027000000}"/>
    <cellStyle name="Komma 4" xfId="40" xr:uid="{00000000-0005-0000-0000-000028000000}"/>
    <cellStyle name="Komma 4 2" xfId="41" xr:uid="{00000000-0005-0000-0000-000029000000}"/>
    <cellStyle name="Komma 4 3" xfId="42" xr:uid="{00000000-0005-0000-0000-00002A000000}"/>
    <cellStyle name="Komma 4 4" xfId="43" xr:uid="{00000000-0005-0000-0000-00002B000000}"/>
    <cellStyle name="Komma 5" xfId="44" xr:uid="{00000000-0005-0000-0000-00002C000000}"/>
    <cellStyle name="Komma 5 2" xfId="45" xr:uid="{00000000-0005-0000-0000-00002D000000}"/>
    <cellStyle name="Komma 6" xfId="46" xr:uid="{00000000-0005-0000-0000-00002E000000}"/>
    <cellStyle name="Komma 6 2" xfId="47" xr:uid="{00000000-0005-0000-0000-00002F000000}"/>
    <cellStyle name="Komma 7" xfId="48" xr:uid="{00000000-0005-0000-0000-000030000000}"/>
    <cellStyle name="Komma 7 2" xfId="49" xr:uid="{00000000-0005-0000-0000-000031000000}"/>
    <cellStyle name="Komma 8" xfId="50" xr:uid="{00000000-0005-0000-0000-000032000000}"/>
    <cellStyle name="Komma 9" xfId="51" xr:uid="{00000000-0005-0000-0000-000033000000}"/>
    <cellStyle name="Linked Cell" xfId="52" xr:uid="{00000000-0005-0000-0000-000034000000}"/>
    <cellStyle name="Milliers 2" xfId="53" xr:uid="{00000000-0005-0000-0000-000035000000}"/>
    <cellStyle name="Milliers 5" xfId="54" xr:uid="{00000000-0005-0000-0000-000036000000}"/>
    <cellStyle name="Milliers 8" xfId="55" xr:uid="{00000000-0005-0000-0000-000037000000}"/>
    <cellStyle name="Neutral" xfId="56" xr:uid="{00000000-0005-0000-0000-000038000000}"/>
    <cellStyle name="Normal 10" xfId="57" xr:uid="{00000000-0005-0000-0000-000039000000}"/>
    <cellStyle name="Normal 13" xfId="58" xr:uid="{00000000-0005-0000-0000-00003A000000}"/>
    <cellStyle name="Normal 14" xfId="59" xr:uid="{00000000-0005-0000-0000-00003B000000}"/>
    <cellStyle name="Normal 15" xfId="60" xr:uid="{00000000-0005-0000-0000-00003C000000}"/>
    <cellStyle name="Normal 16" xfId="61" xr:uid="{00000000-0005-0000-0000-00003D000000}"/>
    <cellStyle name="Normal 17" xfId="62" xr:uid="{00000000-0005-0000-0000-00003E000000}"/>
    <cellStyle name="Normal 18" xfId="63" xr:uid="{00000000-0005-0000-0000-00003F000000}"/>
    <cellStyle name="Normal 19" xfId="64" xr:uid="{00000000-0005-0000-0000-000040000000}"/>
    <cellStyle name="Normal 2" xfId="65" xr:uid="{00000000-0005-0000-0000-000041000000}"/>
    <cellStyle name="Normal 2 11" xfId="66" xr:uid="{00000000-0005-0000-0000-000042000000}"/>
    <cellStyle name="Normal 2 12" xfId="67" xr:uid="{00000000-0005-0000-0000-000043000000}"/>
    <cellStyle name="Normal 2 13" xfId="68" xr:uid="{00000000-0005-0000-0000-000044000000}"/>
    <cellStyle name="Normal 2 2" xfId="69" xr:uid="{00000000-0005-0000-0000-000045000000}"/>
    <cellStyle name="Normal 2 2 2" xfId="70" xr:uid="{00000000-0005-0000-0000-000046000000}"/>
    <cellStyle name="Normal 20" xfId="71" xr:uid="{00000000-0005-0000-0000-000047000000}"/>
    <cellStyle name="Normal 21" xfId="72" xr:uid="{00000000-0005-0000-0000-000048000000}"/>
    <cellStyle name="Normal 22" xfId="73" xr:uid="{00000000-0005-0000-0000-000049000000}"/>
    <cellStyle name="Normal 23" xfId="74" xr:uid="{00000000-0005-0000-0000-00004A000000}"/>
    <cellStyle name="Normal 24" xfId="75" xr:uid="{00000000-0005-0000-0000-00004B000000}"/>
    <cellStyle name="Normal 25" xfId="76" xr:uid="{00000000-0005-0000-0000-00004C000000}"/>
    <cellStyle name="Normal 26" xfId="77" xr:uid="{00000000-0005-0000-0000-00004D000000}"/>
    <cellStyle name="Normal 27" xfId="78" xr:uid="{00000000-0005-0000-0000-00004E000000}"/>
    <cellStyle name="Normal 28" xfId="79" xr:uid="{00000000-0005-0000-0000-00004F000000}"/>
    <cellStyle name="Normal 29" xfId="80" xr:uid="{00000000-0005-0000-0000-000050000000}"/>
    <cellStyle name="Normal 3" xfId="81" xr:uid="{00000000-0005-0000-0000-000051000000}"/>
    <cellStyle name="Normal 3 2" xfId="82" xr:uid="{00000000-0005-0000-0000-000052000000}"/>
    <cellStyle name="Normal 3 3" xfId="83" xr:uid="{00000000-0005-0000-0000-000053000000}"/>
    <cellStyle name="Normal 30" xfId="84" xr:uid="{00000000-0005-0000-0000-000054000000}"/>
    <cellStyle name="Normal 31" xfId="85" xr:uid="{00000000-0005-0000-0000-000055000000}"/>
    <cellStyle name="Normal 32" xfId="86" xr:uid="{00000000-0005-0000-0000-000056000000}"/>
    <cellStyle name="Normal 33" xfId="87" xr:uid="{00000000-0005-0000-0000-000057000000}"/>
    <cellStyle name="Normal 34" xfId="88" xr:uid="{00000000-0005-0000-0000-000058000000}"/>
    <cellStyle name="Normal 35" xfId="89" xr:uid="{00000000-0005-0000-0000-000059000000}"/>
    <cellStyle name="Normal 36" xfId="90" xr:uid="{00000000-0005-0000-0000-00005A000000}"/>
    <cellStyle name="Normal 37" xfId="91" xr:uid="{00000000-0005-0000-0000-00005B000000}"/>
    <cellStyle name="Normal 38" xfId="92" xr:uid="{00000000-0005-0000-0000-00005C000000}"/>
    <cellStyle name="Normal 39" xfId="93" xr:uid="{00000000-0005-0000-0000-00005D000000}"/>
    <cellStyle name="Normal 4" xfId="94" xr:uid="{00000000-0005-0000-0000-00005E000000}"/>
    <cellStyle name="Normal 40" xfId="95" xr:uid="{00000000-0005-0000-0000-00005F000000}"/>
    <cellStyle name="Normal 41" xfId="96" xr:uid="{00000000-0005-0000-0000-000060000000}"/>
    <cellStyle name="Normal 42" xfId="97" xr:uid="{00000000-0005-0000-0000-000061000000}"/>
    <cellStyle name="Normal 43" xfId="98" xr:uid="{00000000-0005-0000-0000-000062000000}"/>
    <cellStyle name="Normal 44" xfId="99" xr:uid="{00000000-0005-0000-0000-000063000000}"/>
    <cellStyle name="Normal 45" xfId="100" xr:uid="{00000000-0005-0000-0000-000064000000}"/>
    <cellStyle name="Normal 46" xfId="101" xr:uid="{00000000-0005-0000-0000-000065000000}"/>
    <cellStyle name="Normal 47" xfId="102" xr:uid="{00000000-0005-0000-0000-000066000000}"/>
    <cellStyle name="Normal 48" xfId="103" xr:uid="{00000000-0005-0000-0000-000067000000}"/>
    <cellStyle name="Normal 49" xfId="104" xr:uid="{00000000-0005-0000-0000-000068000000}"/>
    <cellStyle name="Normal 50" xfId="105" xr:uid="{00000000-0005-0000-0000-000069000000}"/>
    <cellStyle name="Normal 51" xfId="106" xr:uid="{00000000-0005-0000-0000-00006A000000}"/>
    <cellStyle name="Normal 52" xfId="107" xr:uid="{00000000-0005-0000-0000-00006B000000}"/>
    <cellStyle name="Normal 53" xfId="108" xr:uid="{00000000-0005-0000-0000-00006C000000}"/>
    <cellStyle name="Normal 54" xfId="109" xr:uid="{00000000-0005-0000-0000-00006D000000}"/>
    <cellStyle name="Normal 56" xfId="110" xr:uid="{00000000-0005-0000-0000-00006E000000}"/>
    <cellStyle name="Normal 57" xfId="111" xr:uid="{00000000-0005-0000-0000-00006F000000}"/>
    <cellStyle name="Normal 58" xfId="112" xr:uid="{00000000-0005-0000-0000-000070000000}"/>
    <cellStyle name="Normal 59" xfId="113" xr:uid="{00000000-0005-0000-0000-000071000000}"/>
    <cellStyle name="Normal 60" xfId="114" xr:uid="{00000000-0005-0000-0000-000072000000}"/>
    <cellStyle name="Normal 61" xfId="115" xr:uid="{00000000-0005-0000-0000-000073000000}"/>
    <cellStyle name="Normal 62" xfId="116" xr:uid="{00000000-0005-0000-0000-000074000000}"/>
    <cellStyle name="Normal 63" xfId="117" xr:uid="{00000000-0005-0000-0000-000075000000}"/>
    <cellStyle name="Normal 64" xfId="118" xr:uid="{00000000-0005-0000-0000-000076000000}"/>
    <cellStyle name="Normal 65" xfId="119" xr:uid="{00000000-0005-0000-0000-000077000000}"/>
    <cellStyle name="Normal 66" xfId="120" xr:uid="{00000000-0005-0000-0000-000078000000}"/>
    <cellStyle name="Normal 67" xfId="121" xr:uid="{00000000-0005-0000-0000-000079000000}"/>
    <cellStyle name="Normal 68" xfId="122" xr:uid="{00000000-0005-0000-0000-00007A000000}"/>
    <cellStyle name="Normal 69" xfId="123" xr:uid="{00000000-0005-0000-0000-00007B000000}"/>
    <cellStyle name="Normal 70" xfId="124" xr:uid="{00000000-0005-0000-0000-00007C000000}"/>
    <cellStyle name="Normal 71" xfId="125" xr:uid="{00000000-0005-0000-0000-00007D000000}"/>
    <cellStyle name="Normal 72" xfId="126" xr:uid="{00000000-0005-0000-0000-00007E000000}"/>
    <cellStyle name="Normal 73" xfId="127" xr:uid="{00000000-0005-0000-0000-00007F000000}"/>
    <cellStyle name="Normal 74" xfId="128" xr:uid="{00000000-0005-0000-0000-000080000000}"/>
    <cellStyle name="Normal 75" xfId="129" xr:uid="{00000000-0005-0000-0000-000081000000}"/>
    <cellStyle name="Normal 76" xfId="130" xr:uid="{00000000-0005-0000-0000-000082000000}"/>
    <cellStyle name="Normal 77" xfId="131" xr:uid="{00000000-0005-0000-0000-000083000000}"/>
    <cellStyle name="Normal 78" xfId="132" xr:uid="{00000000-0005-0000-0000-000084000000}"/>
    <cellStyle name="Normal 79" xfId="133" xr:uid="{00000000-0005-0000-0000-000085000000}"/>
    <cellStyle name="Normal 80" xfId="134" xr:uid="{00000000-0005-0000-0000-000086000000}"/>
    <cellStyle name="Normal 81" xfId="135" xr:uid="{00000000-0005-0000-0000-000087000000}"/>
    <cellStyle name="Normal 82" xfId="136" xr:uid="{00000000-0005-0000-0000-000088000000}"/>
    <cellStyle name="Normal 83" xfId="137" xr:uid="{00000000-0005-0000-0000-000089000000}"/>
    <cellStyle name="Normal 84" xfId="138" xr:uid="{00000000-0005-0000-0000-00008A000000}"/>
    <cellStyle name="Normal 85" xfId="139" xr:uid="{00000000-0005-0000-0000-00008B000000}"/>
    <cellStyle name="Normal 86" xfId="140" xr:uid="{00000000-0005-0000-0000-00008C000000}"/>
    <cellStyle name="Normal 87" xfId="141" xr:uid="{00000000-0005-0000-0000-00008D000000}"/>
    <cellStyle name="Normal 88" xfId="142" xr:uid="{00000000-0005-0000-0000-00008E000000}"/>
    <cellStyle name="Normal 89" xfId="143" xr:uid="{00000000-0005-0000-0000-00008F000000}"/>
    <cellStyle name="Normal 9" xfId="144" xr:uid="{00000000-0005-0000-0000-000090000000}"/>
    <cellStyle name="Normal 90" xfId="145" xr:uid="{00000000-0005-0000-0000-000091000000}"/>
    <cellStyle name="Normal 91" xfId="146" xr:uid="{00000000-0005-0000-0000-000092000000}"/>
    <cellStyle name="Normal 92" xfId="147" xr:uid="{00000000-0005-0000-0000-000093000000}"/>
    <cellStyle name="Normal 93" xfId="148" xr:uid="{00000000-0005-0000-0000-000094000000}"/>
    <cellStyle name="Normal 94" xfId="149" xr:uid="{00000000-0005-0000-0000-000095000000}"/>
    <cellStyle name="Normal 95 2" xfId="150" xr:uid="{00000000-0005-0000-0000-000096000000}"/>
    <cellStyle name="Normal_237 FOUT_FA" xfId="151" xr:uid="{00000000-0005-0000-0000-000097000000}"/>
    <cellStyle name="Normal_Tableaux CREG Sibelga Gaz 2004" xfId="267" xr:uid="{49C3A004-21F1-40D6-BC81-962DF90988CF}"/>
    <cellStyle name="Note" xfId="152" xr:uid="{00000000-0005-0000-0000-000099000000}"/>
    <cellStyle name="Ongedefinieerd" xfId="153" xr:uid="{00000000-0005-0000-0000-00009A000000}"/>
    <cellStyle name="Output" xfId="154" xr:uid="{00000000-0005-0000-0000-00009B000000}"/>
    <cellStyle name="Percent" xfId="155" xr:uid="{00000000-0005-0000-0000-00009C000000}"/>
    <cellStyle name="Percent 2" xfId="156" xr:uid="{00000000-0005-0000-0000-00009D000000}"/>
    <cellStyle name="Pourcentage 2" xfId="157" xr:uid="{00000000-0005-0000-0000-00009E000000}"/>
    <cellStyle name="Procent" xfId="158" builtinId="5"/>
    <cellStyle name="Procent 2" xfId="159" xr:uid="{00000000-0005-0000-0000-0000A0000000}"/>
    <cellStyle name="Procent 2 2" xfId="160" xr:uid="{00000000-0005-0000-0000-0000A1000000}"/>
    <cellStyle name="Procent 3" xfId="161" xr:uid="{00000000-0005-0000-0000-0000A2000000}"/>
    <cellStyle name="Procent 3 2" xfId="162" xr:uid="{00000000-0005-0000-0000-0000A3000000}"/>
    <cellStyle name="Procent 3 3" xfId="163" xr:uid="{00000000-0005-0000-0000-0000A4000000}"/>
    <cellStyle name="Procent 3 4" xfId="164" xr:uid="{00000000-0005-0000-0000-0000A5000000}"/>
    <cellStyle name="Procent 3 5" xfId="165" xr:uid="{00000000-0005-0000-0000-0000A6000000}"/>
    <cellStyle name="Procent 3 6" xfId="166" xr:uid="{00000000-0005-0000-0000-0000A7000000}"/>
    <cellStyle name="Procent 4" xfId="167" xr:uid="{00000000-0005-0000-0000-0000A8000000}"/>
    <cellStyle name="Procent 4 2" xfId="168" xr:uid="{00000000-0005-0000-0000-0000A9000000}"/>
    <cellStyle name="Procent 4 3" xfId="169" xr:uid="{00000000-0005-0000-0000-0000AA000000}"/>
    <cellStyle name="Procent 4 4" xfId="170" xr:uid="{00000000-0005-0000-0000-0000AB000000}"/>
    <cellStyle name="Procent 4 5" xfId="171" xr:uid="{00000000-0005-0000-0000-0000AC000000}"/>
    <cellStyle name="Procent 5" xfId="172" xr:uid="{00000000-0005-0000-0000-0000AD000000}"/>
    <cellStyle name="Procent 6" xfId="173" xr:uid="{00000000-0005-0000-0000-0000AE000000}"/>
    <cellStyle name="Procent 7" xfId="174" xr:uid="{00000000-0005-0000-0000-0000AF000000}"/>
    <cellStyle name="SAPBEXaggData" xfId="175" xr:uid="{00000000-0005-0000-0000-0000B0000000}"/>
    <cellStyle name="SAPBEXaggDataEmph" xfId="176" xr:uid="{00000000-0005-0000-0000-0000B1000000}"/>
    <cellStyle name="SAPBEXaggItem" xfId="177" xr:uid="{00000000-0005-0000-0000-0000B2000000}"/>
    <cellStyle name="SAPBEXaggItemX" xfId="178" xr:uid="{00000000-0005-0000-0000-0000B3000000}"/>
    <cellStyle name="SAPBEXchaText" xfId="179" xr:uid="{00000000-0005-0000-0000-0000B4000000}"/>
    <cellStyle name="SAPBEXchaText 2" xfId="180" xr:uid="{00000000-0005-0000-0000-0000B5000000}"/>
    <cellStyle name="SAPBEXexcBad7" xfId="181" xr:uid="{00000000-0005-0000-0000-0000B6000000}"/>
    <cellStyle name="SAPBEXexcBad8" xfId="182" xr:uid="{00000000-0005-0000-0000-0000B7000000}"/>
    <cellStyle name="SAPBEXexcBad9" xfId="183" xr:uid="{00000000-0005-0000-0000-0000B8000000}"/>
    <cellStyle name="SAPBEXexcCritical4" xfId="184" xr:uid="{00000000-0005-0000-0000-0000B9000000}"/>
    <cellStyle name="SAPBEXexcCritical5" xfId="185" xr:uid="{00000000-0005-0000-0000-0000BA000000}"/>
    <cellStyle name="SAPBEXexcCritical6" xfId="186" xr:uid="{00000000-0005-0000-0000-0000BB000000}"/>
    <cellStyle name="SAPBEXexcGood1" xfId="187" xr:uid="{00000000-0005-0000-0000-0000BC000000}"/>
    <cellStyle name="SAPBEXexcGood2" xfId="188" xr:uid="{00000000-0005-0000-0000-0000BD000000}"/>
    <cellStyle name="SAPBEXexcGood3" xfId="189" xr:uid="{00000000-0005-0000-0000-0000BE000000}"/>
    <cellStyle name="SAPBEXfilterDrill" xfId="190" xr:uid="{00000000-0005-0000-0000-0000BF000000}"/>
    <cellStyle name="SAPBEXfilterItem" xfId="191" xr:uid="{00000000-0005-0000-0000-0000C0000000}"/>
    <cellStyle name="SAPBEXfilterText" xfId="192" xr:uid="{00000000-0005-0000-0000-0000C1000000}"/>
    <cellStyle name="SAPBEXformats" xfId="193" xr:uid="{00000000-0005-0000-0000-0000C2000000}"/>
    <cellStyle name="SAPBEXheaderItem" xfId="194" xr:uid="{00000000-0005-0000-0000-0000C3000000}"/>
    <cellStyle name="SAPBEXheaderText" xfId="195" xr:uid="{00000000-0005-0000-0000-0000C4000000}"/>
    <cellStyle name="SAPBEXHLevel0" xfId="196" xr:uid="{00000000-0005-0000-0000-0000C5000000}"/>
    <cellStyle name="SAPBEXHLevel0X" xfId="197" xr:uid="{00000000-0005-0000-0000-0000C6000000}"/>
    <cellStyle name="SAPBEXHLevel1" xfId="198" xr:uid="{00000000-0005-0000-0000-0000C7000000}"/>
    <cellStyle name="SAPBEXHLevel1X" xfId="199" xr:uid="{00000000-0005-0000-0000-0000C8000000}"/>
    <cellStyle name="SAPBEXHLevel2" xfId="200" xr:uid="{00000000-0005-0000-0000-0000C9000000}"/>
    <cellStyle name="SAPBEXHLevel2X" xfId="201" xr:uid="{00000000-0005-0000-0000-0000CA000000}"/>
    <cellStyle name="SAPBEXHLevel3" xfId="202" xr:uid="{00000000-0005-0000-0000-0000CB000000}"/>
    <cellStyle name="SAPBEXHLevel3X" xfId="203" xr:uid="{00000000-0005-0000-0000-0000CC000000}"/>
    <cellStyle name="SAPBEXinputData" xfId="204" xr:uid="{00000000-0005-0000-0000-0000CD000000}"/>
    <cellStyle name="SAPBEXresData" xfId="205" xr:uid="{00000000-0005-0000-0000-0000CE000000}"/>
    <cellStyle name="SAPBEXresDataEmph" xfId="206" xr:uid="{00000000-0005-0000-0000-0000CF000000}"/>
    <cellStyle name="SAPBEXresItem" xfId="207" xr:uid="{00000000-0005-0000-0000-0000D0000000}"/>
    <cellStyle name="SAPBEXresItemX" xfId="208" xr:uid="{00000000-0005-0000-0000-0000D1000000}"/>
    <cellStyle name="SAPBEXstdData" xfId="209" xr:uid="{00000000-0005-0000-0000-0000D2000000}"/>
    <cellStyle name="SAPBEXstdDataEmph" xfId="210" xr:uid="{00000000-0005-0000-0000-0000D3000000}"/>
    <cellStyle name="SAPBEXstdItem" xfId="211" xr:uid="{00000000-0005-0000-0000-0000D4000000}"/>
    <cellStyle name="SAPBEXstdItem 2" xfId="212" xr:uid="{00000000-0005-0000-0000-0000D5000000}"/>
    <cellStyle name="SAPBEXstdItemX" xfId="213" xr:uid="{00000000-0005-0000-0000-0000D6000000}"/>
    <cellStyle name="SAPBEXtitle" xfId="214" xr:uid="{00000000-0005-0000-0000-0000D7000000}"/>
    <cellStyle name="SAPBEXundefined" xfId="215" xr:uid="{00000000-0005-0000-0000-0000D8000000}"/>
    <cellStyle name="Sheet Title" xfId="216" xr:uid="{00000000-0005-0000-0000-0000D9000000}"/>
    <cellStyle name="Standaard" xfId="0" builtinId="0"/>
    <cellStyle name="Standaard 10" xfId="217" xr:uid="{00000000-0005-0000-0000-0000DB000000}"/>
    <cellStyle name="Standaard 11" xfId="218" xr:uid="{00000000-0005-0000-0000-0000DC000000}"/>
    <cellStyle name="Standaard 12" xfId="219" xr:uid="{00000000-0005-0000-0000-0000DD000000}"/>
    <cellStyle name="Standaard 13" xfId="266" xr:uid="{E8E1AA65-57CD-4CC4-85E0-419364944BD1}"/>
    <cellStyle name="Standaard 2" xfId="220" xr:uid="{00000000-0005-0000-0000-0000DE000000}"/>
    <cellStyle name="Standaard 2 2" xfId="221" xr:uid="{00000000-0005-0000-0000-0000DF000000}"/>
    <cellStyle name="Standaard 2 2 2" xfId="222" xr:uid="{00000000-0005-0000-0000-0000E0000000}"/>
    <cellStyle name="Standaard 2 2 2 2" xfId="223" xr:uid="{00000000-0005-0000-0000-0000E1000000}"/>
    <cellStyle name="Standaard 2 3" xfId="224" xr:uid="{00000000-0005-0000-0000-0000E2000000}"/>
    <cellStyle name="Standaard 2 4" xfId="225" xr:uid="{00000000-0005-0000-0000-0000E3000000}"/>
    <cellStyle name="Standaard 2 5" xfId="226" xr:uid="{00000000-0005-0000-0000-0000E4000000}"/>
    <cellStyle name="Standaard 2 6" xfId="227" xr:uid="{00000000-0005-0000-0000-0000E5000000}"/>
    <cellStyle name="Standaard 2 7" xfId="228" xr:uid="{00000000-0005-0000-0000-0000E6000000}"/>
    <cellStyle name="Standaard 2 8" xfId="229" xr:uid="{00000000-0005-0000-0000-0000E7000000}"/>
    <cellStyle name="Standaard 2_B2009_doorvervoer ELEK_MATRIX_versie DEF" xfId="230" xr:uid="{00000000-0005-0000-0000-0000E8000000}"/>
    <cellStyle name="Standaard 3" xfId="231" xr:uid="{00000000-0005-0000-0000-0000E9000000}"/>
    <cellStyle name="Standaard 3 2" xfId="232" xr:uid="{00000000-0005-0000-0000-0000EA000000}"/>
    <cellStyle name="Standaard 3 2 2" xfId="233" xr:uid="{00000000-0005-0000-0000-0000EB000000}"/>
    <cellStyle name="Standaard 3 2 3" xfId="234" xr:uid="{00000000-0005-0000-0000-0000EC000000}"/>
    <cellStyle name="Standaard 3 2 4" xfId="268" xr:uid="{922F9E81-4F13-481D-8C74-E227F5AC09BD}"/>
    <cellStyle name="Standaard 3 3" xfId="235" xr:uid="{00000000-0005-0000-0000-0000ED000000}"/>
    <cellStyle name="Standaard 4" xfId="236" xr:uid="{00000000-0005-0000-0000-0000EE000000}"/>
    <cellStyle name="Standaard 4 2" xfId="237" xr:uid="{00000000-0005-0000-0000-0000EF000000}"/>
    <cellStyle name="Standaard 4 3" xfId="238" xr:uid="{00000000-0005-0000-0000-0000F0000000}"/>
    <cellStyle name="Standaard 4 4" xfId="239" xr:uid="{00000000-0005-0000-0000-0000F1000000}"/>
    <cellStyle name="Standaard 4 5" xfId="240" xr:uid="{00000000-0005-0000-0000-0000F2000000}"/>
    <cellStyle name="Standaard 4 6" xfId="241" xr:uid="{00000000-0005-0000-0000-0000F3000000}"/>
    <cellStyle name="Standaard 4 7" xfId="242" xr:uid="{00000000-0005-0000-0000-0000F4000000}"/>
    <cellStyle name="Standaard 4_B2009_doorvervoer ELEK_MATRIX_versie DEF" xfId="243" xr:uid="{00000000-0005-0000-0000-0000F5000000}"/>
    <cellStyle name="Standaard 5" xfId="244" xr:uid="{00000000-0005-0000-0000-0000F6000000}"/>
    <cellStyle name="Standaard 6" xfId="245" xr:uid="{00000000-0005-0000-0000-0000F7000000}"/>
    <cellStyle name="Standaard 6 2" xfId="246" xr:uid="{00000000-0005-0000-0000-0000F8000000}"/>
    <cellStyle name="Standaard 6 3" xfId="247" xr:uid="{00000000-0005-0000-0000-0000F9000000}"/>
    <cellStyle name="Standaard 6 4" xfId="248" xr:uid="{00000000-0005-0000-0000-0000FA000000}"/>
    <cellStyle name="Standaard 6 5" xfId="249" xr:uid="{00000000-0005-0000-0000-0000FB000000}"/>
    <cellStyle name="Standaard 6 6" xfId="250" xr:uid="{00000000-0005-0000-0000-0000FC000000}"/>
    <cellStyle name="Standaard 7" xfId="251" xr:uid="{00000000-0005-0000-0000-0000FD000000}"/>
    <cellStyle name="Standaard 7 2" xfId="252" xr:uid="{00000000-0005-0000-0000-0000FE000000}"/>
    <cellStyle name="Standaard 8" xfId="253" xr:uid="{00000000-0005-0000-0000-0000FF000000}"/>
    <cellStyle name="Standaard 8 2" xfId="254" xr:uid="{00000000-0005-0000-0000-000000010000}"/>
    <cellStyle name="Standaard 8 3" xfId="255" xr:uid="{00000000-0005-0000-0000-000001010000}"/>
    <cellStyle name="Standaard 9" xfId="256" xr:uid="{00000000-0005-0000-0000-000002010000}"/>
    <cellStyle name="Standaard_20100727 Rekenmodel NE5R v1.9" xfId="257" xr:uid="{00000000-0005-0000-0000-000003010000}"/>
    <cellStyle name="Standaard_Balans IL-Glob. PLAU" xfId="258" xr:uid="{00000000-0005-0000-0000-000004010000}"/>
    <cellStyle name="Stijl 1" xfId="259" xr:uid="{00000000-0005-0000-0000-000006010000}"/>
    <cellStyle name="Style 1" xfId="260" xr:uid="{00000000-0005-0000-0000-000007010000}"/>
    <cellStyle name="Title" xfId="261" xr:uid="{00000000-0005-0000-0000-000008010000}"/>
    <cellStyle name="Total" xfId="262" xr:uid="{00000000-0005-0000-0000-000009010000}"/>
    <cellStyle name="Valuta 2" xfId="263" xr:uid="{00000000-0005-0000-0000-00000B010000}"/>
    <cellStyle name="Warning Text" xfId="264" xr:uid="{00000000-0005-0000-0000-00000C010000}"/>
    <cellStyle name="wittelijn" xfId="265" xr:uid="{00000000-0005-0000-0000-00000D010000}"/>
  </cellStyles>
  <dxfs count="275">
    <dxf>
      <numFmt numFmtId="4" formatCode="#,##0.00"/>
      <fill>
        <patternFill patternType="solid">
          <fgColor indexed="64"/>
          <bgColor theme="0"/>
        </patternFill>
      </fill>
      <border diagonalUp="0" diagonalDown="0" outline="0">
        <left/>
        <right style="medium">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style="double">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style="double">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style="double">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style="double">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right style="double">
          <color indexed="64"/>
        </right>
        <top style="medium">
          <color auto="1"/>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style="double">
          <color indexed="64"/>
        </vertical>
        <horizontal style="hair">
          <color indexed="64"/>
        </horizontal>
      </border>
    </dxf>
    <dxf>
      <numFmt numFmtId="4" formatCode="#,##0.00"/>
      <fill>
        <patternFill patternType="solid">
          <fgColor indexed="64"/>
          <bgColor theme="0"/>
        </patternFill>
      </fill>
      <border diagonalUp="0" diagonalDown="0" outline="0">
        <left style="hair">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double">
          <color indexed="64"/>
        </right>
        <top/>
        <bottom/>
        <vertical/>
        <horizontal/>
      </border>
    </dxf>
    <dxf>
      <numFmt numFmtId="4" formatCode="#,##0.00"/>
      <fill>
        <patternFill patternType="solid">
          <fgColor indexed="64"/>
          <bgColor theme="0"/>
        </patternFill>
      </fill>
      <border diagonalUp="0" diagonalDown="0" outline="0">
        <left/>
        <right style="hair">
          <color indexed="64"/>
        </right>
        <top style="medium">
          <color indexed="64"/>
        </top>
        <bottom style="medium">
          <color indexed="64"/>
        </bottom>
      </border>
    </dxf>
    <dxf>
      <numFmt numFmtId="4" formatCode="#,##0.00"/>
      <fill>
        <patternFill patternType="solid">
          <fgColor indexed="64"/>
          <bgColor theme="0"/>
        </patternFill>
      </fill>
      <border diagonalUp="0" diagonalDown="0">
        <left style="hair">
          <color indexed="64"/>
        </left>
        <right style="hair">
          <color indexed="64"/>
        </right>
        <top style="hair">
          <color indexed="64"/>
        </top>
        <bottom/>
        <vertical/>
        <horizontal/>
      </border>
    </dxf>
    <dxf>
      <numFmt numFmtId="4" formatCode="#,##0.00"/>
      <fill>
        <patternFill patternType="solid">
          <fgColor indexed="64"/>
          <bgColor theme="0"/>
        </patternFill>
      </fill>
      <border diagonalUp="0" diagonalDown="0" outline="0">
        <left/>
        <right style="hair">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hair">
          <color indexed="64"/>
        </left>
        <right style="hair">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double">
          <color indexed="64"/>
        </left>
        <right style="hair">
          <color indexed="64"/>
        </right>
        <top style="medium">
          <color auto="1"/>
        </top>
        <bottom style="medium">
          <color indexed="64"/>
        </bottom>
      </border>
    </dxf>
    <dxf>
      <numFmt numFmtId="4" formatCode="#,##0.00"/>
      <fill>
        <patternFill>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right style="hair">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border>
    </dxf>
    <dxf>
      <numFmt numFmtId="4" formatCode="#,##0.00"/>
      <fill>
        <patternFill patternType="solid">
          <fgColor indexed="64"/>
          <bgColor theme="0"/>
        </patternFill>
      </fill>
      <border diagonalUp="0" diagonalDown="0" outline="0">
        <left style="double">
          <color indexed="64"/>
        </left>
        <right style="hair">
          <color indexed="64"/>
        </right>
        <top style="medium">
          <color auto="1"/>
        </top>
        <bottom style="medium">
          <color indexed="64"/>
        </bottom>
      </border>
    </dxf>
    <dxf>
      <numFmt numFmtId="4" formatCode="#,##0.00"/>
      <fill>
        <patternFill>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right/>
        <top style="medium">
          <color auto="1"/>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border>
    </dxf>
    <dxf>
      <numFmt numFmtId="4" formatCode="#,##0.00"/>
      <fill>
        <patternFill patternType="solid">
          <fgColor indexed="64"/>
          <bgColor theme="0"/>
        </patternFill>
      </fill>
      <border diagonalUp="0" diagonalDown="0" outline="0">
        <left style="hair">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double">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hair">
          <color indexed="64"/>
        </left>
        <right style="hair">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double">
          <color indexed="64"/>
        </left>
        <right style="hair">
          <color indexed="64"/>
        </right>
        <top style="medium">
          <color auto="1"/>
        </top>
        <bottom style="medium">
          <color indexed="64"/>
        </bottom>
      </border>
    </dxf>
    <dxf>
      <numFmt numFmtId="4" formatCode="#,##0.00"/>
      <fill>
        <patternFill>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right/>
        <top style="medium">
          <color auto="1"/>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border>
    </dxf>
    <dxf>
      <numFmt numFmtId="4" formatCode="#,##0.00"/>
      <fill>
        <patternFill patternType="solid">
          <fgColor indexed="64"/>
          <bgColor theme="0"/>
        </patternFill>
      </fill>
      <border diagonalUp="0" diagonalDown="0" outline="0">
        <left style="hair">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hair">
          <color indexed="64"/>
        </left>
        <right style="double">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double">
          <color indexed="64"/>
        </left>
        <right style="hair">
          <color indexed="64"/>
        </right>
        <top style="medium">
          <color auto="1"/>
        </top>
        <bottom style="medium">
          <color indexed="64"/>
        </bottom>
      </border>
    </dxf>
    <dxf>
      <numFmt numFmtId="4" formatCode="#,##0.00"/>
      <fill>
        <patternFill>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dxf>
    <dxf>
      <numFmt numFmtId="4" formatCode="#,##0.00"/>
      <fill>
        <patternFill patternType="solid">
          <fgColor indexed="64"/>
          <bgColor theme="0"/>
        </patternFill>
      </fill>
      <border diagonalUp="0" diagonalDown="0" outline="0">
        <left style="double">
          <color indexed="64"/>
        </left>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vertical/>
      </border>
    </dxf>
    <dxf>
      <numFmt numFmtId="4" formatCode="#,##0.00"/>
      <fill>
        <patternFill patternType="solid">
          <fgColor indexed="64"/>
          <bgColor theme="0"/>
        </patternFill>
      </fill>
      <border diagonalUp="0" diagonalDown="0" outline="0">
        <left style="double">
          <color indexed="64"/>
        </left>
        <right style="double">
          <color indexed="64"/>
        </right>
        <top style="medium">
          <color indexed="64"/>
        </top>
        <bottom style="medium">
          <color indexed="64"/>
        </bottom>
      </border>
    </dxf>
    <dxf>
      <numFmt numFmtId="4" formatCode="#,##0.00"/>
      <fill>
        <patternFill>
          <fgColor indexed="64"/>
          <bgColor theme="0"/>
        </patternFill>
      </fill>
      <border diagonalUp="0" diagonalDown="0">
        <left style="double">
          <color indexed="64"/>
        </left>
        <right style="double">
          <color indexed="64"/>
        </right>
        <top style="hair">
          <color indexed="64"/>
        </top>
        <bottom style="hair">
          <color indexed="64"/>
        </bottom>
      </border>
    </dxf>
    <dxf>
      <fill>
        <patternFill patternType="solid">
          <fgColor indexed="64"/>
          <bgColor theme="0"/>
        </patternFill>
      </fill>
      <border diagonalUp="0" diagonalDown="0" outline="0">
        <left style="medium">
          <color indexed="64"/>
        </left>
        <right/>
        <top style="medium">
          <color auto="1"/>
        </top>
        <bottom style="medium">
          <color indexed="64"/>
        </bottom>
      </border>
    </dxf>
    <dxf>
      <fill>
        <patternFill>
          <fgColor indexed="64"/>
          <bgColor theme="0"/>
        </patternFill>
      </fill>
      <border diagonalUp="0" diagonalDown="0" outline="0">
        <left/>
        <right/>
        <top style="hair">
          <color indexed="64"/>
        </top>
        <bottom style="hair">
          <color indexed="64"/>
        </bottom>
      </border>
    </dxf>
    <dxf>
      <border>
        <top style="medium">
          <color indexed="64"/>
        </top>
      </border>
    </dxf>
    <dxf>
      <numFmt numFmtId="177" formatCode="[$€-2]\ #,##0.0000000"/>
      <fill>
        <patternFill patternType="solid">
          <fgColor indexed="64"/>
          <bgColor theme="0"/>
        </patternFill>
      </fill>
      <border diagonalUp="0" diagonalDown="0">
        <left style="double">
          <color indexed="64"/>
        </left>
        <right style="double">
          <color indexed="64"/>
        </right>
        <top/>
        <bottom/>
      </border>
    </dxf>
    <dxf>
      <border diagonalUp="0" diagonalDown="0">
        <left style="medium">
          <color indexed="64"/>
        </left>
        <right style="medium">
          <color indexed="64"/>
        </right>
        <top style="medium">
          <color indexed="64"/>
        </top>
        <bottom style="medium">
          <color indexed="64"/>
        </bottom>
      </border>
    </dxf>
    <dxf>
      <fill>
        <patternFill>
          <fgColor indexed="64"/>
          <bgColor theme="0"/>
        </patternFill>
      </fill>
    </dxf>
    <dxf>
      <border>
        <bottom style="medium">
          <color indexed="64"/>
        </bottom>
      </border>
    </dxf>
    <dxf>
      <fill>
        <patternFill>
          <fgColor indexed="64"/>
          <bgColor theme="0"/>
        </patternFill>
      </fill>
      <alignment horizontal="center" vertical="center" textRotation="0" indent="0" justifyLastLine="0" shrinkToFit="0" readingOrder="0"/>
    </dxf>
    <dxf>
      <numFmt numFmtId="177" formatCode="[$€-2]\ #,##0.0000000"/>
      <fill>
        <patternFill patternType="lightUp">
          <fgColor indexed="64"/>
          <bgColor theme="0"/>
        </patternFill>
      </fill>
      <border diagonalUp="0" diagonalDown="0">
        <left/>
        <right/>
        <top style="hair">
          <color indexed="64"/>
        </top>
        <bottom/>
        <vertical/>
        <horizontal/>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lightUp">
          <fgColor indexed="64"/>
          <bgColor theme="0"/>
        </patternFill>
      </fill>
      <border diagonalUp="0" diagonalDown="0">
        <left/>
        <right style="double">
          <color indexed="64"/>
        </right>
        <top style="hair">
          <color indexed="64"/>
        </top>
        <bottom/>
        <vertical/>
        <horizontal/>
      </border>
    </dxf>
    <dxf>
      <numFmt numFmtId="177" formatCode="[$€-2]\ #,##0.0000000"/>
      <fill>
        <patternFill patternType="lightUp">
          <fgColor indexed="64"/>
          <bgColor theme="0"/>
        </patternFill>
      </fill>
      <border diagonalUp="0" diagonalDown="0">
        <left style="hair">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style="hair">
          <color indexed="64"/>
        </bottom>
        <vertical/>
        <horizontal/>
      </border>
    </dxf>
    <dxf>
      <numFmt numFmtId="177" formatCode="[$€-2]\ #,##0.0000000"/>
      <fill>
        <patternFill patternType="solid">
          <fgColor indexed="64"/>
          <bgColor theme="0"/>
        </patternFill>
      </fill>
      <border diagonalUp="0" diagonalDown="0">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style="hair">
          <color indexed="64"/>
        </bottom>
        <vertical/>
        <horizontal/>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double">
          <color indexed="64"/>
        </right>
        <top style="hair">
          <color indexed="64"/>
        </top>
        <bottom style="hair">
          <color indexed="64"/>
        </bottom>
        <vertical/>
        <horizontal/>
      </border>
    </dxf>
    <dxf>
      <numFmt numFmtId="177" formatCode="[$€-2]\ #,##0.0000000"/>
      <fill>
        <patternFill patternType="solid">
          <fgColor indexed="64"/>
          <bgColor theme="0"/>
        </patternFill>
      </fill>
      <border diagonalUp="0" diagonalDown="0">
        <left style="double">
          <color indexed="64"/>
        </left>
        <right/>
        <top style="hair">
          <color indexed="64"/>
        </top>
        <bottom/>
        <vertical/>
        <horizontal/>
      </border>
    </dxf>
    <dxf>
      <numFmt numFmtId="177" formatCode="[$€-2]\ #,##0.0000000"/>
      <fill>
        <patternFill patternType="solid">
          <fgColor indexed="64"/>
          <bgColor theme="0"/>
        </patternFill>
      </fill>
      <border diagonalUp="0" diagonalDown="0">
        <left/>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top style="hair">
          <color indexed="64"/>
        </top>
        <bottom/>
        <vertical/>
        <horizontal/>
      </border>
    </dxf>
    <dxf>
      <fill>
        <patternFill patternType="solid">
          <fgColor indexed="64"/>
          <bgColor theme="0"/>
        </patternFill>
      </fill>
      <border diagonalUp="0" diagonalDown="0">
        <left style="double">
          <color indexed="64"/>
        </left>
        <right style="double">
          <color indexed="64"/>
        </right>
        <top style="hair">
          <color indexed="64"/>
        </top>
        <bottom/>
        <vertical/>
        <horizontal/>
      </border>
    </dxf>
    <dxf>
      <fill>
        <patternFill patternType="solid">
          <fgColor indexed="64"/>
          <bgColor theme="0"/>
        </patternFill>
      </fill>
      <border diagonalUp="0" diagonalDown="0">
        <left/>
        <right/>
        <top style="hair">
          <color indexed="64"/>
        </top>
        <bottom/>
        <vertical/>
        <horizontal/>
      </border>
    </dxf>
    <dxf>
      <border outline="0">
        <left style="medium">
          <color indexed="64"/>
        </left>
        <right style="medium">
          <color indexed="64"/>
        </right>
        <top style="medium">
          <color indexed="64"/>
        </top>
        <bottom style="medium">
          <color indexed="64"/>
        </bottom>
      </border>
    </dxf>
    <dxf>
      <fill>
        <patternFill patternType="solid">
          <fgColor indexed="64"/>
          <bgColor theme="0"/>
        </patternFill>
      </fill>
    </dxf>
    <dxf>
      <border outline="0">
        <bottom style="medium">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outline="0">
        <left style="double">
          <color indexed="64"/>
        </left>
        <right style="double">
          <color indexed="64"/>
        </right>
        <top/>
        <bottom/>
      </border>
    </dxf>
    <dxf>
      <numFmt numFmtId="177" formatCode="[$€-2]\ #,##0.0000000"/>
      <fill>
        <patternFill patternType="solid">
          <fgColor indexed="64"/>
          <bgColor theme="0"/>
        </patternFill>
      </fill>
      <border diagonalUp="0" diagonalDown="0">
        <left/>
        <right/>
        <top style="hair">
          <color indexed="64"/>
        </top>
        <bottom style="hair">
          <color indexed="64"/>
        </bottom>
      </border>
    </dxf>
    <dxf>
      <numFmt numFmtId="177" formatCode="[$€-2]\ #,##0.0000000"/>
      <fill>
        <patternFill patternType="solid">
          <fgColor indexed="64"/>
          <bgColor theme="0"/>
        </patternFill>
      </fill>
      <border diagonalUp="0" diagonalDown="0">
        <left style="double">
          <color indexed="64"/>
        </left>
        <right style="double">
          <color indexed="64"/>
        </right>
        <top style="hair">
          <color indexed="64"/>
        </top>
        <bottom style="hair">
          <color indexed="64"/>
        </bottom>
      </border>
    </dxf>
    <dxf>
      <numFmt numFmtId="177" formatCode="[$€-2]\ #,##0.0000000"/>
      <fill>
        <patternFill patternType="solid">
          <fgColor indexed="64"/>
          <bgColor theme="0"/>
        </patternFill>
      </fill>
      <border diagonalUp="0" diagonalDown="0">
        <left style="double">
          <color indexed="64"/>
        </left>
        <right style="double">
          <color indexed="64"/>
        </right>
        <top style="hair">
          <color indexed="64"/>
        </top>
        <bottom style="hair">
          <color indexed="64"/>
        </bottom>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double">
          <color indexed="64"/>
        </right>
        <top style="hair">
          <color indexed="64"/>
        </top>
        <bottom style="hair">
          <color indexed="64"/>
        </bottom>
      </border>
    </dxf>
    <dxf>
      <numFmt numFmtId="177" formatCode="[$€-2]\ #,##0.0000000"/>
      <fill>
        <patternFill patternType="lightUp">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double">
          <color indexed="64"/>
        </right>
        <top style="hair">
          <color indexed="64"/>
        </top>
        <bottom style="hair">
          <color indexed="64"/>
        </bottom>
        <vertical/>
      </border>
    </dxf>
    <dxf>
      <numFmt numFmtId="0" formatCode="General"/>
      <fill>
        <patternFill patternType="solid">
          <fgColor indexed="64"/>
          <bgColor theme="0"/>
        </patternFill>
      </fill>
      <border diagonalUp="0" diagonalDown="0">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style="hair">
          <color indexed="64"/>
        </bottom>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left style="double">
          <color indexed="64"/>
        </left>
        <right style="double">
          <color indexed="64"/>
        </right>
        <top style="hair">
          <color indexed="64"/>
        </top>
        <bottom/>
        <vertical/>
        <horizontal/>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style="hair">
          <color indexed="64"/>
        </bottom>
      </border>
    </dxf>
    <dxf>
      <numFmt numFmtId="177" formatCode="[$€-2]\ #,##0.0000000"/>
      <fill>
        <patternFill patternType="solid">
          <fgColor indexed="64"/>
          <bgColor theme="0"/>
        </patternFill>
      </fill>
      <border diagonalUp="0" diagonalDown="0">
        <left/>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double">
          <color indexed="64"/>
        </right>
        <top style="hair">
          <color indexed="64"/>
        </top>
        <bottom style="hair">
          <color indexed="64"/>
        </bottom>
      </border>
    </dxf>
    <dxf>
      <numFmt numFmtId="177" formatCode="[$€-2]\ #,##0.0000000"/>
      <fill>
        <patternFill patternType="solid">
          <fgColor indexed="64"/>
          <bgColor theme="0"/>
        </patternFill>
      </fill>
      <border diagonalUp="0" diagonalDown="0">
        <left style="hair">
          <color indexed="64"/>
        </left>
        <right style="hair">
          <color indexed="64"/>
        </right>
        <top style="hair">
          <color indexed="64"/>
        </top>
        <bottom style="hair">
          <color indexed="64"/>
        </bottom>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style="hair">
          <color indexed="64"/>
        </bottom>
      </border>
    </dxf>
    <dxf>
      <numFmt numFmtId="177" formatCode="[$€-2]\ #,##0.0000000"/>
      <fill>
        <patternFill patternType="solid">
          <fgColor indexed="64"/>
          <bgColor theme="0"/>
        </patternFill>
      </fill>
      <border diagonalUp="0" diagonalDown="0">
        <left/>
        <right/>
        <top style="hair">
          <color indexed="64"/>
        </top>
        <bottom/>
        <vertical/>
        <horizontal/>
      </border>
    </dxf>
    <dxf>
      <numFmt numFmtId="177" formatCode="[$€-2]\ #,##0.0000000"/>
      <fill>
        <patternFill patternType="solid">
          <fgColor indexed="64"/>
          <bgColor theme="0"/>
        </patternFill>
      </fill>
      <border diagonalUp="0" diagonalDown="0">
        <left style="hair">
          <color indexed="64"/>
        </left>
        <right style="double">
          <color indexed="64"/>
        </right>
        <top style="hair">
          <color indexed="64"/>
        </top>
        <bottom style="hair">
          <color indexed="64"/>
        </bottom>
      </border>
    </dxf>
    <dxf>
      <numFmt numFmtId="177" formatCode="[$€-2]\ #,##0.0000000"/>
      <fill>
        <patternFill patternType="solid">
          <fgColor indexed="64"/>
          <bgColor theme="0"/>
        </patternFill>
      </fill>
      <border diagonalUp="0" diagonalDown="0">
        <left style="double">
          <color indexed="64"/>
        </left>
        <right style="hair">
          <color indexed="64"/>
        </right>
        <top style="hair">
          <color indexed="64"/>
        </top>
        <bottom style="hair">
          <color indexed="64"/>
        </bottom>
      </border>
    </dxf>
    <dxf>
      <numFmt numFmtId="177" formatCode="[$€-2]\ #,##0.0000000"/>
      <fill>
        <patternFill patternType="solid">
          <fgColor indexed="64"/>
          <bgColor theme="0"/>
        </patternFill>
      </fill>
      <border diagonalUp="0" diagonalDown="0">
        <left style="double">
          <color indexed="64"/>
        </left>
        <right/>
        <top style="hair">
          <color indexed="64"/>
        </top>
        <bottom/>
        <vertical/>
        <horizontal/>
      </border>
    </dxf>
    <dxf>
      <fill>
        <patternFill patternType="solid">
          <fgColor indexed="64"/>
          <bgColor theme="0"/>
        </patternFill>
      </fill>
      <border diagonalUp="0" diagonalDown="0">
        <left style="double">
          <color indexed="64"/>
        </left>
        <right style="double">
          <color indexed="64"/>
        </right>
        <top style="hair">
          <color indexed="64"/>
        </top>
        <bottom/>
        <vertical/>
        <horizontal/>
      </border>
    </dxf>
    <dxf>
      <fill>
        <patternFill patternType="solid">
          <fgColor indexed="64"/>
          <bgColor theme="0"/>
        </patternFill>
      </fill>
      <border diagonalUp="0" diagonalDown="0">
        <left/>
        <right/>
        <top style="hair">
          <color indexed="64"/>
        </top>
        <bottom style="hair">
          <color indexed="64"/>
        </bottom>
      </border>
    </dxf>
    <dxf>
      <border outline="0">
        <left style="medium">
          <color indexed="64"/>
        </left>
        <right style="medium">
          <color indexed="64"/>
        </right>
        <top style="medium">
          <color indexed="64"/>
        </top>
        <bottom style="medium">
          <color indexed="64"/>
        </bottom>
      </border>
    </dxf>
    <dxf>
      <fill>
        <patternFill patternType="solid">
          <fgColor indexed="64"/>
          <bgColor theme="0"/>
        </patternFill>
      </fill>
    </dxf>
    <dxf>
      <border outline="0">
        <bottom style="medium">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outline="0">
        <left style="double">
          <color indexed="64"/>
        </left>
        <right style="double">
          <color indexed="64"/>
        </right>
        <top/>
        <bottom/>
      </border>
    </dxf>
    <dxf>
      <numFmt numFmtId="176" formatCode="[$€-2]\ #,##0.00"/>
      <fill>
        <patternFill patternType="solid">
          <fgColor indexed="64"/>
          <bgColor theme="0"/>
        </patternFill>
      </fill>
      <border diagonalUp="0" diagonalDown="0" outline="0">
        <left style="hair">
          <color indexed="64"/>
        </left>
        <right/>
        <top style="medium">
          <color indexed="64"/>
        </top>
        <bottom/>
      </border>
    </dxf>
    <dxf>
      <numFmt numFmtId="176" formatCode="[$€-2]\ #,##0.00"/>
      <fill>
        <patternFill>
          <fgColor indexed="64"/>
          <bgColor theme="0"/>
        </patternFill>
      </fill>
      <border diagonalUp="0" diagonalDown="0" outline="0">
        <left/>
        <right/>
        <top style="hair">
          <color indexed="64"/>
        </top>
        <bottom style="hair">
          <color indexed="64"/>
        </bottom>
      </border>
    </dxf>
    <dxf>
      <numFmt numFmtId="176" formatCode="[$€-2]\ #,##0.00"/>
      <fill>
        <patternFill patternType="solid">
          <fgColor indexed="64"/>
          <bgColor theme="0"/>
        </patternFill>
      </fill>
      <border diagonalUp="0" diagonalDown="0" outline="0">
        <left style="hair">
          <color indexed="64"/>
        </left>
        <right/>
        <top style="medium">
          <color indexed="64"/>
        </top>
        <bottom/>
      </border>
    </dxf>
    <dxf>
      <numFmt numFmtId="176" formatCode="[$€-2]\ #,##0.00"/>
      <fill>
        <patternFill patternType="solid">
          <fgColor indexed="64"/>
          <bgColor theme="0"/>
        </patternFill>
      </fill>
      <border diagonalUp="0" diagonalDown="0" outline="0">
        <left style="hair">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outline="0">
        <left style="hair">
          <color indexed="64"/>
        </left>
        <right/>
        <top style="medium">
          <color indexed="64"/>
        </top>
        <bottom/>
      </border>
    </dxf>
    <dxf>
      <numFmt numFmtId="176" formatCode="[$€-2]\ #,##0.00"/>
      <fill>
        <patternFill patternType="solid">
          <fgColor indexed="64"/>
          <bgColor theme="0"/>
        </patternFill>
      </fill>
      <border diagonalUp="0" diagonalDown="0">
        <left style="hair">
          <color indexed="64"/>
        </left>
        <right/>
        <top style="hair">
          <color indexed="64"/>
        </top>
        <bottom style="hair">
          <color indexed="64"/>
        </bottom>
        <vertical/>
        <horizontal/>
      </border>
    </dxf>
    <dxf>
      <numFmt numFmtId="176" formatCode="[$€-2]\ #,##0.00"/>
      <fill>
        <patternFill patternType="solid">
          <fgColor indexed="64"/>
          <bgColor theme="0"/>
        </patternFill>
      </fill>
      <border diagonalUp="0" diagonalDown="0" outline="0">
        <left style="hair">
          <color indexed="64"/>
        </left>
        <right/>
        <top style="medium">
          <color indexed="64"/>
        </top>
        <bottom/>
      </border>
    </dxf>
    <dxf>
      <numFmt numFmtId="176" formatCode="[$€-2]\ #,##0.00"/>
      <fill>
        <patternFill>
          <fgColor indexed="64"/>
          <bgColor theme="0"/>
        </patternFill>
      </fill>
      <border diagonalUp="0" diagonalDown="0">
        <left style="hair">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outline="0">
        <left style="hair">
          <color indexed="64"/>
        </left>
        <right style="hair">
          <color indexed="64"/>
        </right>
        <top style="medium">
          <color indexed="64"/>
        </top>
        <bottom/>
      </border>
    </dxf>
    <dxf>
      <numFmt numFmtId="176" formatCode="[$€-2]\ #,##0.00"/>
      <fill>
        <patternFill>
          <fgColor indexed="64"/>
          <bgColor theme="0"/>
        </patternFill>
      </fill>
      <border diagonalUp="0" diagonalDown="0">
        <left style="hair">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outline="0">
        <left style="hair">
          <color indexed="64"/>
        </left>
        <right style="hair">
          <color indexed="64"/>
        </right>
        <top style="medium">
          <color indexed="64"/>
        </top>
        <bottom/>
      </border>
    </dxf>
    <dxf>
      <numFmt numFmtId="176" formatCode="[$€-2]\ #,##0.00"/>
      <fill>
        <patternFill>
          <fgColor indexed="64"/>
          <bgColor theme="0"/>
        </patternFill>
      </fill>
      <border diagonalUp="0" diagonalDown="0">
        <left style="hair">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outline="0">
        <left style="double">
          <color indexed="64"/>
        </left>
        <right style="hair">
          <color indexed="64"/>
        </right>
        <top style="medium">
          <color auto="1"/>
        </top>
        <bottom/>
      </border>
    </dxf>
    <dxf>
      <numFmt numFmtId="176" formatCode="[$€-2]\ #,##0.00"/>
      <fill>
        <patternFill>
          <fgColor indexed="64"/>
          <bgColor theme="0"/>
        </patternFill>
      </fill>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border diagonalUp="0" diagonalDown="0" outline="0">
        <left style="double">
          <color indexed="64"/>
        </left>
        <right style="double">
          <color indexed="64"/>
        </right>
        <top style="medium">
          <color indexed="64"/>
        </top>
        <bottom/>
      </border>
    </dxf>
    <dxf>
      <numFmt numFmtId="176" formatCode="[$€-2]\ #,##0.00"/>
      <fill>
        <patternFill>
          <fgColor indexed="64"/>
          <bgColor theme="0"/>
        </patternFill>
      </fill>
      <border diagonalUp="0" diagonalDown="0">
        <left style="double">
          <color indexed="64"/>
        </left>
        <right style="double">
          <color indexed="64"/>
        </right>
        <top style="hair">
          <color indexed="64"/>
        </top>
        <bottom style="hair">
          <color indexed="64"/>
        </bottom>
      </border>
    </dxf>
    <dxf>
      <fill>
        <patternFill patternType="solid">
          <fgColor indexed="64"/>
          <bgColor theme="0"/>
        </patternFill>
      </fill>
      <border diagonalUp="0" diagonalDown="0" outline="0">
        <left/>
        <right/>
        <top style="medium">
          <color indexed="64"/>
        </top>
        <bottom/>
      </border>
    </dxf>
    <dxf>
      <fill>
        <patternFill>
          <fgColor indexed="64"/>
          <bgColor theme="0"/>
        </patternFill>
      </fill>
      <border diagonalUp="0" diagonalDown="0">
        <left/>
        <right/>
        <top style="hair">
          <color indexed="64"/>
        </top>
        <bottom style="hair">
          <color indexed="64"/>
        </bottom>
      </border>
    </dxf>
    <dxf>
      <border>
        <top style="medium">
          <color indexed="64"/>
        </top>
      </border>
    </dxf>
    <dxf>
      <border diagonalUp="0" diagonalDown="0">
        <left style="medium">
          <color indexed="64"/>
        </left>
        <right style="medium">
          <color indexed="64"/>
        </right>
        <top style="medium">
          <color indexed="64"/>
        </top>
        <bottom style="medium">
          <color indexed="64"/>
        </bottom>
      </border>
    </dxf>
    <dxf>
      <fill>
        <patternFill>
          <fgColor indexed="64"/>
          <bgColor theme="0"/>
        </patternFill>
      </fill>
    </dxf>
    <dxf>
      <border>
        <bottom style="medium">
          <color indexed="64"/>
        </bottom>
      </border>
    </dxf>
    <dxf>
      <fill>
        <patternFill>
          <fgColor indexed="64"/>
          <bgColor theme="0"/>
        </patternFill>
      </fill>
      <alignment horizontal="center" vertical="center" textRotation="0" indent="0" justifyLastLine="0" shrinkToFit="0" readingOrder="0"/>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double">
          <color indexed="64"/>
        </right>
        <top style="hair">
          <color indexed="64"/>
        </top>
        <bottom style="hair">
          <color indexed="64"/>
        </bottom>
        <vertical/>
        <horizontal/>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hair">
          <color indexed="64"/>
        </left>
        <right style="double">
          <color indexed="64"/>
        </right>
        <top style="medium">
          <color indexed="64"/>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hair">
          <color indexed="64"/>
        </left>
        <right style="double">
          <color indexed="64"/>
        </right>
        <top style="hair">
          <color indexed="64"/>
        </top>
        <bottom style="hair">
          <color indexed="64"/>
        </bottom>
        <vertical/>
        <horizontal/>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vertical/>
        <horizontal/>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double">
          <color indexed="64"/>
        </right>
        <top style="hair">
          <color indexed="64"/>
        </top>
        <bottom style="hair">
          <color indexed="64"/>
        </bottom>
        <vertical/>
        <horizontal/>
      </border>
    </dxf>
    <dxf>
      <numFmt numFmtId="176" formatCode="[$€-2]\ #,##0.00"/>
      <fill>
        <patternFill patternType="solid">
          <fgColor indexed="64"/>
          <bgColor theme="0"/>
        </patternFill>
      </fill>
      <alignment horizontal="right" vertical="center" textRotation="0" wrapText="0" indent="0" justifyLastLine="0" shrinkToFit="0" readingOrder="0"/>
      <border diagonalUp="0" diagonalDown="0" outline="0">
        <left style="double">
          <color indexed="64"/>
        </left>
        <right style="double">
          <color indexed="64"/>
        </right>
        <top style="medium">
          <color indexed="64"/>
        </top>
        <bottom style="medium">
          <color indexed="64"/>
        </bottom>
      </border>
    </dxf>
    <dxf>
      <numFmt numFmtId="176" formatCode="[$€-2]\ #,##0.00"/>
      <fill>
        <patternFill patternType="solid">
          <fgColor indexed="64"/>
          <bgColor rgb="FFFFFF99"/>
        </patternFill>
      </fill>
      <alignment horizontal="right" vertical="center" textRotation="0" wrapText="0" indent="0" justifyLastLine="0" shrinkToFit="0" readingOrder="0"/>
      <border diagonalUp="0" diagonalDown="0">
        <left style="double">
          <color indexed="64"/>
        </left>
        <right style="double">
          <color indexed="64"/>
        </right>
        <top style="hair">
          <color indexed="64"/>
        </top>
        <bottom style="hair">
          <color indexed="64"/>
        </bottom>
      </border>
      <protection locked="0" hidden="0"/>
    </dxf>
    <dxf>
      <fill>
        <patternFill patternType="solid">
          <fgColor indexed="64"/>
          <bgColor theme="0"/>
        </patternFill>
      </fill>
      <alignment horizontal="left" vertical="center" textRotation="0" wrapText="0" indent="0" justifyLastLine="0" shrinkToFit="0" readingOrder="0"/>
      <border diagonalUp="0" diagonalDown="0" outline="0">
        <left style="hair">
          <color indexed="64"/>
        </left>
        <right style="hair">
          <color indexed="64"/>
        </right>
        <top style="medium">
          <color indexed="64"/>
        </top>
        <bottom style="medium">
          <color indexed="64"/>
        </bottom>
      </border>
    </dxf>
    <dxf>
      <fill>
        <patternFill patternType="solid">
          <fgColor indexed="64"/>
          <bgColor rgb="FFFFFF99"/>
        </patternFill>
      </fill>
      <alignment horizontal="left" vertical="center" textRotation="0" wrapText="0" indent="0" justifyLastLine="0" shrinkToFit="0" readingOrder="0"/>
      <border diagonalUp="0" diagonalDown="0">
        <left/>
        <right/>
        <top style="hair">
          <color indexed="64"/>
        </top>
        <bottom style="hair">
          <color indexed="64"/>
        </bottom>
        <vertical/>
        <horizontal/>
      </border>
    </dxf>
    <dxf>
      <fill>
        <patternFill patternType="solid">
          <fgColor indexed="64"/>
          <bgColor theme="0"/>
        </patternFill>
      </fill>
      <alignment horizontal="left" vertical="center" textRotation="0" wrapText="0" indent="0" justifyLastLine="0" shrinkToFit="0" readingOrder="0"/>
      <border diagonalUp="0" diagonalDown="0" outline="0">
        <left style="hair">
          <color indexed="64"/>
        </left>
        <right style="hair">
          <color indexed="64"/>
        </right>
        <top style="medium">
          <color indexed="64"/>
        </top>
        <bottom style="medium">
          <color indexed="64"/>
        </bottom>
      </border>
    </dxf>
    <dxf>
      <fill>
        <patternFill patternType="solid">
          <fgColor indexed="64"/>
          <bgColor rgb="FFFFFF99"/>
        </patternFill>
      </fill>
      <alignment horizontal="left" vertical="center" textRotation="0" wrapText="0" indent="0" justifyLastLine="0" shrinkToFit="0" readingOrder="0"/>
      <border diagonalUp="0" diagonalDown="0">
        <left style="hair">
          <color auto="1"/>
        </left>
        <right style="hair">
          <color auto="1"/>
        </right>
        <top style="hair">
          <color indexed="64"/>
        </top>
        <bottom style="hair">
          <color indexed="64"/>
        </bottom>
        <vertical style="hair">
          <color auto="1"/>
        </vertical>
        <horizontal/>
      </border>
    </dxf>
    <dxf>
      <fill>
        <patternFill patternType="solid">
          <fgColor indexed="64"/>
          <bgColor theme="0"/>
        </patternFill>
      </fill>
      <alignment horizontal="left" vertical="center" textRotation="0" wrapText="0" indent="0" justifyLastLine="0" shrinkToFit="0" readingOrder="0"/>
      <border diagonalUp="0" diagonalDown="0" outline="0">
        <left style="double">
          <color indexed="64"/>
        </left>
        <right style="hair">
          <color indexed="64"/>
        </right>
        <top style="medium">
          <color auto="1"/>
        </top>
        <bottom style="medium">
          <color indexed="64"/>
        </bottom>
      </border>
    </dxf>
    <dxf>
      <fill>
        <patternFill patternType="solid">
          <fgColor indexed="64"/>
          <bgColor rgb="FFFFFF99"/>
        </patternFill>
      </fill>
      <alignment horizontal="left" vertical="center" textRotation="0" wrapText="0" indent="0" justifyLastLine="0" shrinkToFit="0" readingOrder="0"/>
      <border diagonalUp="0" diagonalDown="0">
        <left style="double">
          <color auto="1"/>
        </left>
        <right style="hair">
          <color auto="1"/>
        </right>
        <top style="hair">
          <color indexed="64"/>
        </top>
        <bottom style="hair">
          <color indexed="64"/>
        </bottom>
        <vertical style="hair">
          <color auto="1"/>
        </vertical>
        <horizontal/>
      </border>
    </dxf>
    <dxf>
      <font>
        <b/>
        <i val="0"/>
        <strike val="0"/>
        <condense val="0"/>
        <extend val="0"/>
        <outline val="0"/>
        <shadow val="0"/>
        <u val="none"/>
        <vertAlign val="baseline"/>
        <sz val="11"/>
        <color theme="1"/>
        <name val="Calibri"/>
        <family val="2"/>
        <scheme val="minor"/>
      </font>
      <fill>
        <patternFill patternType="solid">
          <fgColor indexed="64"/>
          <bgColor theme="0"/>
        </patternFill>
      </fill>
      <alignment horizontal="left" vertical="center" textRotation="0" wrapText="0" indent="0" justifyLastLine="0" shrinkToFit="0" readingOrder="0"/>
      <border diagonalUp="0" diagonalDown="0" outline="0">
        <left/>
        <right style="double">
          <color indexed="64"/>
        </right>
        <top style="medium">
          <color indexed="64"/>
        </top>
        <bottom style="medium">
          <color indexed="64"/>
        </bottom>
      </border>
    </dxf>
    <dxf>
      <fill>
        <patternFill>
          <fgColor indexed="64"/>
          <bgColor theme="0"/>
        </patternFill>
      </fill>
      <alignment horizontal="left" vertical="center" textRotation="0" wrapText="1" indent="0" justifyLastLine="0" shrinkToFit="0" readingOrder="0"/>
      <border diagonalUp="0" diagonalDown="0">
        <left/>
        <right style="double">
          <color indexed="64"/>
        </right>
        <top style="hair">
          <color indexed="64"/>
        </top>
        <bottom style="hair">
          <color indexed="64"/>
        </bottom>
      </border>
    </dxf>
    <dxf>
      <fill>
        <patternFill patternType="solid">
          <fgColor indexed="64"/>
          <bgColor theme="0"/>
        </patternFill>
      </fill>
      <alignment horizontal="left" vertical="center" textRotation="0" wrapText="0" indent="0" justifyLastLine="0" shrinkToFit="0" readingOrder="0"/>
      <border diagonalUp="0" diagonalDown="0" outline="0">
        <left/>
        <right/>
        <top style="medium">
          <color auto="1"/>
        </top>
        <bottom style="medium">
          <color indexed="64"/>
        </bottom>
      </border>
    </dxf>
    <dxf>
      <fill>
        <patternFill>
          <fgColor indexed="64"/>
          <bgColor theme="0"/>
        </patternFill>
      </fill>
      <alignment horizontal="left" vertical="center" textRotation="0" wrapText="0" indent="0" justifyLastLine="0" shrinkToFit="0" readingOrder="0"/>
      <border diagonalUp="0" diagonalDown="0">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medium">
          <color auto="1"/>
        </top>
        <bottom style="medium">
          <color indexed="64"/>
        </bottom>
      </border>
    </dxf>
    <dxf>
      <fill>
        <patternFill>
          <fgColor indexed="64"/>
          <bgColor theme="0"/>
        </patternFill>
      </fill>
      <alignment horizontal="left" vertical="center" textRotation="0" wrapText="0" indent="0" justifyLastLine="0" shrinkToFit="0" readingOrder="0"/>
      <border diagonalUp="0" diagonalDown="0">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medium">
          <color auto="1"/>
        </top>
        <bottom style="medium">
          <color indexed="64"/>
        </bottom>
      </border>
    </dxf>
    <dxf>
      <fill>
        <patternFill>
          <fgColor indexed="64"/>
          <bgColor theme="0"/>
        </patternFill>
      </fill>
      <alignment horizontal="left" vertical="center" textRotation="0" wrapText="0" indent="0" justifyLastLine="0" shrinkToFit="0" readingOrder="0"/>
      <border diagonalUp="0" diagonalDown="0">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medium">
          <color auto="1"/>
        </top>
        <bottom style="medium">
          <color indexed="64"/>
        </bottom>
      </border>
    </dxf>
    <dxf>
      <fill>
        <patternFill>
          <fgColor indexed="64"/>
          <bgColor theme="0"/>
        </patternFill>
      </fill>
      <alignment horizontal="left" vertical="center" textRotation="0" wrapText="0" indent="0" justifyLastLine="0" shrinkToFit="0" readingOrder="0"/>
      <border diagonalUp="0" diagonalDown="0">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style="medium">
          <color auto="1"/>
        </top>
        <bottom style="medium">
          <color indexed="64"/>
        </bottom>
      </border>
    </dxf>
    <dxf>
      <fill>
        <patternFill>
          <fgColor indexed="64"/>
          <bgColor theme="0"/>
        </patternFill>
      </fill>
      <alignment horizontal="left" vertical="center" textRotation="0" wrapText="0" indent="0" justifyLastLine="0" shrinkToFit="0" readingOrder="0"/>
      <border diagonalUp="0" diagonalDown="0">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outline="0">
        <left style="medium">
          <color auto="1"/>
        </left>
        <right/>
        <top style="medium">
          <color auto="1"/>
        </top>
        <bottom style="medium">
          <color auto="1"/>
        </bottom>
      </border>
    </dxf>
    <dxf>
      <fill>
        <patternFill>
          <fgColor indexed="64"/>
          <bgColor theme="0"/>
        </patternFill>
      </fill>
      <alignment horizontal="left" vertical="center" textRotation="0" wrapText="0" indent="0" justifyLastLine="0" shrinkToFit="0" readingOrder="0"/>
      <border diagonalUp="0" diagonalDown="0">
        <left style="medium">
          <color indexed="64"/>
        </left>
        <right/>
        <top style="hair">
          <color indexed="64"/>
        </top>
        <bottom style="hair">
          <color indexed="64"/>
        </bottom>
      </border>
    </dxf>
    <dxf>
      <border>
        <top style="medium">
          <color indexed="64"/>
        </top>
      </border>
    </dxf>
    <dxf>
      <fill>
        <patternFill>
          <fgColor indexed="64"/>
          <bgColor theme="0"/>
        </patternFill>
      </fill>
      <alignment horizontal="center" vertical="center" textRotation="0" indent="0" justifyLastLine="0" shrinkToFit="0" readingOrder="0"/>
    </dxf>
    <dxf>
      <border diagonalUp="0" diagonalDown="0">
        <left style="medium">
          <color indexed="64"/>
        </left>
        <right style="medium">
          <color indexed="64"/>
        </right>
        <top style="medium">
          <color indexed="64"/>
        </top>
        <bottom style="medium">
          <color indexed="64"/>
        </bottom>
      </border>
    </dxf>
    <dxf>
      <fill>
        <patternFill>
          <fgColor indexed="64"/>
          <bgColor theme="0"/>
        </patternFill>
      </fill>
      <alignment horizontal="center" vertical="center" textRotation="0" indent="0" justifyLastLine="0" shrinkToFit="0" readingOrder="0"/>
    </dxf>
    <dxf>
      <border>
        <bottom style="medium">
          <color indexed="64"/>
        </bottom>
      </border>
    </dxf>
    <dxf>
      <font>
        <strike val="0"/>
        <outline val="0"/>
        <shadow val="0"/>
        <u val="none"/>
        <vertAlign val="baseline"/>
        <color auto="1"/>
        <name val="Calibri"/>
        <family val="2"/>
        <scheme val="none"/>
      </font>
      <fill>
        <patternFill>
          <fgColor indexed="64"/>
          <bgColor theme="0"/>
        </patternFill>
      </fill>
      <alignment horizontal="center" vertical="center" textRotation="0" indent="0" justifyLastLine="0" shrinkToFit="0" readingOrder="0"/>
      <border diagonalUp="0" diagonalDown="0">
        <left/>
        <right/>
        <top/>
        <bottom/>
      </border>
    </dxf>
    <dxf>
      <font>
        <color auto="1"/>
      </font>
      <fill>
        <patternFill>
          <bgColor rgb="FFFFFF99"/>
        </patternFill>
      </fill>
    </dxf>
    <dxf>
      <fill>
        <patternFill>
          <bgColor rgb="FFFFFF99"/>
        </patternFill>
      </fill>
    </dxf>
    <dxf>
      <fill>
        <patternFill patternType="lightUp"/>
      </fill>
    </dxf>
    <dxf>
      <numFmt numFmtId="4" formatCode="#,##0.00"/>
      <fill>
        <patternFill>
          <fgColor indexed="64"/>
          <bgColor rgb="FFFFFF99"/>
        </patternFill>
      </fill>
      <border diagonalUp="0" diagonalDown="0">
        <right/>
        <top style="hair">
          <color indexed="64"/>
        </top>
        <bottom style="hair">
          <color indexed="64"/>
        </bottom>
      </border>
      <protection locked="0" hidden="0"/>
    </dxf>
    <dxf>
      <numFmt numFmtId="4" formatCode="#,##0.00"/>
      <fill>
        <patternFill>
          <fgColor indexed="64"/>
          <bgColor rgb="FFFFFF99"/>
        </patternFill>
      </fill>
      <border diagonalUp="0" diagonalDown="0">
        <left style="double">
          <color indexed="64"/>
        </left>
        <right style="double">
          <color indexed="64"/>
        </right>
        <top style="hair">
          <color indexed="64"/>
        </top>
        <bottom style="hair">
          <color indexed="64"/>
        </bottom>
      </border>
      <protection locked="0" hidden="0"/>
    </dxf>
    <dxf>
      <numFmt numFmtId="4" formatCode="#,##0.00"/>
      <fill>
        <patternFill>
          <fgColor indexed="64"/>
          <bgColor rgb="FFFFFF99"/>
        </patternFill>
      </fill>
      <border diagonalUp="0" diagonalDown="0">
        <left style="double">
          <color indexed="64"/>
        </left>
        <right style="double">
          <color indexed="64"/>
        </right>
        <top style="hair">
          <color indexed="64"/>
        </top>
        <bottom style="hair">
          <color indexed="64"/>
        </bottom>
      </border>
      <protection locked="0" hidden="0"/>
    </dxf>
    <dxf>
      <numFmt numFmtId="4" formatCode="#,##0.00"/>
      <fill>
        <patternFill patternType="lightUp">
          <fgColor indexed="64"/>
          <bgColor rgb="FFFFFF99"/>
        </patternFill>
      </fill>
      <border diagonalUp="0" diagonalDown="0">
        <left style="double">
          <color indexed="64"/>
        </left>
        <right style="double">
          <color indexed="64"/>
        </right>
        <top style="hair">
          <color indexed="64"/>
        </top>
        <bottom style="hair">
          <color indexed="64"/>
        </bottom>
        <vertical/>
        <horizontal/>
      </border>
      <protection locked="0" hidden="0"/>
    </dxf>
    <dxf>
      <numFmt numFmtId="4" formatCode="#,##0.00"/>
      <fill>
        <patternFill>
          <fgColor indexed="64"/>
          <bgColor rgb="FFFFFF99"/>
        </patternFill>
      </fill>
      <border diagonalUp="0" diagonalDown="0">
        <left style="double">
          <color indexed="64"/>
        </left>
        <right style="double">
          <color indexed="64"/>
        </right>
        <top style="hair">
          <color indexed="64"/>
        </top>
        <bottom style="hair">
          <color indexed="64"/>
        </bottom>
      </border>
      <protection locked="0" hidden="0"/>
    </dxf>
    <dxf>
      <numFmt numFmtId="4" formatCode="#,##0.00"/>
      <fill>
        <patternFill patternType="lightUp">
          <fgColor indexed="64"/>
          <bgColor theme="0"/>
        </patternFill>
      </fill>
      <border diagonalUp="0" diagonalDown="0">
        <left style="double">
          <color indexed="64"/>
        </left>
        <right/>
        <top style="hair">
          <color indexed="64"/>
        </top>
        <bottom style="hair">
          <color indexed="64"/>
        </bottom>
        <vertical style="double">
          <color indexed="64"/>
        </vertical>
      </border>
      <protection locked="1" hidden="0"/>
    </dxf>
    <dxf>
      <numFmt numFmtId="4" formatCode="#,##0.00"/>
      <fill>
        <patternFill>
          <fgColor indexed="64"/>
          <bgColor rgb="FFFFFF99"/>
        </patternFill>
      </fill>
      <border diagonalUp="0" diagonalDown="0">
        <left style="hair">
          <color indexed="64"/>
        </left>
        <right style="double">
          <color indexed="64"/>
        </right>
        <top style="hair">
          <color indexed="64"/>
        </top>
        <bottom style="hair">
          <color indexed="64"/>
        </bottom>
        <vertical style="double">
          <color indexed="64"/>
        </vertical>
      </border>
      <protection locked="1" hidden="0"/>
    </dxf>
    <dxf>
      <numFmt numFmtId="4" formatCode="#,##0.00"/>
      <fill>
        <patternFill patternType="lightUp">
          <fgColor indexed="64"/>
          <bgColor rgb="FFFFFF99"/>
        </patternFill>
      </fill>
      <border diagonalUp="0" diagonalDown="0" outline="0">
        <left style="hair">
          <color indexed="64"/>
        </left>
        <right style="hair">
          <color indexed="64"/>
        </right>
        <top style="hair">
          <color indexed="64"/>
        </top>
        <bottom style="hair">
          <color indexed="64"/>
        </bottom>
      </border>
      <protection locked="1"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protection locked="1" hidden="0"/>
    </dxf>
    <dxf>
      <numFmt numFmtId="4" formatCode="#,##0.00"/>
      <fill>
        <patternFill patternType="lightUp">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horizontal/>
      </border>
      <protection locked="1"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horizontal style="hair">
          <color indexed="64"/>
        </horizontal>
      </border>
      <protection locked="1" hidden="0"/>
    </dxf>
    <dxf>
      <numFmt numFmtId="4" formatCode="#,##0.00"/>
      <fill>
        <patternFill patternType="solid">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protection locked="1"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border>
      <protection locked="0" hidden="0"/>
    </dxf>
    <dxf>
      <numFmt numFmtId="4" formatCode="#,##0.00"/>
      <fill>
        <patternFill patternType="solid">
          <fgColor indexed="64"/>
          <bgColor theme="0"/>
        </patternFill>
      </fill>
      <border diagonalUp="0" diagonalDown="0">
        <left style="double">
          <color indexed="64"/>
        </left>
        <right style="hair">
          <color indexed="64"/>
        </right>
        <top style="hair">
          <color indexed="64"/>
        </top>
        <bottom style="hair">
          <color indexed="64"/>
        </bottom>
        <vertical style="hair">
          <color indexed="64"/>
        </vertical>
      </border>
      <protection locked="1" hidden="0"/>
    </dxf>
    <dxf>
      <numFmt numFmtId="4" formatCode="#,##0.00"/>
      <fill>
        <patternFill>
          <fgColor indexed="64"/>
          <bgColor rgb="FFFFFF99"/>
        </patternFill>
      </fill>
      <border diagonalUp="0" diagonalDown="0">
        <left style="hair">
          <color indexed="64"/>
        </left>
        <right style="double">
          <color indexed="64"/>
        </right>
        <top style="hair">
          <color indexed="64"/>
        </top>
        <bottom style="hair">
          <color indexed="64"/>
        </bottom>
      </border>
      <protection locked="0"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border>
      <protection locked="0"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border>
      <protection locked="0" hidden="0"/>
    </dxf>
    <dxf>
      <numFmt numFmtId="4" formatCode="#,##0.00"/>
      <fill>
        <patternFill patternType="lightUp">
          <fgColor indexed="64"/>
          <bgColor theme="0"/>
        </patternFill>
      </fill>
      <border diagonalUp="0" diagonalDown="0">
        <left style="double">
          <color indexed="64"/>
        </left>
        <right style="hair">
          <color indexed="64"/>
        </right>
        <top style="hair">
          <color indexed="64"/>
        </top>
        <bottom style="hair">
          <color indexed="64"/>
        </bottom>
      </border>
      <protection locked="1" hidden="0"/>
    </dxf>
    <dxf>
      <numFmt numFmtId="4" formatCode="#,##0.00"/>
      <fill>
        <patternFill>
          <fgColor indexed="64"/>
          <bgColor rgb="FFFFFF99"/>
        </patternFill>
      </fill>
      <border diagonalUp="0" diagonalDown="0">
        <left style="hair">
          <color indexed="64"/>
        </left>
        <right style="double">
          <color indexed="64"/>
        </right>
        <top style="hair">
          <color indexed="64"/>
        </top>
        <bottom style="hair">
          <color indexed="64"/>
        </bottom>
      </border>
      <protection locked="0" hidden="0"/>
    </dxf>
    <dxf>
      <numFmt numFmtId="4" formatCode="#,##0.00"/>
      <fill>
        <patternFill>
          <fgColor indexed="64"/>
          <bgColor rgb="FFFFFF99"/>
        </patternFill>
      </fill>
      <border diagonalUp="0" diagonalDown="0">
        <left style="hair">
          <color indexed="64"/>
        </left>
        <right style="hair">
          <color indexed="64"/>
        </right>
        <top style="hair">
          <color indexed="64"/>
        </top>
        <bottom style="hair">
          <color indexed="64"/>
        </bottom>
        <vertical style="hair">
          <color indexed="64"/>
        </vertical>
      </border>
      <protection locked="0" hidden="0"/>
    </dxf>
    <dxf>
      <numFmt numFmtId="4" formatCode="#,##0.00"/>
      <fill>
        <patternFill patternType="solid">
          <fgColor indexed="64"/>
          <bgColor theme="0"/>
        </patternFill>
      </fill>
      <border diagonalUp="0" diagonalDown="0">
        <left style="double">
          <color indexed="64"/>
        </left>
        <right style="hair">
          <color indexed="64"/>
        </right>
        <top style="hair">
          <color indexed="64"/>
        </top>
        <bottom style="hair">
          <color indexed="64"/>
        </bottom>
        <vertical style="hair">
          <color indexed="64"/>
        </vertical>
        <horizontal/>
      </border>
      <protection locked="1" hidden="0"/>
    </dxf>
    <dxf>
      <numFmt numFmtId="4" formatCode="#,##0.00"/>
      <fill>
        <patternFill patternType="solid">
          <fgColor indexed="64"/>
          <bgColor theme="0"/>
        </patternFill>
      </fill>
      <border diagonalUp="0" diagonalDown="0">
        <left style="double">
          <color indexed="64"/>
        </left>
        <right/>
        <top style="hair">
          <color indexed="64"/>
        </top>
        <bottom style="hair">
          <color indexed="64"/>
        </bottom>
        <vertical/>
        <horizontal/>
      </border>
      <protection locked="1" hidden="0"/>
    </dxf>
    <dxf>
      <numFmt numFmtId="4" formatCode="#,##0.00"/>
      <fill>
        <patternFill>
          <fgColor indexed="64"/>
          <bgColor theme="0"/>
        </patternFill>
      </fill>
      <border diagonalUp="0" diagonalDown="0">
        <left/>
        <right style="double">
          <color indexed="64"/>
        </right>
        <top style="hair">
          <color indexed="64"/>
        </top>
        <bottom style="hair">
          <color indexed="64"/>
        </bottom>
      </border>
      <protection locked="1" hidden="0"/>
    </dxf>
    <dxf>
      <font>
        <strike val="0"/>
        <outline val="0"/>
        <shadow val="0"/>
        <u val="none"/>
        <vertAlign val="baseline"/>
        <sz val="11"/>
        <color theme="0"/>
        <name val="Calibri"/>
        <family val="2"/>
        <scheme val="minor"/>
      </font>
      <fill>
        <patternFill patternType="solid">
          <fgColor indexed="64"/>
          <bgColor theme="0"/>
        </patternFill>
      </fill>
      <border diagonalUp="0" diagonalDown="0">
        <left/>
        <right/>
        <top style="hair">
          <color indexed="64"/>
        </top>
        <bottom style="hair">
          <color indexed="64"/>
        </bottom>
      </border>
      <protection locked="1" hidden="0"/>
    </dxf>
    <dxf>
      <fill>
        <patternFill>
          <fgColor indexed="64"/>
          <bgColor theme="0"/>
        </patternFill>
      </fill>
      <border diagonalUp="0" diagonalDown="0">
        <left/>
        <right/>
        <top style="hair">
          <color indexed="64"/>
        </top>
        <bottom style="hair">
          <color indexed="64"/>
        </bottom>
      </border>
      <protection locked="1" hidden="0"/>
    </dxf>
    <dxf>
      <border diagonalUp="0" diagonalDown="0">
        <left style="medium">
          <color indexed="64"/>
        </left>
        <right style="medium">
          <color indexed="64"/>
        </right>
        <top style="medium">
          <color indexed="64"/>
        </top>
        <bottom style="medium">
          <color indexed="64"/>
        </bottom>
      </border>
    </dxf>
    <dxf>
      <fill>
        <patternFill>
          <fgColor indexed="64"/>
          <bgColor theme="0"/>
        </patternFill>
      </fill>
      <protection locked="1" hidden="0"/>
    </dxf>
    <dxf>
      <border>
        <bottom style="medium">
          <color indexed="64"/>
        </bottom>
      </border>
    </dxf>
    <dxf>
      <fill>
        <patternFill>
          <fgColor indexed="64"/>
          <bgColor theme="0"/>
        </patternFill>
      </fill>
      <alignment horizontal="center" vertical="center" textRotation="0" indent="0" justifyLastLine="0" shrinkToFit="0" readingOrder="0"/>
      <border diagonalUp="0" diagonalDown="0">
        <left/>
        <right/>
        <top/>
        <bottom/>
      </border>
      <protection locked="1" hidden="0"/>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hair">
          <color indexed="64"/>
        </left>
        <right style="hair">
          <color indexed="64"/>
        </right>
        <top style="hair">
          <color indexed="64"/>
        </top>
        <bottom style="hair">
          <color indexed="64"/>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4" formatCode="#,##0.00"/>
      <fill>
        <patternFill patternType="solid">
          <fgColor indexed="64"/>
          <bgColor theme="0"/>
        </patternFill>
      </fill>
      <alignment horizontal="right" vertical="center" textRotation="0" wrapText="0" indent="0" justifyLastLine="0" shrinkToFit="0" readingOrder="0"/>
      <border diagonalUp="0" diagonalDown="0">
        <left style="hair">
          <color indexed="64"/>
        </left>
        <right style="hair">
          <color indexed="64"/>
        </right>
        <top style="hair">
          <color indexed="64"/>
        </top>
        <bottom style="hair">
          <color indexed="64"/>
        </bottom>
      </border>
    </dxf>
    <dxf>
      <numFmt numFmtId="4" formatCode="#,##0.00"/>
      <fill>
        <patternFill patternType="solid">
          <fgColor indexed="64"/>
          <bgColor theme="0"/>
        </patternFill>
      </fill>
      <alignment horizontal="right"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4" formatCode="#,##0.00"/>
      <fill>
        <patternFill patternType="solid">
          <fgColor indexed="64"/>
          <bgColor theme="0"/>
        </patternFill>
      </fill>
      <alignment horizontal="center" vertical="center" textRotation="0" wrapText="0" indent="0" justifyLastLine="0" shrinkToFit="0" readingOrder="0"/>
      <border diagonalUp="0" diagonalDown="0">
        <left style="hair">
          <color indexed="64"/>
        </left>
        <right style="hair">
          <color indexed="64"/>
        </right>
        <top style="hair">
          <color indexed="64"/>
        </top>
        <bottom style="hair">
          <color indexed="64"/>
        </bottom>
      </border>
    </dxf>
    <dxf>
      <numFmt numFmtId="4" formatCode="#,##0.00"/>
      <fill>
        <patternFill patternType="solid">
          <fgColor indexed="64"/>
          <bgColor theme="0"/>
        </patternFill>
      </fill>
      <alignment horizontal="center" vertical="center" textRotation="0" wrapText="0" indent="0" justifyLastLine="0" shrinkToFit="0" readingOrder="0"/>
      <border diagonalUp="0" diagonalDown="0">
        <left style="double">
          <color indexed="64"/>
        </left>
        <right style="hair">
          <color indexed="64"/>
        </right>
        <top style="hair">
          <color indexed="64"/>
        </top>
        <bottom style="hair">
          <color indexed="64"/>
        </bottom>
      </border>
    </dxf>
    <dxf>
      <numFmt numFmtId="4" formatCode="#,##0.00"/>
      <fill>
        <patternFill patternType="solid">
          <fgColor indexed="64"/>
          <bgColor theme="0"/>
        </patternFill>
      </fill>
      <alignment horizontal="center" vertical="center" textRotation="0" wrapText="0" indent="0" justifyLastLine="0" shrinkToFit="0" readingOrder="0"/>
      <border diagonalUp="0" diagonalDown="0">
        <left style="hair">
          <color indexed="64"/>
        </left>
        <right style="double">
          <color indexed="64"/>
        </right>
        <top style="hair">
          <color indexed="64"/>
        </top>
        <bottom style="hair">
          <color indexed="64"/>
        </bottom>
      </border>
    </dxf>
    <dxf>
      <fill>
        <patternFill patternType="solid">
          <fgColor indexed="64"/>
          <bgColor theme="0"/>
        </patternFill>
      </fill>
      <alignment horizontal="left" vertical="center" textRotation="0" wrapText="0" indent="0" justifyLastLine="0" shrinkToFit="0" readingOrder="0"/>
      <border diagonalUp="0" diagonalDown="0">
        <left style="medium">
          <color indexed="64"/>
        </left>
        <right style="hair">
          <color indexed="64"/>
        </right>
        <top style="hair">
          <color indexed="64"/>
        </top>
        <bottom style="hair">
          <color indexed="64"/>
        </bottom>
        <vertical style="hair">
          <color indexed="64"/>
        </vertical>
        <horizontal style="hair">
          <color indexed="64"/>
        </horizontal>
      </border>
    </dxf>
    <dxf>
      <fill>
        <patternFill patternType="solid">
          <fgColor indexed="64"/>
          <bgColor theme="0"/>
        </patternFill>
      </fill>
      <alignment horizontal="left" vertical="center" textRotation="0" wrapText="0" indent="0" justifyLastLine="0" shrinkToFit="0" readingOrder="0"/>
    </dxf>
    <dxf>
      <border>
        <bottom style="medium">
          <color indexed="64"/>
        </bottom>
      </border>
    </dxf>
    <dxf>
      <fill>
        <patternFill patternType="solid">
          <fgColor indexed="64"/>
          <bgColor theme="0"/>
        </patternFill>
      </fill>
      <alignment horizontal="center" vertical="center" textRotation="0" wrapText="1" indent="0" justifyLastLine="0" shrinkToFit="0" readingOrder="0"/>
      <border diagonalUp="0" diagonalDown="0">
        <left/>
        <right/>
        <top/>
        <bottom/>
        <vertical/>
        <horizontal/>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hair">
          <color auto="1"/>
        </left>
        <right style="double">
          <color indexed="64"/>
        </right>
        <top style="hair">
          <color indexed="64"/>
        </top>
        <bottom style="hair">
          <color indexed="64"/>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hair">
          <color auto="1"/>
        </left>
        <right style="hair">
          <color auto="1"/>
        </right>
        <top style="hair">
          <color indexed="64"/>
        </top>
        <bottom style="hair">
          <color indexed="64"/>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hair">
          <color auto="1"/>
        </left>
        <right style="hair">
          <color auto="1"/>
        </right>
        <top style="hair">
          <color indexed="64"/>
        </top>
        <bottom style="hair">
          <color indexed="64"/>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double">
          <color auto="1"/>
        </left>
        <right style="hair">
          <color auto="1"/>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hair">
          <color auto="1"/>
        </left>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hair">
          <color auto="1"/>
        </left>
        <right style="hair">
          <color auto="1"/>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hair">
          <color auto="1"/>
        </left>
        <right style="hair">
          <color auto="1"/>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double">
          <color auto="1"/>
        </left>
        <right style="hair">
          <color auto="1"/>
        </right>
        <top style="hair">
          <color indexed="64"/>
        </top>
        <bottom style="hair">
          <color indexed="64"/>
        </bottom>
      </border>
    </dxf>
    <dxf>
      <fill>
        <patternFill patternType="solid">
          <fgColor indexed="64"/>
          <bgColor theme="0"/>
        </patternFill>
      </fill>
      <alignment horizontal="left" vertical="center" textRotation="0" wrapText="0" indent="0" justifyLastLine="0" shrinkToFit="0" readingOrder="0"/>
      <border diagonalUp="0" diagonalDown="0">
        <left style="hair">
          <color auto="1"/>
        </left>
        <right/>
        <top style="hair">
          <color indexed="64"/>
        </top>
        <bottom style="hair">
          <color indexed="64"/>
        </bottom>
        <vertical style="hair">
          <color auto="1"/>
        </vertical>
        <horizontal style="hair">
          <color indexed="64"/>
        </horizontal>
      </border>
    </dxf>
    <dxf>
      <fill>
        <patternFill patternType="solid">
          <fgColor indexed="64"/>
          <bgColor theme="0"/>
        </patternFill>
      </fill>
      <alignment horizontal="left" vertical="center" textRotation="0" wrapText="0" indent="0" justifyLastLine="0" shrinkToFit="0" readingOrder="0"/>
      <border diagonalUp="0" diagonalDown="0">
        <left style="hair">
          <color auto="1"/>
        </left>
        <right style="hair">
          <color auto="1"/>
        </right>
        <top style="hair">
          <color indexed="64"/>
        </top>
        <bottom style="hair">
          <color indexed="64"/>
        </bottom>
        <vertical style="hair">
          <color auto="1"/>
        </vertical>
        <horizontal style="hair">
          <color indexed="64"/>
        </horizontal>
      </border>
    </dxf>
    <dxf>
      <fill>
        <patternFill patternType="solid">
          <fgColor indexed="64"/>
          <bgColor theme="0"/>
        </patternFill>
      </fill>
      <alignment horizontal="left" vertical="center" textRotation="0" wrapText="0" indent="0" justifyLastLine="0" shrinkToFit="0" readingOrder="0"/>
      <border diagonalUp="0" diagonalDown="0">
        <left style="hair">
          <color auto="1"/>
        </left>
        <right style="hair">
          <color auto="1"/>
        </right>
        <top style="hair">
          <color indexed="64"/>
        </top>
        <bottom style="hair">
          <color indexed="64"/>
        </bottom>
        <vertical style="hair">
          <color auto="1"/>
        </vertical>
        <horizontal style="hair">
          <color indexed="64"/>
        </horizontal>
      </border>
    </dxf>
    <dxf>
      <fill>
        <patternFill patternType="solid">
          <fgColor indexed="64"/>
          <bgColor theme="0"/>
        </patternFill>
      </fill>
      <alignment horizontal="left" vertical="center" textRotation="0" wrapText="0" indent="0" justifyLastLine="0" shrinkToFit="0" readingOrder="0"/>
      <border diagonalUp="0" diagonalDown="0">
        <left style="double">
          <color indexed="64"/>
        </left>
        <right style="hair">
          <color auto="1"/>
        </right>
        <top style="hair">
          <color indexed="64"/>
        </top>
        <bottom style="hair">
          <color indexed="64"/>
        </bottom>
      </border>
    </dxf>
    <dxf>
      <alignment horizontal="center" vertical="center" textRotation="0" wrapText="0" indent="0" justifyLastLine="0" shrinkToFit="0" readingOrder="0"/>
      <border diagonalUp="0" diagonalDown="0">
        <left style="hair">
          <color indexed="64"/>
        </left>
        <right style="double">
          <color indexed="64"/>
        </right>
      </border>
    </dxf>
    <dxf>
      <fill>
        <patternFill patternType="solid">
          <fgColor indexed="64"/>
          <bgColor theme="0"/>
        </patternFill>
      </fill>
      <alignment horizontal="left" vertical="center" textRotation="0" wrapText="0" indent="0" justifyLastLine="0" shrinkToFit="0" readingOrder="0"/>
      <border diagonalUp="0" diagonalDown="0">
        <left style="medium">
          <color indexed="64"/>
        </left>
        <right style="hair">
          <color indexed="64"/>
        </right>
        <top style="hair">
          <color indexed="64"/>
        </top>
        <bottom style="hair">
          <color indexed="64"/>
        </bottom>
      </border>
    </dxf>
    <dxf>
      <fill>
        <patternFill patternType="solid">
          <fgColor indexed="64"/>
          <bgColor theme="0"/>
        </patternFill>
      </fill>
      <alignment horizontal="left" vertical="center" textRotation="0" wrapText="0" indent="0" justifyLastLine="0" shrinkToFit="0" readingOrder="0"/>
    </dxf>
    <dxf>
      <border>
        <bottom style="medium">
          <color auto="1"/>
        </bottom>
      </border>
    </dxf>
    <dxf>
      <fill>
        <patternFill patternType="solid">
          <fgColor indexed="64"/>
          <bgColor theme="0"/>
        </patternFill>
      </fill>
      <alignment horizontal="center" vertical="center" textRotation="0" wrapText="0" indent="0" justifyLastLine="0" shrinkToFit="0" readingOrder="0"/>
      <border diagonalUp="0" diagonalDown="0" outline="0">
        <left/>
        <right/>
        <top/>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hair">
          <color auto="1"/>
        </left>
        <right style="double">
          <color indexed="64"/>
        </right>
        <top style="hair">
          <color indexed="64"/>
        </top>
        <bottom style="hair">
          <color indexed="64"/>
        </bottom>
      </border>
    </dxf>
    <dxf>
      <numFmt numFmtId="14" formatCode="0.00%"/>
      <fill>
        <patternFill patternType="solid">
          <fgColor indexed="64"/>
          <bgColor theme="0"/>
        </patternFill>
      </fill>
      <alignment horizontal="right" vertical="center" textRotation="0" wrapText="0" indent="0" justifyLastLine="0" shrinkToFit="0" readingOrder="0"/>
      <border diagonalUp="0" diagonalDown="0">
        <left style="double">
          <color auto="1"/>
        </left>
        <right style="hair">
          <color auto="1"/>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hair">
          <color auto="1"/>
        </left>
        <right/>
        <top style="hair">
          <color indexed="64"/>
        </top>
        <bottom style="hair">
          <color indexed="64"/>
        </bottom>
      </border>
    </dxf>
    <dxf>
      <numFmt numFmtId="4" formatCode="#,##0.00"/>
      <fill>
        <patternFill patternType="solid">
          <fgColor indexed="64"/>
          <bgColor rgb="FFFFFF99"/>
        </patternFill>
      </fill>
      <alignment horizontal="right" vertical="center" textRotation="0" wrapText="0" indent="0" justifyLastLine="0" shrinkToFit="0" readingOrder="0"/>
      <border diagonalUp="0" diagonalDown="0">
        <left style="double">
          <color auto="1"/>
        </left>
        <right style="hair">
          <color auto="1"/>
        </right>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left style="hair">
          <color auto="1"/>
        </left>
        <right/>
        <top style="hair">
          <color indexed="64"/>
        </top>
        <bottom style="hair">
          <color indexed="64"/>
        </bottom>
      </border>
    </dxf>
    <dxf>
      <fill>
        <patternFill patternType="solid">
          <fgColor indexed="64"/>
          <bgColor theme="0"/>
        </patternFill>
      </fill>
      <alignment horizontal="center" vertical="center" textRotation="0" wrapText="0" indent="0" justifyLastLine="0" shrinkToFit="0" readingOrder="0"/>
      <border diagonalUp="0" diagonalDown="0">
        <left style="double">
          <color auto="1"/>
        </left>
        <right style="hair">
          <color auto="1"/>
        </right>
        <top style="hair">
          <color indexed="64"/>
        </top>
        <bottom style="hair">
          <color indexed="64"/>
        </bottom>
      </border>
    </dxf>
    <dxf>
      <fill>
        <patternFill patternType="solid">
          <fgColor indexed="64"/>
          <bgColor rgb="FFFF0000"/>
        </patternFill>
      </fill>
      <alignment horizontal="left" vertical="center" textRotation="0" wrapText="0" indent="0" justifyLastLine="0" shrinkToFit="0" readingOrder="0"/>
      <border diagonalUp="0" diagonalDown="0">
        <left style="hair">
          <color indexed="64"/>
        </left>
        <right style="double">
          <color indexed="64"/>
        </right>
        <top style="hair">
          <color indexed="64"/>
        </top>
        <bottom/>
        <vertical style="hair">
          <color indexed="64"/>
        </vertical>
        <horizontal/>
      </border>
    </dxf>
    <dxf>
      <fill>
        <patternFill patternType="solid">
          <fgColor indexed="64"/>
          <bgColor theme="0"/>
        </patternFill>
      </fill>
      <alignment horizontal="left" vertical="center" textRotation="0" wrapText="0" indent="0" justifyLastLine="0" shrinkToFit="0" readingOrder="0"/>
      <border diagonalUp="0" diagonalDown="0">
        <left style="medium">
          <color indexed="64"/>
        </left>
        <right style="hair">
          <color indexed="64"/>
        </right>
        <top style="hair">
          <color indexed="64"/>
        </top>
        <bottom style="hair">
          <color indexed="64"/>
        </bottom>
        <vertical style="hair">
          <color indexed="64"/>
        </vertical>
        <horizontal style="hair">
          <color indexed="64"/>
        </horizontal>
      </border>
    </dxf>
    <dxf>
      <fill>
        <patternFill patternType="solid">
          <fgColor indexed="64"/>
          <bgColor theme="0"/>
        </patternFill>
      </fill>
      <alignment horizontal="left" vertical="center" textRotation="0" wrapText="0" indent="0" justifyLastLine="0" shrinkToFit="0" readingOrder="0"/>
    </dxf>
    <dxf>
      <border>
        <bottom style="medium">
          <color auto="1"/>
        </bottom>
      </border>
    </dxf>
    <dxf>
      <fill>
        <patternFill patternType="solid">
          <fgColor indexed="64"/>
          <bgColor theme="0"/>
        </patternFill>
      </fill>
      <alignment horizontal="center" vertical="center" textRotation="0" wrapText="0" indent="0" justifyLastLine="0" shrinkToFit="0" readingOrder="0"/>
      <border diagonalUp="0" diagonalDown="0">
        <left/>
        <right/>
        <top/>
        <bottom/>
        <vertical/>
        <horizontal/>
      </border>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2" defaultPivotStyle="PivotStyleLight16"/>
  <colors>
    <mruColors>
      <color rgb="FFFFFF99"/>
      <color rgb="FFF9FDCF"/>
      <color rgb="FFD8E4BC"/>
      <color rgb="FFD0C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1</xdr:col>
      <xdr:colOff>0</xdr:colOff>
      <xdr:row>119</xdr:row>
      <xdr:rowOff>0</xdr:rowOff>
    </xdr:from>
    <xdr:ext cx="962508" cy="183320"/>
    <mc:AlternateContent xmlns:mc="http://schemas.openxmlformats.org/markup-compatibility/2006" xmlns:a14="http://schemas.microsoft.com/office/drawing/2010/main">
      <mc:Choice Requires="a14">
        <xdr:sp macro="" textlink="">
          <xdr:nvSpPr>
            <xdr:cNvPr id="11" name="Tekstvak 10">
              <a:extLst>
                <a:ext uri="{FF2B5EF4-FFF2-40B4-BE49-F238E27FC236}">
                  <a16:creationId xmlns:a16="http://schemas.microsoft.com/office/drawing/2014/main" id="{203B4724-8A47-4196-B2EC-3E1FE1EE0E06}"/>
                </a:ext>
              </a:extLst>
            </xdr:cNvPr>
            <xdr:cNvSpPr txBox="1"/>
          </xdr:nvSpPr>
          <xdr:spPr>
            <a:xfrm>
              <a:off x="381000" y="15163800"/>
              <a:ext cx="962508"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𝐵</m:t>
                        </m:r>
                      </m:e>
                      <m:sub>
                        <m:r>
                          <a:rPr lang="nl-BE" sz="1100" b="0" i="1">
                            <a:latin typeface="Cambria Math" panose="02040503050406030204" pitchFamily="18" charset="0"/>
                          </a:rPr>
                          <m:t>𝑁𝑒𝑡𝑔𝑒𝑏𝑟𝑢𝑖𝑘</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oMath>
                </m:oMathPara>
              </a14:m>
              <a:endParaRPr lang="nl-BE" sz="1100"/>
            </a:p>
          </xdr:txBody>
        </xdr:sp>
      </mc:Choice>
      <mc:Fallback xmlns="">
        <xdr:sp macro="" textlink="">
          <xdr:nvSpPr>
            <xdr:cNvPr id="11" name="Tekstvak 10">
              <a:extLst>
                <a:ext uri="{FF2B5EF4-FFF2-40B4-BE49-F238E27FC236}">
                  <a16:creationId xmlns:a16="http://schemas.microsoft.com/office/drawing/2014/main" id="{203B4724-8A47-4196-B2EC-3E1FE1EE0E06}"/>
                </a:ext>
              </a:extLst>
            </xdr:cNvPr>
            <xdr:cNvSpPr txBox="1"/>
          </xdr:nvSpPr>
          <xdr:spPr>
            <a:xfrm>
              <a:off x="381000" y="15163800"/>
              <a:ext cx="962508"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𝐵_(𝑁𝑒𝑡𝑔𝑒𝑏𝑟𝑢𝑖𝑘,𝑖, 𝑗, 𝑘)  </a:t>
              </a:r>
              <a:endParaRPr lang="nl-BE" sz="1100"/>
            </a:p>
          </xdr:txBody>
        </xdr:sp>
      </mc:Fallback>
    </mc:AlternateContent>
    <xdr:clientData/>
  </xdr:oneCellAnchor>
  <xdr:oneCellAnchor>
    <xdr:from>
      <xdr:col>1</xdr:col>
      <xdr:colOff>0</xdr:colOff>
      <xdr:row>121</xdr:row>
      <xdr:rowOff>0</xdr:rowOff>
    </xdr:from>
    <xdr:ext cx="1341456" cy="183192"/>
    <mc:AlternateContent xmlns:mc="http://schemas.openxmlformats.org/markup-compatibility/2006" xmlns:a14="http://schemas.microsoft.com/office/drawing/2010/main">
      <mc:Choice Requires="a14">
        <xdr:sp macro="" textlink="">
          <xdr:nvSpPr>
            <xdr:cNvPr id="12" name="Tekstvak 11">
              <a:extLst>
                <a:ext uri="{FF2B5EF4-FFF2-40B4-BE49-F238E27FC236}">
                  <a16:creationId xmlns:a16="http://schemas.microsoft.com/office/drawing/2014/main" id="{038369F9-ABF8-4D86-B79E-F8264596FBFE}"/>
                </a:ext>
              </a:extLst>
            </xdr:cNvPr>
            <xdr:cNvSpPr txBox="1"/>
          </xdr:nvSpPr>
          <xdr:spPr>
            <a:xfrm>
              <a:off x="381000" y="15735300"/>
              <a:ext cx="1341456"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b="0" i="1">
                            <a:latin typeface="Cambria Math" panose="02040503050406030204" pitchFamily="18" charset="0"/>
                          </a:rPr>
                        </m:ctrlPr>
                      </m:sSubPr>
                      <m:e>
                        <m:r>
                          <a:rPr lang="nl-BE" sz="1100" b="0" i="1">
                            <a:latin typeface="Cambria Math" panose="02040503050406030204" pitchFamily="18" charset="0"/>
                          </a:rPr>
                          <m:t>𝑇</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𝑘𝑉𝐴</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rPr>
                      <m:t> </m:t>
                    </m:r>
                  </m:oMath>
                </m:oMathPara>
              </a14:m>
              <a:endParaRPr lang="nl-BE" sz="1100"/>
            </a:p>
          </xdr:txBody>
        </xdr:sp>
      </mc:Choice>
      <mc:Fallback xmlns="">
        <xdr:sp macro="" textlink="">
          <xdr:nvSpPr>
            <xdr:cNvPr id="12" name="Tekstvak 11">
              <a:extLst>
                <a:ext uri="{FF2B5EF4-FFF2-40B4-BE49-F238E27FC236}">
                  <a16:creationId xmlns:a16="http://schemas.microsoft.com/office/drawing/2014/main" id="{038369F9-ABF8-4D86-B79E-F8264596FBFE}"/>
                </a:ext>
              </a:extLst>
            </xdr:cNvPr>
            <xdr:cNvSpPr txBox="1"/>
          </xdr:nvSpPr>
          <xdr:spPr>
            <a:xfrm>
              <a:off x="381000" y="15735300"/>
              <a:ext cx="1341456"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𝑇_(𝑇𝑉,𝑖, 𝑗, 𝑘)  </a:t>
              </a:r>
              <a:r>
                <a:rPr lang="nl-BE" sz="1100" b="0" i="0">
                  <a:latin typeface="Cambria Math" panose="02040503050406030204" pitchFamily="18" charset="0"/>
                  <a:ea typeface="Cambria Math" panose="02040503050406030204" pitchFamily="18" charset="0"/>
                </a:rPr>
                <a:t>× 〖𝑘𝑉𝐴〗_(𝑇𝑉,𝑖, 𝑗, 𝑘) </a:t>
              </a:r>
              <a:r>
                <a:rPr lang="nl-BE" sz="1100" b="0" i="0">
                  <a:latin typeface="Cambria Math" panose="02040503050406030204" pitchFamily="18" charset="0"/>
                </a:rPr>
                <a:t> </a:t>
              </a:r>
              <a:endParaRPr lang="nl-BE" sz="1100"/>
            </a:p>
          </xdr:txBody>
        </xdr:sp>
      </mc:Fallback>
    </mc:AlternateContent>
    <xdr:clientData/>
  </xdr:oneCellAnchor>
  <xdr:oneCellAnchor>
    <xdr:from>
      <xdr:col>1</xdr:col>
      <xdr:colOff>0</xdr:colOff>
      <xdr:row>123</xdr:row>
      <xdr:rowOff>0</xdr:rowOff>
    </xdr:from>
    <xdr:ext cx="1290418" cy="183192"/>
    <mc:AlternateContent xmlns:mc="http://schemas.openxmlformats.org/markup-compatibility/2006" xmlns:a14="http://schemas.microsoft.com/office/drawing/2010/main">
      <mc:Choice Requires="a14">
        <xdr:sp macro="" textlink="">
          <xdr:nvSpPr>
            <xdr:cNvPr id="13" name="Tekstvak 12">
              <a:extLst>
                <a:ext uri="{FF2B5EF4-FFF2-40B4-BE49-F238E27FC236}">
                  <a16:creationId xmlns:a16="http://schemas.microsoft.com/office/drawing/2014/main" id="{ACFC0FA6-B569-4EAF-9486-C5F0E1870AF9}"/>
                </a:ext>
              </a:extLst>
            </xdr:cNvPr>
            <xdr:cNvSpPr txBox="1"/>
          </xdr:nvSpPr>
          <xdr:spPr>
            <a:xfrm>
              <a:off x="381000" y="16497300"/>
              <a:ext cx="1290418"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oMath>
                </m:oMathPara>
              </a14:m>
              <a:endParaRPr lang="nl-BE" sz="1100"/>
            </a:p>
          </xdr:txBody>
        </xdr:sp>
      </mc:Choice>
      <mc:Fallback xmlns="">
        <xdr:sp macro="" textlink="">
          <xdr:nvSpPr>
            <xdr:cNvPr id="13" name="Tekstvak 12">
              <a:extLst>
                <a:ext uri="{FF2B5EF4-FFF2-40B4-BE49-F238E27FC236}">
                  <a16:creationId xmlns:a16="http://schemas.microsoft.com/office/drawing/2014/main" id="{ACFC0FA6-B569-4EAF-9486-C5F0E1870AF9}"/>
                </a:ext>
              </a:extLst>
            </xdr:cNvPr>
            <xdr:cNvSpPr txBox="1"/>
          </xdr:nvSpPr>
          <xdr:spPr>
            <a:xfrm>
              <a:off x="381000" y="16497300"/>
              <a:ext cx="1290418"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ea typeface="Cambria Math" panose="02040503050406030204" pitchFamily="18" charset="0"/>
                </a:rPr>
                <a:t>𝑇_(𝑀𝑃,𝑖, 𝑗, 𝑘)  × 〖𝑘𝑊〗_(𝑀𝑃,𝑖, 𝑗, 𝑘)</a:t>
              </a:r>
              <a:endParaRPr lang="nl-BE" sz="1100"/>
            </a:p>
          </xdr:txBody>
        </xdr:sp>
      </mc:Fallback>
    </mc:AlternateContent>
    <xdr:clientData/>
  </xdr:oneCellAnchor>
  <xdr:oneCellAnchor>
    <xdr:from>
      <xdr:col>1</xdr:col>
      <xdr:colOff>0</xdr:colOff>
      <xdr:row>109</xdr:row>
      <xdr:rowOff>0</xdr:rowOff>
    </xdr:from>
    <xdr:ext cx="4637936" cy="374013"/>
    <mc:AlternateContent xmlns:mc="http://schemas.openxmlformats.org/markup-compatibility/2006" xmlns:a14="http://schemas.microsoft.com/office/drawing/2010/main">
      <mc:Choice Requires="a14">
        <xdr:sp macro="" textlink="">
          <xdr:nvSpPr>
            <xdr:cNvPr id="21" name="Tekstvak 20">
              <a:extLst>
                <a:ext uri="{FF2B5EF4-FFF2-40B4-BE49-F238E27FC236}">
                  <a16:creationId xmlns:a16="http://schemas.microsoft.com/office/drawing/2014/main" id="{9A18946A-F928-4195-8DDB-037353C4479D}"/>
                </a:ext>
              </a:extLst>
            </xdr:cNvPr>
            <xdr:cNvSpPr txBox="1"/>
          </xdr:nvSpPr>
          <xdr:spPr>
            <a:xfrm>
              <a:off x="381000" y="22026563"/>
              <a:ext cx="4637936"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𝑃𝑟𝑜𝑐𝑒𝑛𝑡𝑢𝑒𝑒𝑙</m:t>
                        </m:r>
                        <m:r>
                          <a:rPr lang="nl-BE" sz="1100" b="0" i="1">
                            <a:latin typeface="Cambria Math" panose="02040503050406030204" pitchFamily="18" charset="0"/>
                          </a:rPr>
                          <m:t> </m:t>
                        </m:r>
                        <m:r>
                          <a:rPr lang="nl-BE" sz="1100" b="0" i="1">
                            <a:latin typeface="Cambria Math" panose="02040503050406030204" pitchFamily="18" charset="0"/>
                          </a:rPr>
                          <m:t>𝑎𝑎𝑛𝑑𝑒𝑒𝑙</m:t>
                        </m:r>
                      </m:e>
                      <m:sub>
                        <m:r>
                          <a:rPr lang="nl-BE" sz="1100" b="0" i="1">
                            <a:latin typeface="Cambria Math" panose="02040503050406030204" pitchFamily="18" charset="0"/>
                          </a:rPr>
                          <m:t>𝑀𝑃</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f>
                      <m:fPr>
                        <m:ctrlPr>
                          <a:rPr lang="nl-BE" sz="1100" b="0" i="1">
                            <a:latin typeface="Cambria Math" panose="02040503050406030204" pitchFamily="18" charset="0"/>
                          </a:rPr>
                        </m:ctrlPr>
                      </m:fPr>
                      <m:num>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rPr>
                            </m:ctrlPr>
                          </m:sSubPr>
                          <m:e>
                            <m:r>
                              <a:rPr lang="nl-BE" sz="1100" b="0" i="1">
                                <a:latin typeface="Cambria Math" panose="02040503050406030204" pitchFamily="18" charset="0"/>
                              </a:rPr>
                              <m:t>𝑘𝑉𝐴</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num>
                      <m:den>
                        <m:r>
                          <a:rPr lang="nl-BE" sz="1100" b="0" i="1">
                            <a:latin typeface="Cambria Math" panose="02040503050406030204" pitchFamily="18" charset="0"/>
                          </a:rPr>
                          <m:t>(</m:t>
                        </m:r>
                        <m:r>
                          <a:rPr lang="nl-BE" sz="1100" b="0" i="1">
                            <a:solidFill>
                              <a:schemeClr val="tx1"/>
                            </a:solidFill>
                            <a:effectLst/>
                            <a:latin typeface="Cambria Math" panose="02040503050406030204" pitchFamily="18" charset="0"/>
                            <a:ea typeface="+mn-ea"/>
                            <a:cs typeface="+mn-cs"/>
                          </a:rPr>
                          <m:t>2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𝑘𝑉𝐴</m:t>
                            </m:r>
                          </m:e>
                          <m:sub>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+1,5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m:t>
                        </m:r>
                      </m:den>
                    </m:f>
                  </m:oMath>
                </m:oMathPara>
              </a14:m>
              <a:endParaRPr lang="nl-BE" sz="1100"/>
            </a:p>
          </xdr:txBody>
        </xdr:sp>
      </mc:Choice>
      <mc:Fallback xmlns="">
        <xdr:sp macro="" textlink="">
          <xdr:nvSpPr>
            <xdr:cNvPr id="21" name="Tekstvak 20">
              <a:extLst>
                <a:ext uri="{FF2B5EF4-FFF2-40B4-BE49-F238E27FC236}">
                  <a16:creationId xmlns:a16="http://schemas.microsoft.com/office/drawing/2014/main" id="{9A18946A-F928-4195-8DDB-037353C4479D}"/>
                </a:ext>
              </a:extLst>
            </xdr:cNvPr>
            <xdr:cNvSpPr txBox="1"/>
          </xdr:nvSpPr>
          <xdr:spPr>
            <a:xfrm>
              <a:off x="381000" y="22026563"/>
              <a:ext cx="4637936"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i="0">
                  <a:latin typeface="Cambria Math" panose="02040503050406030204" pitchFamily="18" charset="0"/>
                </a:rPr>
                <a:t>〖</a:t>
              </a:r>
              <a:r>
                <a:rPr lang="nl-BE" sz="1100" b="0" i="0">
                  <a:latin typeface="Cambria Math" panose="02040503050406030204" pitchFamily="18" charset="0"/>
                </a:rPr>
                <a:t>𝑃𝑟𝑜𝑐𝑒𝑛𝑡𝑢𝑒𝑒𝑙 𝑎𝑎𝑛𝑑𝑒𝑒𝑙〗_(𝑀𝑃,𝑖, 𝑗, 𝑘)= </a:t>
              </a:r>
              <a:r>
                <a:rPr lang="nl-BE" sz="1100" b="0" i="0">
                  <a:solidFill>
                    <a:schemeClr val="tx1"/>
                  </a:solidFill>
                  <a:effectLst/>
                  <a:latin typeface="Cambria Math" panose="02040503050406030204" pitchFamily="18" charset="0"/>
                  <a:ea typeface="+mn-ea"/>
                  <a:cs typeface="+mn-cs"/>
                </a:rPr>
                <a:t> (∑ 〖</a:t>
              </a:r>
              <a:r>
                <a:rPr lang="nl-BE" sz="1100" b="0" i="0">
                  <a:latin typeface="Cambria Math" panose="02040503050406030204" pitchFamily="18" charset="0"/>
                </a:rPr>
                <a:t>𝑘𝑉𝐴〗_(𝑇𝑉,𝑖, 𝑗, 𝑘))/((</a:t>
              </a:r>
              <a:r>
                <a:rPr lang="nl-BE" sz="1100" b="0" i="0">
                  <a:solidFill>
                    <a:schemeClr val="tx1"/>
                  </a:solidFill>
                  <a:effectLst/>
                  <a:latin typeface="Cambria Math" panose="02040503050406030204" pitchFamily="18" charset="0"/>
                  <a:ea typeface="+mn-ea"/>
                  <a:cs typeface="+mn-cs"/>
                </a:rPr>
                <a:t>2 × ∑ 〖𝑘𝑉𝐴〗_(𝑇𝑉,𝑖, 𝑗, 𝑘)+1,5 × ∑ 〖𝑘𝑊〗_(𝑀𝑃−𝑇𝑉,𝑖, 𝑗, 𝑘)))</a:t>
              </a:r>
              <a:endParaRPr lang="nl-BE" sz="1100"/>
            </a:p>
          </xdr:txBody>
        </xdr:sp>
      </mc:Fallback>
    </mc:AlternateContent>
    <xdr:clientData/>
  </xdr:oneCellAnchor>
  <xdr:oneCellAnchor>
    <xdr:from>
      <xdr:col>1</xdr:col>
      <xdr:colOff>0</xdr:colOff>
      <xdr:row>112</xdr:row>
      <xdr:rowOff>0</xdr:rowOff>
    </xdr:from>
    <xdr:ext cx="4846262" cy="374013"/>
    <mc:AlternateContent xmlns:mc="http://schemas.openxmlformats.org/markup-compatibility/2006" xmlns:a14="http://schemas.microsoft.com/office/drawing/2010/main">
      <mc:Choice Requires="a14">
        <xdr:sp macro="" textlink="">
          <xdr:nvSpPr>
            <xdr:cNvPr id="22" name="Tekstvak 21">
              <a:extLst>
                <a:ext uri="{FF2B5EF4-FFF2-40B4-BE49-F238E27FC236}">
                  <a16:creationId xmlns:a16="http://schemas.microsoft.com/office/drawing/2014/main" id="{7704602C-12ED-429E-9903-6C90A1AF54CB}"/>
                </a:ext>
              </a:extLst>
            </xdr:cNvPr>
            <xdr:cNvSpPr txBox="1"/>
          </xdr:nvSpPr>
          <xdr:spPr>
            <a:xfrm>
              <a:off x="381000" y="22598063"/>
              <a:ext cx="4846262"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𝑃𝑟𝑜𝑐𝑒𝑛𝑡𝑢𝑒𝑒𝑙</m:t>
                        </m:r>
                        <m:r>
                          <a:rPr lang="nl-BE" sz="1100" b="0" i="1">
                            <a:latin typeface="Cambria Math" panose="02040503050406030204" pitchFamily="18" charset="0"/>
                          </a:rPr>
                          <m:t> </m:t>
                        </m:r>
                        <m:r>
                          <a:rPr lang="nl-BE" sz="1100" b="0" i="1">
                            <a:latin typeface="Cambria Math" panose="02040503050406030204" pitchFamily="18" charset="0"/>
                          </a:rPr>
                          <m:t>𝑎𝑎𝑛𝑑𝑒𝑒𝑙</m:t>
                        </m:r>
                      </m:e>
                      <m:sub>
                        <m:r>
                          <a:rPr lang="nl-BE" sz="1100" b="0" i="1">
                            <a:latin typeface="Cambria Math" panose="02040503050406030204" pitchFamily="18" charset="0"/>
                          </a:rPr>
                          <m:t>𝑀𝑃</m:t>
                        </m:r>
                        <m:r>
                          <a:rPr lang="nl-BE" sz="1100" b="0" i="1">
                            <a:latin typeface="Cambria Math" panose="02040503050406030204" pitchFamily="18" charset="0"/>
                          </a:rPr>
                          <m:t>−</m:t>
                        </m:r>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f>
                      <m:fPr>
                        <m:ctrlPr>
                          <a:rPr lang="nl-BE" sz="1100" b="0" i="1">
                            <a:latin typeface="Cambria Math" panose="02040503050406030204" pitchFamily="18" charset="0"/>
                          </a:rPr>
                        </m:ctrlPr>
                      </m:fPr>
                      <m:num>
                        <m:r>
                          <a:rPr lang="nl-BE" sz="1100" b="0" i="1">
                            <a:solidFill>
                              <a:schemeClr val="tx1"/>
                            </a:solidFill>
                            <a:effectLst/>
                            <a:latin typeface="Cambria Math" panose="02040503050406030204" pitchFamily="18" charset="0"/>
                            <a:ea typeface="+mn-ea"/>
                            <a:cs typeface="+mn-cs"/>
                          </a:rPr>
                          <m:t>1,5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num>
                      <m:den>
                        <m:r>
                          <a:rPr lang="nl-BE" sz="1100" b="0" i="1">
                            <a:latin typeface="Cambria Math" panose="02040503050406030204" pitchFamily="18" charset="0"/>
                          </a:rPr>
                          <m:t>(</m:t>
                        </m:r>
                        <m:r>
                          <a:rPr lang="nl-BE" sz="1100" b="0" i="1">
                            <a:solidFill>
                              <a:schemeClr val="tx1"/>
                            </a:solidFill>
                            <a:effectLst/>
                            <a:latin typeface="Cambria Math" panose="02040503050406030204" pitchFamily="18" charset="0"/>
                            <a:ea typeface="+mn-ea"/>
                            <a:cs typeface="+mn-cs"/>
                          </a:rPr>
                          <m:t>2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𝑘𝑉𝐴</m:t>
                            </m:r>
                          </m:e>
                          <m:sub>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+1,5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m:t>
                        </m:r>
                      </m:den>
                    </m:f>
                  </m:oMath>
                </m:oMathPara>
              </a14:m>
              <a:endParaRPr lang="nl-BE" sz="1100"/>
            </a:p>
          </xdr:txBody>
        </xdr:sp>
      </mc:Choice>
      <mc:Fallback xmlns="">
        <xdr:sp macro="" textlink="">
          <xdr:nvSpPr>
            <xdr:cNvPr id="22" name="Tekstvak 21">
              <a:extLst>
                <a:ext uri="{FF2B5EF4-FFF2-40B4-BE49-F238E27FC236}">
                  <a16:creationId xmlns:a16="http://schemas.microsoft.com/office/drawing/2014/main" id="{7704602C-12ED-429E-9903-6C90A1AF54CB}"/>
                </a:ext>
              </a:extLst>
            </xdr:cNvPr>
            <xdr:cNvSpPr txBox="1"/>
          </xdr:nvSpPr>
          <xdr:spPr>
            <a:xfrm>
              <a:off x="381000" y="22598063"/>
              <a:ext cx="4846262"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i="0">
                  <a:latin typeface="Cambria Math" panose="02040503050406030204" pitchFamily="18" charset="0"/>
                </a:rPr>
                <a:t>〖</a:t>
              </a:r>
              <a:r>
                <a:rPr lang="nl-BE" sz="1100" b="0" i="0">
                  <a:latin typeface="Cambria Math" panose="02040503050406030204" pitchFamily="18" charset="0"/>
                </a:rPr>
                <a:t>𝑃𝑟𝑜𝑐𝑒𝑛𝑡𝑢𝑒𝑒𝑙 𝑎𝑎𝑛𝑑𝑒𝑒𝑙〗_(𝑀𝑃−𝑇𝑉,𝑖, 𝑗, 𝑘)= </a:t>
              </a:r>
              <a:r>
                <a:rPr lang="nl-BE" sz="1100" b="0" i="0">
                  <a:solidFill>
                    <a:schemeClr val="tx1"/>
                  </a:solidFill>
                  <a:effectLst/>
                  <a:latin typeface="Cambria Math" panose="02040503050406030204" pitchFamily="18" charset="0"/>
                  <a:ea typeface="+mn-ea"/>
                  <a:cs typeface="+mn-cs"/>
                </a:rPr>
                <a:t> (1,5 × ∑ 〖𝑘𝑊〗_(𝑀𝑃−𝑇𝑉,𝑖, 𝑗, 𝑘))/(</a:t>
              </a:r>
              <a:r>
                <a:rPr lang="nl-BE" sz="1100" b="0" i="0">
                  <a:latin typeface="Cambria Math" panose="02040503050406030204" pitchFamily="18" charset="0"/>
                </a:rPr>
                <a:t>(</a:t>
              </a:r>
              <a:r>
                <a:rPr lang="nl-BE" sz="1100" b="0" i="0">
                  <a:solidFill>
                    <a:schemeClr val="tx1"/>
                  </a:solidFill>
                  <a:effectLst/>
                  <a:latin typeface="Cambria Math" panose="02040503050406030204" pitchFamily="18" charset="0"/>
                  <a:ea typeface="+mn-ea"/>
                  <a:cs typeface="+mn-cs"/>
                </a:rPr>
                <a:t>2 × ∑ 〖𝑘𝑉𝐴〗_(𝑇𝑉,𝑖, 𝑗, 𝑘)+1,5 × ∑ 〖𝑘𝑊〗_(𝑀𝑃−𝑇𝑉,𝑖, 𝑗, 𝑘)))</a:t>
              </a:r>
              <a:endParaRPr lang="nl-BE" sz="1100"/>
            </a:p>
          </xdr:txBody>
        </xdr:sp>
      </mc:Fallback>
    </mc:AlternateContent>
    <xdr:clientData/>
  </xdr:oneCellAnchor>
  <xdr:oneCellAnchor>
    <xdr:from>
      <xdr:col>1</xdr:col>
      <xdr:colOff>0</xdr:colOff>
      <xdr:row>125</xdr:row>
      <xdr:rowOff>0</xdr:rowOff>
    </xdr:from>
    <xdr:ext cx="1738105" cy="183192"/>
    <mc:AlternateContent xmlns:mc="http://schemas.openxmlformats.org/markup-compatibility/2006" xmlns:a14="http://schemas.microsoft.com/office/drawing/2010/main">
      <mc:Choice Requires="a14">
        <xdr:sp macro="" textlink="">
          <xdr:nvSpPr>
            <xdr:cNvPr id="23" name="Tekstvak 22">
              <a:extLst>
                <a:ext uri="{FF2B5EF4-FFF2-40B4-BE49-F238E27FC236}">
                  <a16:creationId xmlns:a16="http://schemas.microsoft.com/office/drawing/2014/main" id="{B4BE7F6B-D6B9-4CD8-A5C5-6C03F01B2C09}"/>
                </a:ext>
              </a:extLst>
            </xdr:cNvPr>
            <xdr:cNvSpPr txBox="1"/>
          </xdr:nvSpPr>
          <xdr:spPr>
            <a:xfrm>
              <a:off x="381000" y="17259300"/>
              <a:ext cx="1738105"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rPr>
                      <m:t> </m:t>
                    </m:r>
                  </m:oMath>
                </m:oMathPara>
              </a14:m>
              <a:endParaRPr lang="nl-BE" sz="1100"/>
            </a:p>
          </xdr:txBody>
        </xdr:sp>
      </mc:Choice>
      <mc:Fallback xmlns="">
        <xdr:sp macro="" textlink="">
          <xdr:nvSpPr>
            <xdr:cNvPr id="23" name="Tekstvak 22">
              <a:extLst>
                <a:ext uri="{FF2B5EF4-FFF2-40B4-BE49-F238E27FC236}">
                  <a16:creationId xmlns:a16="http://schemas.microsoft.com/office/drawing/2014/main" id="{B4BE7F6B-D6B9-4CD8-A5C5-6C03F01B2C09}"/>
                </a:ext>
              </a:extLst>
            </xdr:cNvPr>
            <xdr:cNvSpPr txBox="1"/>
          </xdr:nvSpPr>
          <xdr:spPr>
            <a:xfrm>
              <a:off x="381000" y="17259300"/>
              <a:ext cx="1738105"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ea typeface="Cambria Math" panose="02040503050406030204" pitchFamily="18" charset="0"/>
                </a:rPr>
                <a:t>𝑇_(𝑀𝑃−𝑇𝑉,𝑖, 𝑗, 𝑘)  × 〖𝑘𝑊〗_(𝑀𝑃−𝑇𝑉,𝑖, 𝑗, 𝑘) </a:t>
              </a:r>
              <a:r>
                <a:rPr lang="nl-BE" sz="1100" b="0" i="0">
                  <a:latin typeface="Cambria Math" panose="02040503050406030204" pitchFamily="18" charset="0"/>
                </a:rPr>
                <a:t> </a:t>
              </a:r>
              <a:endParaRPr lang="nl-BE" sz="1100"/>
            </a:p>
          </xdr:txBody>
        </xdr:sp>
      </mc:Fallback>
    </mc:AlternateContent>
    <xdr:clientData/>
  </xdr:oneCellAnchor>
  <xdr:twoCellAnchor>
    <xdr:from>
      <xdr:col>9</xdr:col>
      <xdr:colOff>0</xdr:colOff>
      <xdr:row>10</xdr:row>
      <xdr:rowOff>0</xdr:rowOff>
    </xdr:from>
    <xdr:to>
      <xdr:col>9</xdr:col>
      <xdr:colOff>270000</xdr:colOff>
      <xdr:row>16</xdr:row>
      <xdr:rowOff>11100</xdr:rowOff>
    </xdr:to>
    <xdr:sp macro="" textlink="">
      <xdr:nvSpPr>
        <xdr:cNvPr id="25" name="Rechteraccolade 24">
          <a:extLst>
            <a:ext uri="{FF2B5EF4-FFF2-40B4-BE49-F238E27FC236}">
              <a16:creationId xmlns:a16="http://schemas.microsoft.com/office/drawing/2014/main" id="{60DA1B0F-4642-4D06-A9F8-F4043BE1DFD1}"/>
            </a:ext>
          </a:extLst>
        </xdr:cNvPr>
        <xdr:cNvSpPr/>
      </xdr:nvSpPr>
      <xdr:spPr>
        <a:xfrm>
          <a:off x="10668000" y="2343150"/>
          <a:ext cx="270000" cy="1116000"/>
        </a:xfrm>
        <a:prstGeom prst="rightBrace">
          <a:avLst/>
        </a:prstGeom>
        <a:ln>
          <a:solidFill>
            <a:schemeClr val="bg1">
              <a:lumMod val="50000"/>
            </a:schemeClr>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oneCellAnchor>
    <xdr:from>
      <xdr:col>1</xdr:col>
      <xdr:colOff>0</xdr:colOff>
      <xdr:row>90</xdr:row>
      <xdr:rowOff>0</xdr:rowOff>
    </xdr:from>
    <xdr:ext cx="6180923" cy="183320"/>
    <mc:AlternateContent xmlns:mc="http://schemas.openxmlformats.org/markup-compatibility/2006" xmlns:a14="http://schemas.microsoft.com/office/drawing/2010/main">
      <mc:Choice Requires="a14">
        <xdr:sp macro="" textlink="">
          <xdr:nvSpPr>
            <xdr:cNvPr id="27" name="Tekstvak 26">
              <a:extLst>
                <a:ext uri="{FF2B5EF4-FFF2-40B4-BE49-F238E27FC236}">
                  <a16:creationId xmlns:a16="http://schemas.microsoft.com/office/drawing/2014/main" id="{FA228206-66F6-4D2C-A595-ED41DDF541F7}"/>
                </a:ext>
              </a:extLst>
            </xdr:cNvPr>
            <xdr:cNvSpPr txBox="1"/>
          </xdr:nvSpPr>
          <xdr:spPr>
            <a:xfrm>
              <a:off x="381000" y="8877300"/>
              <a:ext cx="6180923"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𝐵</m:t>
                        </m:r>
                      </m:e>
                      <m:sub>
                        <m:r>
                          <a:rPr lang="nl-BE" sz="1100" b="0" i="1">
                            <a:latin typeface="Cambria Math" panose="02040503050406030204" pitchFamily="18" charset="0"/>
                          </a:rPr>
                          <m:t>𝑁𝑒𝑡𝑔𝑒𝑏𝑟𝑢𝑖𝑘</m:t>
                        </m:r>
                        <m:r>
                          <a:rPr lang="nl-BE" sz="1100" b="0" i="1">
                            <a:latin typeface="Cambria Math" panose="02040503050406030204" pitchFamily="18" charset="0"/>
                          </a:rPr>
                          <m:t>,  </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sSub>
                      <m:sSubPr>
                        <m:ctrlPr>
                          <a:rPr lang="nl-BE" sz="1100" b="0" i="1">
                            <a:latin typeface="Cambria Math" panose="02040503050406030204" pitchFamily="18" charset="0"/>
                          </a:rPr>
                        </m:ctrlPr>
                      </m:sSubPr>
                      <m:e>
                        <m:r>
                          <a:rPr lang="nl-BE" sz="1100" b="0" i="1">
                            <a:latin typeface="Cambria Math" panose="02040503050406030204" pitchFamily="18" charset="0"/>
                          </a:rPr>
                          <m:t>𝑇</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𝑘𝑉𝐴</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rPr>
                      <m:t> </m:t>
                    </m:r>
                  </m:oMath>
                </m:oMathPara>
              </a14:m>
              <a:endParaRPr lang="nl-BE" sz="1100"/>
            </a:p>
          </xdr:txBody>
        </xdr:sp>
      </mc:Choice>
      <mc:Fallback xmlns="">
        <xdr:sp macro="" textlink="">
          <xdr:nvSpPr>
            <xdr:cNvPr id="27" name="Tekstvak 26">
              <a:extLst>
                <a:ext uri="{FF2B5EF4-FFF2-40B4-BE49-F238E27FC236}">
                  <a16:creationId xmlns:a16="http://schemas.microsoft.com/office/drawing/2014/main" id="{FA228206-66F6-4D2C-A595-ED41DDF541F7}"/>
                </a:ext>
              </a:extLst>
            </xdr:cNvPr>
            <xdr:cNvSpPr txBox="1"/>
          </xdr:nvSpPr>
          <xdr:spPr>
            <a:xfrm>
              <a:off x="381000" y="8877300"/>
              <a:ext cx="6180923"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𝐵_(𝑁𝑒𝑡𝑔𝑒𝑏𝑟𝑢𝑖𝑘,  𝑖, 𝑗, 𝑘)= 𝑇_(𝑇𝑉,𝑖, 𝑗, 𝑘)  </a:t>
              </a:r>
              <a:r>
                <a:rPr lang="nl-BE" sz="1100" b="0" i="0">
                  <a:latin typeface="Cambria Math" panose="02040503050406030204" pitchFamily="18" charset="0"/>
                  <a:ea typeface="Cambria Math" panose="02040503050406030204" pitchFamily="18" charset="0"/>
                </a:rPr>
                <a:t>× 〖∑ 𝑘𝑉𝐴〗_(𝑇𝑉,𝑖, 𝑗, 𝑘)+ 𝑇_(𝑀𝑃,𝑖, 𝑗, 𝑘)  ×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〖𝑘𝑊〗_(𝑀𝑃,𝑖, 𝑗, 𝑘)+ 𝑇_(𝑀𝑃−𝑇𝑉,𝑖, 𝑗, 𝑘)  ×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〖𝑘𝑊〗_(𝑀𝑃−𝑇𝑉,𝑖, 𝑗, 𝑘) </a:t>
              </a:r>
              <a:r>
                <a:rPr lang="nl-BE" sz="1100" b="0" i="0">
                  <a:latin typeface="Cambria Math" panose="02040503050406030204" pitchFamily="18" charset="0"/>
                </a:rPr>
                <a:t> </a:t>
              </a:r>
              <a:endParaRPr lang="nl-BE" sz="1100"/>
            </a:p>
          </xdr:txBody>
        </xdr:sp>
      </mc:Fallback>
    </mc:AlternateContent>
    <xdr:clientData/>
  </xdr:oneCellAnchor>
  <xdr:oneCellAnchor>
    <xdr:from>
      <xdr:col>1</xdr:col>
      <xdr:colOff>0</xdr:colOff>
      <xdr:row>92</xdr:row>
      <xdr:rowOff>0</xdr:rowOff>
    </xdr:from>
    <xdr:ext cx="6758838" cy="183320"/>
    <mc:AlternateContent xmlns:mc="http://schemas.openxmlformats.org/markup-compatibility/2006" xmlns:a14="http://schemas.microsoft.com/office/drawing/2010/main">
      <mc:Choice Requires="a14">
        <xdr:sp macro="" textlink="">
          <xdr:nvSpPr>
            <xdr:cNvPr id="28" name="Tekstvak 27">
              <a:extLst>
                <a:ext uri="{FF2B5EF4-FFF2-40B4-BE49-F238E27FC236}">
                  <a16:creationId xmlns:a16="http://schemas.microsoft.com/office/drawing/2014/main" id="{611411AB-F853-4AD7-9107-9B6895A3F55A}"/>
                </a:ext>
              </a:extLst>
            </xdr:cNvPr>
            <xdr:cNvSpPr txBox="1"/>
          </xdr:nvSpPr>
          <xdr:spPr>
            <a:xfrm>
              <a:off x="381000" y="9258300"/>
              <a:ext cx="6758838"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ctr"/>
              <a14:m>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𝑇</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r>
                    <a:rPr lang="nl-BE" sz="1100" b="0" i="1">
                      <a:latin typeface="Cambria Math" panose="02040503050406030204" pitchFamily="18" charset="0"/>
                      <a:ea typeface="Cambria Math" panose="02040503050406030204" pitchFamily="18" charset="0"/>
                    </a:rPr>
                    <m:t>×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𝑘𝑉𝐴</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𝑇</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0">
                      <a:solidFill>
                        <a:schemeClr val="tx1"/>
                      </a:solidFill>
                      <a:effectLst/>
                      <a:latin typeface="Cambria Math" panose="02040503050406030204" pitchFamily="18" charset="0"/>
                      <a:ea typeface="+mn-ea"/>
                      <a:cs typeface="+mn-cs"/>
                    </a:rPr>
                    <m:t>=50% </m:t>
                  </m:r>
                  <m:r>
                    <a:rPr lang="nl-BE" sz="1100" b="0" i="1">
                      <a:solidFill>
                        <a:schemeClr val="tx1"/>
                      </a:solidFill>
                      <a:effectLst/>
                      <a:latin typeface="Cambria Math" panose="02040503050406030204" pitchFamily="18" charset="0"/>
                      <a:ea typeface="Cambria Math" panose="02040503050406030204" pitchFamily="18" charset="0"/>
                      <a:cs typeface="+mn-cs"/>
                    </a:rPr>
                    <m:t>×(</m:t>
                  </m:r>
                  <m:sSub>
                    <m:sSubPr>
                      <m:ctrlPr>
                        <a:rPr lang="nl-BE" sz="110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𝐵</m:t>
                      </m:r>
                    </m:e>
                    <m:sub>
                      <m:r>
                        <a:rPr lang="nl-BE" sz="1100" b="0" i="1">
                          <a:solidFill>
                            <a:schemeClr val="tx1"/>
                          </a:solidFill>
                          <a:effectLst/>
                          <a:latin typeface="Cambria Math" panose="02040503050406030204" pitchFamily="18" charset="0"/>
                          <a:ea typeface="+mn-ea"/>
                          <a:cs typeface="+mn-cs"/>
                        </a:rPr>
                        <m:t>𝑁𝑒𝑡𝑔𝑒𝑏𝑟𝑢𝑖𝑘</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0">
                      <a:solidFill>
                        <a:schemeClr val="tx1"/>
                      </a:solidFill>
                      <a:effectLst/>
                      <a:latin typeface="Cambria Math" panose="02040503050406030204" pitchFamily="18" charset="0"/>
                      <a:ea typeface="+mn-ea"/>
                      <a:cs typeface="+mn-cs"/>
                    </a:rPr>
                    <m:t>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𝑇</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m:t>
                  </m:r>
                </m:oMath>
              </a14:m>
              <a:r>
                <a:rPr lang="nl-BE" sz="1100"/>
                <a:t> </a:t>
              </a:r>
            </a:p>
          </xdr:txBody>
        </xdr:sp>
      </mc:Choice>
      <mc:Fallback xmlns="">
        <xdr:sp macro="" textlink="">
          <xdr:nvSpPr>
            <xdr:cNvPr id="28" name="Tekstvak 27">
              <a:extLst>
                <a:ext uri="{FF2B5EF4-FFF2-40B4-BE49-F238E27FC236}">
                  <a16:creationId xmlns:a16="http://schemas.microsoft.com/office/drawing/2014/main" id="{611411AB-F853-4AD7-9107-9B6895A3F55A}"/>
                </a:ext>
              </a:extLst>
            </xdr:cNvPr>
            <xdr:cNvSpPr txBox="1"/>
          </xdr:nvSpPr>
          <xdr:spPr>
            <a:xfrm>
              <a:off x="381000" y="9258300"/>
              <a:ext cx="6758838"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ctr"/>
              <a:r>
                <a:rPr lang="nl-BE" sz="1100" b="0" i="0">
                  <a:latin typeface="Cambria Math" panose="02040503050406030204" pitchFamily="18" charset="0"/>
                </a:rPr>
                <a:t>𝑇_(𝑇𝑉,𝑖, 𝑗, 𝑘)  </a:t>
              </a:r>
              <a:r>
                <a:rPr lang="nl-BE" sz="1100" b="0" i="0">
                  <a:latin typeface="Cambria Math" panose="02040503050406030204" pitchFamily="18" charset="0"/>
                  <a:ea typeface="Cambria Math" panose="02040503050406030204" pitchFamily="18" charset="0"/>
                </a:rPr>
                <a:t>×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〖𝑘𝑉𝐴〗_(𝑇𝑉,𝑖, 𝑗, 𝑘)= </a:t>
              </a:r>
              <a:r>
                <a:rPr lang="nl-BE" sz="1100" b="0" i="0">
                  <a:solidFill>
                    <a:schemeClr val="tx1"/>
                  </a:solidFill>
                  <a:effectLst/>
                  <a:latin typeface="Cambria Math" panose="02040503050406030204" pitchFamily="18" charset="0"/>
                  <a:ea typeface="+mn-ea"/>
                  <a:cs typeface="+mn-cs"/>
                </a:rPr>
                <a:t>𝑇_(𝑀𝑃,𝑖, 𝑗, 𝑘)  × ∑ 〖𝑘𝑊〗_(𝑀𝑃,𝑖, 𝑗, 𝑘)=50% </a:t>
              </a:r>
              <a:r>
                <a:rPr lang="nl-BE" sz="1100" b="0" i="0">
                  <a:solidFill>
                    <a:schemeClr val="tx1"/>
                  </a:solidFill>
                  <a:effectLst/>
                  <a:latin typeface="Cambria Math" panose="02040503050406030204" pitchFamily="18" charset="0"/>
                  <a:ea typeface="Cambria Math" panose="02040503050406030204" pitchFamily="18" charset="0"/>
                  <a:cs typeface="+mn-cs"/>
                </a:rPr>
                <a:t>×(</a:t>
              </a:r>
              <a:r>
                <a:rPr lang="nl-BE" sz="1100" b="0" i="0">
                  <a:solidFill>
                    <a:schemeClr val="tx1"/>
                  </a:solidFill>
                  <a:effectLst/>
                  <a:latin typeface="Cambria Math" panose="02040503050406030204" pitchFamily="18" charset="0"/>
                  <a:ea typeface="+mn-ea"/>
                  <a:cs typeface="+mn-cs"/>
                </a:rPr>
                <a:t>𝐵_(𝑁𝑒𝑡𝑔𝑒𝑏𝑟𝑢𝑖𝑘,𝑖, 𝑗, 𝑘)  − 𝑇_(𝑀𝑃−𝑇𝑉,𝑖, 𝑗, 𝑘)  × ∑ 〖𝑘𝑊〗_(𝑀𝑃−𝑇𝑉,𝑖, 𝑗, 𝑘))</a:t>
              </a:r>
              <a:r>
                <a:rPr lang="nl-BE" sz="1100"/>
                <a:t> </a:t>
              </a:r>
            </a:p>
          </xdr:txBody>
        </xdr:sp>
      </mc:Fallback>
    </mc:AlternateContent>
    <xdr:clientData/>
  </xdr:oneCellAnchor>
  <xdr:oneCellAnchor>
    <xdr:from>
      <xdr:col>1</xdr:col>
      <xdr:colOff>0</xdr:colOff>
      <xdr:row>94</xdr:row>
      <xdr:rowOff>0</xdr:rowOff>
    </xdr:from>
    <xdr:ext cx="1753236" cy="183192"/>
    <mc:AlternateContent xmlns:mc="http://schemas.openxmlformats.org/markup-compatibility/2006" xmlns:a14="http://schemas.microsoft.com/office/drawing/2010/main">
      <mc:Choice Requires="a14">
        <xdr:sp macro="" textlink="">
          <xdr:nvSpPr>
            <xdr:cNvPr id="29" name="Tekstvak 28">
              <a:extLst>
                <a:ext uri="{FF2B5EF4-FFF2-40B4-BE49-F238E27FC236}">
                  <a16:creationId xmlns:a16="http://schemas.microsoft.com/office/drawing/2014/main" id="{AF844C41-D774-4A23-B887-9C235BBC16A2}"/>
                </a:ext>
              </a:extLst>
            </xdr:cNvPr>
            <xdr:cNvSpPr txBox="1"/>
          </xdr:nvSpPr>
          <xdr:spPr>
            <a:xfrm>
              <a:off x="381000" y="18978563"/>
              <a:ext cx="1753236"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𝑇</m:t>
                        </m:r>
                      </m:e>
                      <m:sub>
                        <m:r>
                          <a:rPr lang="nl-BE" sz="1100" b="0" i="1">
                            <a:latin typeface="Cambria Math" panose="02040503050406030204" pitchFamily="18" charset="0"/>
                          </a:rPr>
                          <m:t>𝑀𝑃</m:t>
                        </m:r>
                        <m:r>
                          <a:rPr lang="nl-BE" sz="1100" b="0" i="1">
                            <a:latin typeface="Cambria Math" panose="02040503050406030204" pitchFamily="18" charset="0"/>
                          </a:rPr>
                          <m:t>−</m:t>
                        </m:r>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=1,5 </m:t>
                    </m:r>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oMath>
                </m:oMathPara>
              </a14:m>
              <a:endParaRPr lang="nl-BE" sz="1100"/>
            </a:p>
          </xdr:txBody>
        </xdr:sp>
      </mc:Choice>
      <mc:Fallback xmlns="">
        <xdr:sp macro="" textlink="">
          <xdr:nvSpPr>
            <xdr:cNvPr id="29" name="Tekstvak 28">
              <a:extLst>
                <a:ext uri="{FF2B5EF4-FFF2-40B4-BE49-F238E27FC236}">
                  <a16:creationId xmlns:a16="http://schemas.microsoft.com/office/drawing/2014/main" id="{AF844C41-D774-4A23-B887-9C235BBC16A2}"/>
                </a:ext>
              </a:extLst>
            </xdr:cNvPr>
            <xdr:cNvSpPr txBox="1"/>
          </xdr:nvSpPr>
          <xdr:spPr>
            <a:xfrm>
              <a:off x="381000" y="18978563"/>
              <a:ext cx="1753236" cy="1831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𝑇_(𝑀𝑃−𝑇𝑉,𝑖, 𝑗, 𝑘)=1,5 </a:t>
              </a:r>
              <a:r>
                <a:rPr lang="nl-BE" sz="1100" b="0" i="0">
                  <a:latin typeface="Cambria Math" panose="02040503050406030204" pitchFamily="18" charset="0"/>
                  <a:ea typeface="Cambria Math" panose="02040503050406030204" pitchFamily="18" charset="0"/>
                </a:rPr>
                <a:t>× 𝑇_(𝑇𝑉,𝑖, 𝑗, 𝑘)</a:t>
              </a:r>
              <a:endParaRPr lang="nl-BE" sz="1100"/>
            </a:p>
          </xdr:txBody>
        </xdr:sp>
      </mc:Fallback>
    </mc:AlternateContent>
    <xdr:clientData/>
  </xdr:oneCellAnchor>
  <xdr:oneCellAnchor>
    <xdr:from>
      <xdr:col>1</xdr:col>
      <xdr:colOff>0</xdr:colOff>
      <xdr:row>98</xdr:row>
      <xdr:rowOff>0</xdr:rowOff>
    </xdr:from>
    <xdr:ext cx="5046061" cy="183320"/>
    <mc:AlternateContent xmlns:mc="http://schemas.openxmlformats.org/markup-compatibility/2006" xmlns:a14="http://schemas.microsoft.com/office/drawing/2010/main">
      <mc:Choice Requires="a14">
        <xdr:sp macro="" textlink="">
          <xdr:nvSpPr>
            <xdr:cNvPr id="30" name="Tekstvak 29">
              <a:extLst>
                <a:ext uri="{FF2B5EF4-FFF2-40B4-BE49-F238E27FC236}">
                  <a16:creationId xmlns:a16="http://schemas.microsoft.com/office/drawing/2014/main" id="{7863AE48-888B-43C7-A8A5-9BE3DAC333E9}"/>
                </a:ext>
              </a:extLst>
            </xdr:cNvPr>
            <xdr:cNvSpPr txBox="1"/>
          </xdr:nvSpPr>
          <xdr:spPr>
            <a:xfrm>
              <a:off x="381000" y="19740563"/>
              <a:ext cx="5046061"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𝐵</m:t>
                        </m:r>
                      </m:e>
                      <m:sub>
                        <m:r>
                          <a:rPr lang="nl-BE" sz="1100" b="0" i="1">
                            <a:latin typeface="Cambria Math" panose="02040503050406030204" pitchFamily="18" charset="0"/>
                          </a:rPr>
                          <m:t>𝑁𝑒𝑡𝑔𝑒𝑏𝑟𝑢𝑖𝑘</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=2 </m:t>
                    </m:r>
                    <m:r>
                      <a:rPr lang="nl-BE" sz="1100" b="0" i="1">
                        <a:latin typeface="Cambria Math" panose="02040503050406030204" pitchFamily="18" charset="0"/>
                        <a:ea typeface="Cambria Math" panose="02040503050406030204" pitchFamily="18" charset="0"/>
                      </a:rPr>
                      <m:t>× </m:t>
                    </m:r>
                    <m:sSub>
                      <m:sSubPr>
                        <m:ctrlPr>
                          <a:rPr lang="nl-BE" sz="1100" b="0" i="1">
                            <a:latin typeface="Cambria Math" panose="02040503050406030204" pitchFamily="18" charset="0"/>
                          </a:rPr>
                        </m:ctrlPr>
                      </m:sSubPr>
                      <m:e>
                        <m:r>
                          <a:rPr lang="nl-BE" sz="1100" b="0" i="1">
                            <a:latin typeface="Cambria Math" panose="02040503050406030204" pitchFamily="18" charset="0"/>
                          </a:rPr>
                          <m:t>𝑇</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r>
                      <a:rPr lang="nl-BE" sz="1100" b="0" i="1">
                        <a:latin typeface="Cambria Math" panose="02040503050406030204" pitchFamily="18" charset="0"/>
                        <a:ea typeface="Cambria Math" panose="02040503050406030204" pitchFamily="18" charset="0"/>
                      </a:rPr>
                      <m:t>×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𝑘𝑉𝐴</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+1,5 ×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𝑇</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 ×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rPr>
                      <m:t> </m:t>
                    </m:r>
                  </m:oMath>
                </m:oMathPara>
              </a14:m>
              <a:endParaRPr lang="nl-BE" sz="1100"/>
            </a:p>
          </xdr:txBody>
        </xdr:sp>
      </mc:Choice>
      <mc:Fallback xmlns="">
        <xdr:sp macro="" textlink="">
          <xdr:nvSpPr>
            <xdr:cNvPr id="30" name="Tekstvak 29">
              <a:extLst>
                <a:ext uri="{FF2B5EF4-FFF2-40B4-BE49-F238E27FC236}">
                  <a16:creationId xmlns:a16="http://schemas.microsoft.com/office/drawing/2014/main" id="{7863AE48-888B-43C7-A8A5-9BE3DAC333E9}"/>
                </a:ext>
              </a:extLst>
            </xdr:cNvPr>
            <xdr:cNvSpPr txBox="1"/>
          </xdr:nvSpPr>
          <xdr:spPr>
            <a:xfrm>
              <a:off x="381000" y="19740563"/>
              <a:ext cx="5046061"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𝐵_(𝑁𝑒𝑡𝑔𝑒𝑏𝑟𝑢𝑖𝑘,𝑖, 𝑗, 𝑘)=2 </a:t>
              </a:r>
              <a:r>
                <a:rPr lang="nl-BE" sz="1100" b="0" i="0">
                  <a:latin typeface="Cambria Math" panose="02040503050406030204" pitchFamily="18" charset="0"/>
                  <a:ea typeface="Cambria Math" panose="02040503050406030204" pitchFamily="18" charset="0"/>
                </a:rPr>
                <a:t>× </a:t>
              </a:r>
              <a:r>
                <a:rPr lang="nl-BE" sz="1100" b="0" i="0">
                  <a:latin typeface="Cambria Math" panose="02040503050406030204" pitchFamily="18" charset="0"/>
                </a:rPr>
                <a:t>𝑇_(𝑇𝑉,𝑖, 𝑗, 𝑘)  </a:t>
              </a:r>
              <a:r>
                <a:rPr lang="nl-BE" sz="1100" b="0" i="0">
                  <a:latin typeface="Cambria Math" panose="02040503050406030204" pitchFamily="18" charset="0"/>
                  <a:ea typeface="Cambria Math" panose="02040503050406030204" pitchFamily="18" charset="0"/>
                </a:rPr>
                <a:t>×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〖𝑘𝑉𝐴〗_(𝑇𝑉,𝑖, 𝑗, 𝑘)+1,5 × 𝑇_(𝑇𝑉,𝑖, 𝑗, 𝑘)  ×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〖𝑘𝑊〗_(𝑀𝑃−𝑇𝑉,𝑖, 𝑗, 𝑘) </a:t>
              </a:r>
              <a:r>
                <a:rPr lang="nl-BE" sz="1100" b="0" i="0">
                  <a:latin typeface="Cambria Math" panose="02040503050406030204" pitchFamily="18" charset="0"/>
                </a:rPr>
                <a:t> </a:t>
              </a:r>
              <a:endParaRPr lang="nl-BE" sz="1100"/>
            </a:p>
          </xdr:txBody>
        </xdr:sp>
      </mc:Fallback>
    </mc:AlternateContent>
    <xdr:clientData/>
  </xdr:oneCellAnchor>
  <xdr:oneCellAnchor>
    <xdr:from>
      <xdr:col>1</xdr:col>
      <xdr:colOff>0</xdr:colOff>
      <xdr:row>102</xdr:row>
      <xdr:rowOff>0</xdr:rowOff>
    </xdr:from>
    <xdr:ext cx="4579074" cy="183320"/>
    <mc:AlternateContent xmlns:mc="http://schemas.openxmlformats.org/markup-compatibility/2006" xmlns:a14="http://schemas.microsoft.com/office/drawing/2010/main">
      <mc:Choice Requires="a14">
        <xdr:sp macro="" textlink="">
          <xdr:nvSpPr>
            <xdr:cNvPr id="31" name="Tekstvak 30">
              <a:extLst>
                <a:ext uri="{FF2B5EF4-FFF2-40B4-BE49-F238E27FC236}">
                  <a16:creationId xmlns:a16="http://schemas.microsoft.com/office/drawing/2014/main" id="{94980BC4-17ED-4FA7-8DB0-E4210084F724}"/>
                </a:ext>
              </a:extLst>
            </xdr:cNvPr>
            <xdr:cNvSpPr txBox="1"/>
          </xdr:nvSpPr>
          <xdr:spPr>
            <a:xfrm>
              <a:off x="381000" y="20502563"/>
              <a:ext cx="4579074"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𝐵</m:t>
                        </m:r>
                      </m:e>
                      <m:sub>
                        <m:r>
                          <a:rPr lang="nl-BE" sz="1100" b="0" i="1">
                            <a:latin typeface="Cambria Math" panose="02040503050406030204" pitchFamily="18" charset="0"/>
                          </a:rPr>
                          <m:t>𝑁𝑒𝑡𝑔𝑒𝑏𝑟𝑢𝑖𝑘</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𝑇</m:t>
                        </m:r>
                      </m:e>
                      <m:sub>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Cambria Math" panose="02040503050406030204" pitchFamily="18" charset="0"/>
                        <a:cs typeface="+mn-cs"/>
                      </a:rPr>
                      <m:t>×(</m:t>
                    </m:r>
                    <m:r>
                      <a:rPr lang="nl-BE" sz="1100" b="0" i="1">
                        <a:latin typeface="Cambria Math" panose="02040503050406030204" pitchFamily="18" charset="0"/>
                      </a:rPr>
                      <m:t>2 </m:t>
                    </m:r>
                    <m:r>
                      <a:rPr lang="nl-BE" sz="1100" b="0" i="1">
                        <a:latin typeface="Cambria Math" panose="02040503050406030204" pitchFamily="18" charset="0"/>
                        <a:ea typeface="Cambria Math" panose="02040503050406030204" pitchFamily="18" charset="0"/>
                      </a:rPr>
                      <m:t>×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𝑘𝑉𝐴</m:t>
                        </m:r>
                      </m:e>
                      <m:sub>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+1,5 × </m:t>
                    </m:r>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ea typeface="Cambria Math" panose="02040503050406030204" pitchFamily="18" charset="0"/>
                          </a:rPr>
                        </m:ctrlPr>
                      </m:sSubPr>
                      <m:e>
                        <m:r>
                          <a:rPr lang="nl-BE" sz="1100" b="0" i="1">
                            <a:latin typeface="Cambria Math" panose="02040503050406030204" pitchFamily="18" charset="0"/>
                            <a:ea typeface="Cambria Math" panose="02040503050406030204" pitchFamily="18" charset="0"/>
                          </a:rPr>
                          <m:t>𝑘𝑊</m:t>
                        </m:r>
                      </m:e>
                      <m:sub>
                        <m:r>
                          <a:rPr lang="nl-BE" sz="1100" b="0" i="1">
                            <a:latin typeface="Cambria Math" panose="02040503050406030204" pitchFamily="18" charset="0"/>
                            <a:ea typeface="Cambria Math" panose="02040503050406030204" pitchFamily="18" charset="0"/>
                          </a:rPr>
                          <m:t>𝑀𝑃</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𝑇𝑉</m:t>
                        </m:r>
                        <m:r>
                          <a:rPr lang="nl-BE" sz="1100" b="0" i="1">
                            <a:latin typeface="Cambria Math" panose="02040503050406030204" pitchFamily="18" charset="0"/>
                            <a:ea typeface="Cambria Math" panose="02040503050406030204" pitchFamily="18" charset="0"/>
                          </a:rPr>
                          <m:t>,</m:t>
                        </m:r>
                        <m:r>
                          <a:rPr lang="nl-BE" sz="1100" b="0" i="1">
                            <a:latin typeface="Cambria Math" panose="02040503050406030204" pitchFamily="18" charset="0"/>
                            <a:ea typeface="Cambria Math" panose="02040503050406030204" pitchFamily="18" charset="0"/>
                          </a:rPr>
                          <m:t>𝑖</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𝑗</m:t>
                        </m:r>
                        <m:r>
                          <a:rPr lang="nl-BE" sz="1100" b="0" i="1">
                            <a:latin typeface="Cambria Math" panose="02040503050406030204" pitchFamily="18" charset="0"/>
                            <a:ea typeface="Cambria Math" panose="02040503050406030204" pitchFamily="18" charset="0"/>
                          </a:rPr>
                          <m:t>, </m:t>
                        </m:r>
                        <m:r>
                          <a:rPr lang="nl-BE" sz="1100" b="0" i="1">
                            <a:latin typeface="Cambria Math" panose="02040503050406030204" pitchFamily="18" charset="0"/>
                            <a:ea typeface="Cambria Math" panose="02040503050406030204" pitchFamily="18" charset="0"/>
                          </a:rPr>
                          <m:t>𝑘</m:t>
                        </m:r>
                      </m:sub>
                    </m:sSub>
                    <m:r>
                      <a:rPr lang="nl-BE" sz="1100" b="0" i="1">
                        <a:latin typeface="Cambria Math" panose="02040503050406030204" pitchFamily="18" charset="0"/>
                        <a:ea typeface="Cambria Math" panose="02040503050406030204" pitchFamily="18" charset="0"/>
                      </a:rPr>
                      <m:t>)</m:t>
                    </m:r>
                  </m:oMath>
                </m:oMathPara>
              </a14:m>
              <a:endParaRPr lang="nl-BE" sz="1100"/>
            </a:p>
          </xdr:txBody>
        </xdr:sp>
      </mc:Choice>
      <mc:Fallback xmlns="">
        <xdr:sp macro="" textlink="">
          <xdr:nvSpPr>
            <xdr:cNvPr id="31" name="Tekstvak 30">
              <a:extLst>
                <a:ext uri="{FF2B5EF4-FFF2-40B4-BE49-F238E27FC236}">
                  <a16:creationId xmlns:a16="http://schemas.microsoft.com/office/drawing/2014/main" id="{94980BC4-17ED-4FA7-8DB0-E4210084F724}"/>
                </a:ext>
              </a:extLst>
            </xdr:cNvPr>
            <xdr:cNvSpPr txBox="1"/>
          </xdr:nvSpPr>
          <xdr:spPr>
            <a:xfrm>
              <a:off x="381000" y="20502563"/>
              <a:ext cx="4579074" cy="1833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b="0" i="0">
                  <a:latin typeface="Cambria Math" panose="02040503050406030204" pitchFamily="18" charset="0"/>
                </a:rPr>
                <a:t>𝐵_(𝑁𝑒𝑡𝑔𝑒𝑏𝑟𝑢𝑖𝑘,𝑖, 𝑗, 𝑘)=</a:t>
              </a:r>
              <a:r>
                <a:rPr lang="nl-BE" sz="1100" b="0" i="0">
                  <a:solidFill>
                    <a:schemeClr val="tx1"/>
                  </a:solidFill>
                  <a:effectLst/>
                  <a:latin typeface="Cambria Math" panose="02040503050406030204" pitchFamily="18" charset="0"/>
                  <a:ea typeface="+mn-ea"/>
                  <a:cs typeface="+mn-cs"/>
                </a:rPr>
                <a:t>𝑇_(𝑇𝑉,𝑖, 𝑗, 𝑘)  </a:t>
              </a:r>
              <a:r>
                <a:rPr lang="nl-BE" sz="1100" b="0" i="0">
                  <a:solidFill>
                    <a:schemeClr val="tx1"/>
                  </a:solidFill>
                  <a:effectLst/>
                  <a:latin typeface="Cambria Math" panose="02040503050406030204" pitchFamily="18" charset="0"/>
                  <a:ea typeface="Cambria Math" panose="02040503050406030204" pitchFamily="18" charset="0"/>
                  <a:cs typeface="+mn-cs"/>
                </a:rPr>
                <a:t>×(</a:t>
              </a:r>
              <a:r>
                <a:rPr lang="nl-BE" sz="1100" b="0" i="0">
                  <a:latin typeface="Cambria Math" panose="02040503050406030204" pitchFamily="18" charset="0"/>
                </a:rPr>
                <a:t>2 </a:t>
              </a:r>
              <a:r>
                <a:rPr lang="nl-BE" sz="1100" b="0" i="0">
                  <a:latin typeface="Cambria Math" panose="02040503050406030204" pitchFamily="18" charset="0"/>
                  <a:ea typeface="Cambria Math" panose="02040503050406030204" pitchFamily="18" charset="0"/>
                </a:rPr>
                <a:t>×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〖𝑘𝑉𝐴〗_(𝑇𝑉,𝑖, 𝑗, 𝑘)+1,5 × </a:t>
              </a:r>
              <a:r>
                <a:rPr lang="nl-BE" sz="1100" b="0" i="0">
                  <a:solidFill>
                    <a:schemeClr val="tx1"/>
                  </a:solidFill>
                  <a:effectLst/>
                  <a:latin typeface="Cambria Math" panose="02040503050406030204" pitchFamily="18" charset="0"/>
                  <a:ea typeface="+mn-ea"/>
                  <a:cs typeface="+mn-cs"/>
                </a:rPr>
                <a:t>∑ </a:t>
              </a:r>
              <a:r>
                <a:rPr lang="nl-BE" sz="1100" b="0" i="0">
                  <a:latin typeface="Cambria Math" panose="02040503050406030204" pitchFamily="18" charset="0"/>
                  <a:ea typeface="Cambria Math" panose="02040503050406030204" pitchFamily="18" charset="0"/>
                </a:rPr>
                <a:t>〖𝑘𝑊〗_(𝑀𝑃−𝑇𝑉,𝑖, 𝑗, 𝑘))</a:t>
              </a:r>
              <a:endParaRPr lang="nl-BE" sz="1100"/>
            </a:p>
          </xdr:txBody>
        </xdr:sp>
      </mc:Fallback>
    </mc:AlternateContent>
    <xdr:clientData/>
  </xdr:oneCellAnchor>
  <xdr:oneCellAnchor>
    <xdr:from>
      <xdr:col>1</xdr:col>
      <xdr:colOff>0</xdr:colOff>
      <xdr:row>106</xdr:row>
      <xdr:rowOff>0</xdr:rowOff>
    </xdr:from>
    <xdr:ext cx="4616777" cy="374013"/>
    <mc:AlternateContent xmlns:mc="http://schemas.openxmlformats.org/markup-compatibility/2006" xmlns:a14="http://schemas.microsoft.com/office/drawing/2010/main">
      <mc:Choice Requires="a14">
        <xdr:sp macro="" textlink="">
          <xdr:nvSpPr>
            <xdr:cNvPr id="32" name="Tekstvak 31">
              <a:extLst>
                <a:ext uri="{FF2B5EF4-FFF2-40B4-BE49-F238E27FC236}">
                  <a16:creationId xmlns:a16="http://schemas.microsoft.com/office/drawing/2014/main" id="{BE684BA5-61C9-4283-B30F-BA4592431EDF}"/>
                </a:ext>
              </a:extLst>
            </xdr:cNvPr>
            <xdr:cNvSpPr txBox="1"/>
          </xdr:nvSpPr>
          <xdr:spPr>
            <a:xfrm>
              <a:off x="381000" y="21455063"/>
              <a:ext cx="4616777"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
                  </m:oMathParaPr>
                  <m:oMath xmlns:m="http://schemas.openxmlformats.org/officeDocument/2006/math">
                    <m:sSub>
                      <m:sSubPr>
                        <m:ctrlPr>
                          <a:rPr lang="nl-BE" sz="1100" i="1">
                            <a:latin typeface="Cambria Math" panose="02040503050406030204" pitchFamily="18" charset="0"/>
                          </a:rPr>
                        </m:ctrlPr>
                      </m:sSubPr>
                      <m:e>
                        <m:r>
                          <a:rPr lang="nl-BE" sz="1100" b="0" i="1">
                            <a:latin typeface="Cambria Math" panose="02040503050406030204" pitchFamily="18" charset="0"/>
                          </a:rPr>
                          <m:t>𝑃𝑟𝑜𝑐𝑒𝑛𝑡𝑢𝑒𝑒𝑙</m:t>
                        </m:r>
                        <m:r>
                          <a:rPr lang="nl-BE" sz="1100" b="0" i="1">
                            <a:latin typeface="Cambria Math" panose="02040503050406030204" pitchFamily="18" charset="0"/>
                          </a:rPr>
                          <m:t> </m:t>
                        </m:r>
                        <m:r>
                          <a:rPr lang="nl-BE" sz="1100" b="0" i="1">
                            <a:latin typeface="Cambria Math" panose="02040503050406030204" pitchFamily="18" charset="0"/>
                          </a:rPr>
                          <m:t>𝑎𝑎𝑛𝑑𝑒𝑒𝑙</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r>
                      <a:rPr lang="nl-BE" sz="1100" b="0" i="1">
                        <a:latin typeface="Cambria Math" panose="02040503050406030204" pitchFamily="18" charset="0"/>
                      </a:rPr>
                      <m:t>= </m:t>
                    </m:r>
                    <m:f>
                      <m:fPr>
                        <m:ctrlPr>
                          <a:rPr lang="nl-BE" sz="1100" b="0" i="1">
                            <a:latin typeface="Cambria Math" panose="02040503050406030204" pitchFamily="18" charset="0"/>
                          </a:rPr>
                        </m:ctrlPr>
                      </m:fPr>
                      <m:num>
                        <m:r>
                          <a:rPr lang="nl-BE" sz="1100" b="0" i="1">
                            <a:solidFill>
                              <a:schemeClr val="tx1"/>
                            </a:solidFill>
                            <a:effectLst/>
                            <a:latin typeface="Cambria Math" panose="02040503050406030204" pitchFamily="18" charset="0"/>
                            <a:ea typeface="+mn-ea"/>
                            <a:cs typeface="+mn-cs"/>
                          </a:rPr>
                          <m:t>∑ </m:t>
                        </m:r>
                        <m:sSub>
                          <m:sSubPr>
                            <m:ctrlPr>
                              <a:rPr lang="nl-BE" sz="1100" b="0" i="1">
                                <a:latin typeface="Cambria Math" panose="02040503050406030204" pitchFamily="18" charset="0"/>
                              </a:rPr>
                            </m:ctrlPr>
                          </m:sSubPr>
                          <m:e>
                            <m:r>
                              <a:rPr lang="nl-BE" sz="1100" b="0" i="1">
                                <a:latin typeface="Cambria Math" panose="02040503050406030204" pitchFamily="18" charset="0"/>
                              </a:rPr>
                              <m:t>𝑘𝑉𝐴</m:t>
                            </m:r>
                          </m:e>
                          <m:sub>
                            <m:r>
                              <a:rPr lang="nl-BE" sz="1100" b="0" i="1">
                                <a:latin typeface="Cambria Math" panose="02040503050406030204" pitchFamily="18" charset="0"/>
                              </a:rPr>
                              <m:t>𝑇𝑉</m:t>
                            </m:r>
                            <m:r>
                              <a:rPr lang="nl-BE" sz="1100" b="0" i="1">
                                <a:latin typeface="Cambria Math" panose="02040503050406030204" pitchFamily="18" charset="0"/>
                              </a:rPr>
                              <m:t>,</m:t>
                            </m:r>
                            <m:r>
                              <a:rPr lang="nl-BE" sz="1100" b="0" i="1">
                                <a:latin typeface="Cambria Math" panose="02040503050406030204" pitchFamily="18" charset="0"/>
                              </a:rPr>
                              <m:t>𝑖</m:t>
                            </m:r>
                            <m:r>
                              <a:rPr lang="nl-BE" sz="1100" b="0" i="1">
                                <a:latin typeface="Cambria Math" panose="02040503050406030204" pitchFamily="18" charset="0"/>
                              </a:rPr>
                              <m:t>, </m:t>
                            </m:r>
                            <m:r>
                              <a:rPr lang="nl-BE" sz="1100" b="0" i="1">
                                <a:latin typeface="Cambria Math" panose="02040503050406030204" pitchFamily="18" charset="0"/>
                              </a:rPr>
                              <m:t>𝑗</m:t>
                            </m:r>
                            <m:r>
                              <a:rPr lang="nl-BE" sz="1100" b="0" i="1">
                                <a:latin typeface="Cambria Math" panose="02040503050406030204" pitchFamily="18" charset="0"/>
                              </a:rPr>
                              <m:t>, </m:t>
                            </m:r>
                            <m:r>
                              <a:rPr lang="nl-BE" sz="1100" b="0" i="1">
                                <a:latin typeface="Cambria Math" panose="02040503050406030204" pitchFamily="18" charset="0"/>
                              </a:rPr>
                              <m:t>𝑘</m:t>
                            </m:r>
                          </m:sub>
                        </m:sSub>
                      </m:num>
                      <m:den>
                        <m:r>
                          <a:rPr lang="nl-BE" sz="1100" b="0" i="1">
                            <a:latin typeface="Cambria Math" panose="02040503050406030204" pitchFamily="18" charset="0"/>
                          </a:rPr>
                          <m:t>(</m:t>
                        </m:r>
                        <m:r>
                          <a:rPr lang="nl-BE" sz="1100" b="0" i="1">
                            <a:solidFill>
                              <a:schemeClr val="tx1"/>
                            </a:solidFill>
                            <a:effectLst/>
                            <a:latin typeface="Cambria Math" panose="02040503050406030204" pitchFamily="18" charset="0"/>
                            <a:ea typeface="+mn-ea"/>
                            <a:cs typeface="+mn-cs"/>
                          </a:rPr>
                          <m:t>2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𝑘𝑉𝐴</m:t>
                            </m:r>
                          </m:e>
                          <m:sub>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+1,5 × ∑ </m:t>
                        </m:r>
                        <m:sSub>
                          <m:sSubPr>
                            <m:ctrlPr>
                              <a:rPr lang="nl-BE" sz="1100" b="0" i="1">
                                <a:solidFill>
                                  <a:schemeClr val="tx1"/>
                                </a:solidFill>
                                <a:effectLst/>
                                <a:latin typeface="Cambria Math" panose="02040503050406030204" pitchFamily="18" charset="0"/>
                                <a:ea typeface="+mn-ea"/>
                                <a:cs typeface="+mn-cs"/>
                              </a:rPr>
                            </m:ctrlPr>
                          </m:sSubPr>
                          <m:e>
                            <m:r>
                              <a:rPr lang="nl-BE" sz="1100" b="0" i="1">
                                <a:solidFill>
                                  <a:schemeClr val="tx1"/>
                                </a:solidFill>
                                <a:effectLst/>
                                <a:latin typeface="Cambria Math" panose="02040503050406030204" pitchFamily="18" charset="0"/>
                                <a:ea typeface="+mn-ea"/>
                                <a:cs typeface="+mn-cs"/>
                              </a:rPr>
                              <m:t>𝑘𝑊</m:t>
                            </m:r>
                          </m:e>
                          <m:sub>
                            <m:r>
                              <a:rPr lang="nl-BE" sz="1100" b="0" i="1">
                                <a:solidFill>
                                  <a:schemeClr val="tx1"/>
                                </a:solidFill>
                                <a:effectLst/>
                                <a:latin typeface="Cambria Math" panose="02040503050406030204" pitchFamily="18" charset="0"/>
                                <a:ea typeface="+mn-ea"/>
                                <a:cs typeface="+mn-cs"/>
                              </a:rPr>
                              <m:t>𝑀𝑃</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𝑇𝑉</m:t>
                            </m:r>
                            <m:r>
                              <a:rPr lang="nl-BE" sz="1100" b="0" i="1">
                                <a:solidFill>
                                  <a:schemeClr val="tx1"/>
                                </a:solidFill>
                                <a:effectLst/>
                                <a:latin typeface="Cambria Math" panose="02040503050406030204" pitchFamily="18" charset="0"/>
                                <a:ea typeface="+mn-ea"/>
                                <a:cs typeface="+mn-cs"/>
                              </a:rPr>
                              <m:t>,</m:t>
                            </m:r>
                            <m:r>
                              <a:rPr lang="nl-BE" sz="1100" b="0" i="1">
                                <a:solidFill>
                                  <a:schemeClr val="tx1"/>
                                </a:solidFill>
                                <a:effectLst/>
                                <a:latin typeface="Cambria Math" panose="02040503050406030204" pitchFamily="18" charset="0"/>
                                <a:ea typeface="+mn-ea"/>
                                <a:cs typeface="+mn-cs"/>
                              </a:rPr>
                              <m:t>𝑖</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𝑗</m:t>
                            </m:r>
                            <m:r>
                              <a:rPr lang="nl-BE" sz="1100" b="0" i="1">
                                <a:solidFill>
                                  <a:schemeClr val="tx1"/>
                                </a:solidFill>
                                <a:effectLst/>
                                <a:latin typeface="Cambria Math" panose="02040503050406030204" pitchFamily="18" charset="0"/>
                                <a:ea typeface="+mn-ea"/>
                                <a:cs typeface="+mn-cs"/>
                              </a:rPr>
                              <m:t>, </m:t>
                            </m:r>
                            <m:r>
                              <a:rPr lang="nl-BE" sz="1100" b="0" i="1">
                                <a:solidFill>
                                  <a:schemeClr val="tx1"/>
                                </a:solidFill>
                                <a:effectLst/>
                                <a:latin typeface="Cambria Math" panose="02040503050406030204" pitchFamily="18" charset="0"/>
                                <a:ea typeface="+mn-ea"/>
                                <a:cs typeface="+mn-cs"/>
                              </a:rPr>
                              <m:t>𝑘</m:t>
                            </m:r>
                          </m:sub>
                        </m:sSub>
                        <m:r>
                          <a:rPr lang="nl-BE" sz="1100" b="0" i="1">
                            <a:solidFill>
                              <a:schemeClr val="tx1"/>
                            </a:solidFill>
                            <a:effectLst/>
                            <a:latin typeface="Cambria Math" panose="02040503050406030204" pitchFamily="18" charset="0"/>
                            <a:ea typeface="+mn-ea"/>
                            <a:cs typeface="+mn-cs"/>
                          </a:rPr>
                          <m:t>)</m:t>
                        </m:r>
                      </m:den>
                    </m:f>
                  </m:oMath>
                </m:oMathPara>
              </a14:m>
              <a:endParaRPr lang="nl-BE" sz="1100"/>
            </a:p>
          </xdr:txBody>
        </xdr:sp>
      </mc:Choice>
      <mc:Fallback xmlns="">
        <xdr:sp macro="" textlink="">
          <xdr:nvSpPr>
            <xdr:cNvPr id="32" name="Tekstvak 31">
              <a:extLst>
                <a:ext uri="{FF2B5EF4-FFF2-40B4-BE49-F238E27FC236}">
                  <a16:creationId xmlns:a16="http://schemas.microsoft.com/office/drawing/2014/main" id="{BE684BA5-61C9-4283-B30F-BA4592431EDF}"/>
                </a:ext>
              </a:extLst>
            </xdr:cNvPr>
            <xdr:cNvSpPr txBox="1"/>
          </xdr:nvSpPr>
          <xdr:spPr>
            <a:xfrm>
              <a:off x="381000" y="21455063"/>
              <a:ext cx="4616777" cy="374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nl-BE" sz="1100" i="0">
                  <a:latin typeface="Cambria Math" panose="02040503050406030204" pitchFamily="18" charset="0"/>
                </a:rPr>
                <a:t>〖</a:t>
              </a:r>
              <a:r>
                <a:rPr lang="nl-BE" sz="1100" b="0" i="0">
                  <a:latin typeface="Cambria Math" panose="02040503050406030204" pitchFamily="18" charset="0"/>
                </a:rPr>
                <a:t>𝑃𝑟𝑜𝑐𝑒𝑛𝑡𝑢𝑒𝑒𝑙 𝑎𝑎𝑛𝑑𝑒𝑒𝑙〗_(𝑇𝑉,𝑖, 𝑗, 𝑘)= </a:t>
              </a:r>
              <a:r>
                <a:rPr lang="nl-BE" sz="1100" b="0" i="0">
                  <a:solidFill>
                    <a:schemeClr val="tx1"/>
                  </a:solidFill>
                  <a:effectLst/>
                  <a:latin typeface="Cambria Math" panose="02040503050406030204" pitchFamily="18" charset="0"/>
                  <a:ea typeface="+mn-ea"/>
                  <a:cs typeface="+mn-cs"/>
                </a:rPr>
                <a:t> (∑ 〖</a:t>
              </a:r>
              <a:r>
                <a:rPr lang="nl-BE" sz="1100" b="0" i="0">
                  <a:latin typeface="Cambria Math" panose="02040503050406030204" pitchFamily="18" charset="0"/>
                </a:rPr>
                <a:t>𝑘𝑉𝐴〗_(𝑇𝑉,𝑖, 𝑗, 𝑘))/((</a:t>
              </a:r>
              <a:r>
                <a:rPr lang="nl-BE" sz="1100" b="0" i="0">
                  <a:solidFill>
                    <a:schemeClr val="tx1"/>
                  </a:solidFill>
                  <a:effectLst/>
                  <a:latin typeface="Cambria Math" panose="02040503050406030204" pitchFamily="18" charset="0"/>
                  <a:ea typeface="+mn-ea"/>
                  <a:cs typeface="+mn-cs"/>
                </a:rPr>
                <a:t>2 × ∑ 〖𝑘𝑉𝐴〗_(𝑇𝑉,𝑖, 𝑗, 𝑘)+1,5 × ∑ 〖𝑘𝑊〗_(𝑀𝑃−𝑇𝑉,𝑖, 𝑗, 𝑘)))</a:t>
              </a:r>
              <a:endParaRPr lang="nl-BE" sz="1100"/>
            </a:p>
          </xdr:txBody>
        </xdr:sp>
      </mc:Fallback>
    </mc:AlternateContent>
    <xdr:clientData/>
  </xdr:oneCellAnchor>
  <xdr:twoCellAnchor>
    <xdr:from>
      <xdr:col>3</xdr:col>
      <xdr:colOff>0</xdr:colOff>
      <xdr:row>63</xdr:row>
      <xdr:rowOff>0</xdr:rowOff>
    </xdr:from>
    <xdr:to>
      <xdr:col>3</xdr:col>
      <xdr:colOff>270000</xdr:colOff>
      <xdr:row>64</xdr:row>
      <xdr:rowOff>187500</xdr:rowOff>
    </xdr:to>
    <xdr:sp macro="" textlink="">
      <xdr:nvSpPr>
        <xdr:cNvPr id="17" name="Rechteraccolade 16">
          <a:extLst>
            <a:ext uri="{FF2B5EF4-FFF2-40B4-BE49-F238E27FC236}">
              <a16:creationId xmlns:a16="http://schemas.microsoft.com/office/drawing/2014/main" id="{22BFE544-8AEB-4C4A-B60A-4541BC96FBC3}"/>
            </a:ext>
          </a:extLst>
        </xdr:cNvPr>
        <xdr:cNvSpPr/>
      </xdr:nvSpPr>
      <xdr:spPr>
        <a:xfrm>
          <a:off x="5143500" y="15154275"/>
          <a:ext cx="270000" cy="378000"/>
        </a:xfrm>
        <a:prstGeom prst="rightBrace">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twoCellAnchor>
    <xdr:from>
      <xdr:col>3</xdr:col>
      <xdr:colOff>0</xdr:colOff>
      <xdr:row>66</xdr:row>
      <xdr:rowOff>0</xdr:rowOff>
    </xdr:from>
    <xdr:to>
      <xdr:col>3</xdr:col>
      <xdr:colOff>270000</xdr:colOff>
      <xdr:row>68</xdr:row>
      <xdr:rowOff>177000</xdr:rowOff>
    </xdr:to>
    <xdr:sp macro="" textlink="">
      <xdr:nvSpPr>
        <xdr:cNvPr id="18" name="Rechteraccolade 17">
          <a:extLst>
            <a:ext uri="{FF2B5EF4-FFF2-40B4-BE49-F238E27FC236}">
              <a16:creationId xmlns:a16="http://schemas.microsoft.com/office/drawing/2014/main" id="{CC090118-FB14-49C7-971A-69403042B63F}"/>
            </a:ext>
          </a:extLst>
        </xdr:cNvPr>
        <xdr:cNvSpPr/>
      </xdr:nvSpPr>
      <xdr:spPr>
        <a:xfrm>
          <a:off x="5143500" y="15725775"/>
          <a:ext cx="270000" cy="558000"/>
        </a:xfrm>
        <a:prstGeom prst="rightBrace">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twoCellAnchor>
    <xdr:from>
      <xdr:col>3</xdr:col>
      <xdr:colOff>0</xdr:colOff>
      <xdr:row>72</xdr:row>
      <xdr:rowOff>0</xdr:rowOff>
    </xdr:from>
    <xdr:to>
      <xdr:col>3</xdr:col>
      <xdr:colOff>270000</xdr:colOff>
      <xdr:row>73</xdr:row>
      <xdr:rowOff>187500</xdr:rowOff>
    </xdr:to>
    <xdr:sp macro="" textlink="">
      <xdr:nvSpPr>
        <xdr:cNvPr id="20" name="Rechteraccolade 19">
          <a:extLst>
            <a:ext uri="{FF2B5EF4-FFF2-40B4-BE49-F238E27FC236}">
              <a16:creationId xmlns:a16="http://schemas.microsoft.com/office/drawing/2014/main" id="{A11DEB04-1E6F-4CF1-81EA-AA99B9EBCC33}"/>
            </a:ext>
          </a:extLst>
        </xdr:cNvPr>
        <xdr:cNvSpPr/>
      </xdr:nvSpPr>
      <xdr:spPr>
        <a:xfrm>
          <a:off x="5143500" y="17249775"/>
          <a:ext cx="270000" cy="378000"/>
        </a:xfrm>
        <a:prstGeom prst="rightBrace">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twoCellAnchor>
    <xdr:from>
      <xdr:col>3</xdr:col>
      <xdr:colOff>0</xdr:colOff>
      <xdr:row>78</xdr:row>
      <xdr:rowOff>0</xdr:rowOff>
    </xdr:from>
    <xdr:to>
      <xdr:col>3</xdr:col>
      <xdr:colOff>270000</xdr:colOff>
      <xdr:row>82</xdr:row>
      <xdr:rowOff>156000</xdr:rowOff>
    </xdr:to>
    <xdr:sp macro="" textlink="">
      <xdr:nvSpPr>
        <xdr:cNvPr id="26" name="Rechteraccolade 25">
          <a:extLst>
            <a:ext uri="{FF2B5EF4-FFF2-40B4-BE49-F238E27FC236}">
              <a16:creationId xmlns:a16="http://schemas.microsoft.com/office/drawing/2014/main" id="{B0A07957-FD06-42E0-B094-D9A8DA8AFF47}"/>
            </a:ext>
          </a:extLst>
        </xdr:cNvPr>
        <xdr:cNvSpPr/>
      </xdr:nvSpPr>
      <xdr:spPr>
        <a:xfrm>
          <a:off x="5143500" y="18392775"/>
          <a:ext cx="270000" cy="918000"/>
        </a:xfrm>
        <a:prstGeom prst="rightBrace">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twoCellAnchor>
    <xdr:from>
      <xdr:col>3</xdr:col>
      <xdr:colOff>0</xdr:colOff>
      <xdr:row>74</xdr:row>
      <xdr:rowOff>0</xdr:rowOff>
    </xdr:from>
    <xdr:to>
      <xdr:col>3</xdr:col>
      <xdr:colOff>270000</xdr:colOff>
      <xdr:row>76</xdr:row>
      <xdr:rowOff>177000</xdr:rowOff>
    </xdr:to>
    <xdr:sp macro="" textlink="">
      <xdr:nvSpPr>
        <xdr:cNvPr id="34" name="Rechteraccolade 33">
          <a:extLst>
            <a:ext uri="{FF2B5EF4-FFF2-40B4-BE49-F238E27FC236}">
              <a16:creationId xmlns:a16="http://schemas.microsoft.com/office/drawing/2014/main" id="{5661A155-52F9-49EE-817F-2069ABE3EF58}"/>
            </a:ext>
          </a:extLst>
        </xdr:cNvPr>
        <xdr:cNvSpPr/>
      </xdr:nvSpPr>
      <xdr:spPr>
        <a:xfrm>
          <a:off x="5143500" y="16168688"/>
          <a:ext cx="270000" cy="558000"/>
        </a:xfrm>
        <a:prstGeom prst="rightBrace">
          <a:avLst/>
        </a:prstGeom>
        <a:ln>
          <a:solidFill>
            <a:schemeClr val="tx1"/>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nl-BE"/>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0</xdr:colOff>
      <xdr:row>26</xdr:row>
      <xdr:rowOff>0</xdr:rowOff>
    </xdr:from>
    <xdr:to>
      <xdr:col>26</xdr:col>
      <xdr:colOff>180000</xdr:colOff>
      <xdr:row>29</xdr:row>
      <xdr:rowOff>7700</xdr:rowOff>
    </xdr:to>
    <xdr:sp macro="" textlink="">
      <xdr:nvSpPr>
        <xdr:cNvPr id="4" name="Rechteraccolade 3">
          <a:extLst>
            <a:ext uri="{FF2B5EF4-FFF2-40B4-BE49-F238E27FC236}">
              <a16:creationId xmlns:a16="http://schemas.microsoft.com/office/drawing/2014/main" id="{7A9E440E-F6D6-43F8-A0FE-A567C50477B9}"/>
            </a:ext>
          </a:extLst>
        </xdr:cNvPr>
        <xdr:cNvSpPr/>
      </xdr:nvSpPr>
      <xdr:spPr>
        <a:xfrm>
          <a:off x="28241625" y="5734050"/>
          <a:ext cx="180000" cy="664925"/>
        </a:xfrm>
        <a:prstGeom prst="rightBrac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nl-BE"/>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89</xdr:row>
      <xdr:rowOff>0</xdr:rowOff>
    </xdr:from>
    <xdr:to>
      <xdr:col>20</xdr:col>
      <xdr:colOff>180000</xdr:colOff>
      <xdr:row>98</xdr:row>
      <xdr:rowOff>20925</xdr:rowOff>
    </xdr:to>
    <xdr:sp macro="" textlink="">
      <xdr:nvSpPr>
        <xdr:cNvPr id="2" name="Rechteraccolade 1">
          <a:extLst>
            <a:ext uri="{FF2B5EF4-FFF2-40B4-BE49-F238E27FC236}">
              <a16:creationId xmlns:a16="http://schemas.microsoft.com/office/drawing/2014/main" id="{98055D6C-C304-4090-9388-839EE376475C}"/>
            </a:ext>
          </a:extLst>
        </xdr:cNvPr>
        <xdr:cNvSpPr/>
      </xdr:nvSpPr>
      <xdr:spPr>
        <a:xfrm>
          <a:off x="36957000" y="17678400"/>
          <a:ext cx="180000" cy="1764000"/>
        </a:xfrm>
        <a:prstGeom prst="rightBrace">
          <a:avLst/>
        </a:prstGeom>
        <a:ln>
          <a:solidFill>
            <a:schemeClr val="bg1">
              <a:lumMod val="50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nl-BE"/>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B9C0256-522C-4500-A104-EEE36D4B440B}" name="VDSL1" displayName="VDSL1" ref="A8:H15" totalsRowShown="0" headerRowDxfId="243" dataDxfId="241" headerRowBorderDxfId="242">
  <autoFilter ref="A8:H15" xr:uid="{3F01A018-F417-4067-AE1E-E505AC44CF1F}"/>
  <tableColumns count="8">
    <tableColumn id="1" xr3:uid="{6874F31C-D82F-4ADE-A6C6-62BF35855968}" name="Verdeelsleutel" dataDxfId="240"/>
    <tableColumn id="8" xr3:uid="{06312C8F-ADAE-410F-AE6D-BE3F747F7CB0}" name="Eenheid" dataDxfId="239"/>
    <tableColumn id="2" xr3:uid="{55E325AA-E396-4C95-85E4-33CE88216184}" name="Afname (x)" dataDxfId="238"/>
    <tableColumn id="3" xr3:uid="{4FCDE1CB-E3FC-4DC3-A325-8E10556FB857}" name="Injectie (x)" dataDxfId="237"/>
    <tableColumn id="4" xr3:uid="{C374856D-F52A-4DAD-8FE7-666E35F3FB79}" name="Afname (#)" dataDxfId="236"/>
    <tableColumn id="5" xr3:uid="{66A1960F-A2D8-4F1A-8BF1-5AB85E640531}" name="Injectie (#)" dataDxfId="235">
      <calculatedColumnFormula>INDEX(Rekenvolumes[Injectieklanten (∑)],12)+INDEX(Rekenvolumes[Injectieklanten (∑)],13)</calculatedColumnFormula>
    </tableColumn>
    <tableColumn id="6" xr3:uid="{09407821-230D-4042-9E26-CEBCCD8F27CD}" name="Afname (%)" dataDxfId="234">
      <calculatedColumnFormula>IF(ISNUMBER($E9),$E9/SUM($E9:$F9),"")</calculatedColumnFormula>
    </tableColumn>
    <tableColumn id="7" xr3:uid="{765A5DC3-A550-452D-8D36-19E819D8033D}" name="Injectie (%)" dataDxfId="233">
      <calculatedColumnFormula>IF(ISNUMBER($F9),$F9/SUM($E9:$F9),"")</calculatedColumnFormula>
    </tableColum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96FE027-2637-4C9E-9200-F0964967CB9C}" name="VDSL2" displayName="VDSL2" ref="A20:N43" totalsRowShown="0" headerRowDxfId="232" dataDxfId="230" headerRowBorderDxfId="231">
  <autoFilter ref="A20:N43" xr:uid="{F9554A6E-3861-4B70-8F48-93E413F87EE1}"/>
  <tableColumns count="14">
    <tableColumn id="1" xr3:uid="{AEA75F0E-2C8F-4692-AAE5-936E9D0EDE4A}" name="Verdeelsleutel" dataDxfId="229"/>
    <tableColumn id="16" xr3:uid="{B89B5C8A-5432-4BF4-A5AD-EF773FA21531}" name="Eenheid" dataDxfId="228"/>
    <tableColumn id="2" xr3:uid="{F5FC0C64-1F03-4A7B-B4CD-9933832DC0EB}" name="TRHS (x)" dataDxfId="227"/>
    <tableColumn id="3" xr3:uid="{378EE4D1-ED8F-4923-A63E-5244828FE1E5}" name="MS (x)" dataDxfId="226"/>
    <tableColumn id="4" xr3:uid="{947670E0-886E-4BD6-925F-A09B46DA12F0}" name="TRLS (x)" dataDxfId="225"/>
    <tableColumn id="5" xr3:uid="{E699CCEB-6EA3-4AF7-85F4-C6A128479D2A}" name="LS (x)" dataDxfId="224"/>
    <tableColumn id="6" xr3:uid="{F6B81E30-D672-4492-A2FB-FBDAC2BB4E16}" name="TRHS (#)" dataDxfId="223">
      <calculatedColumnFormula>INDEX(Rekenvolumes[Afnameklanten op TRHS (∑)],12)+INDEX(Rekenvolumes[Afnameklanten op TRHS (∑)],13)</calculatedColumnFormula>
    </tableColumn>
    <tableColumn id="7" xr3:uid="{D4E240B0-C5B3-49F4-A073-72CB49FB021C}" name="MS (#)" dataDxfId="222"/>
    <tableColumn id="8" xr3:uid="{8007C2B8-ADB7-40F6-8AE6-8C81847C9F4F}" name="TRLS (#)" dataDxfId="221"/>
    <tableColumn id="9" xr3:uid="{91BD29F2-DF63-4577-86C7-668066BACAA7}" name="LS (#)" dataDxfId="220"/>
    <tableColumn id="10" xr3:uid="{D0F3A797-CFA2-4140-AEAD-A02BD4AEC63C}" name="TRHS (%)" dataDxfId="219">
      <calculatedColumnFormula>(1+MAX_ODV_TRHS)*B2020_ODV_TRHS/'T2'!$K$93</calculatedColumnFormula>
    </tableColumn>
    <tableColumn id="11" xr3:uid="{83AB3077-11C2-4C19-AE4E-2623BF2DBE63}" name="MS (%)" dataDxfId="218">
      <calculatedColumnFormula>(1-$K$36)*H$36/SUM($H$36:$J$36)</calculatedColumnFormula>
    </tableColumn>
    <tableColumn id="12" xr3:uid="{13BBB216-83F5-4F2C-88EB-D14C97B3E7D9}" name="TRLS (%)" dataDxfId="217">
      <calculatedColumnFormula>(1-$K$36)*I$36/SUM($H$36:$J$36)</calculatedColumnFormula>
    </tableColumn>
    <tableColumn id="13" xr3:uid="{C9F5F94B-3F4C-45EC-A686-6A30EA744497}" name="LS (%)" dataDxfId="216">
      <calculatedColumnFormula>(1-$K$36)*J$36/SUM($H$36:$J$36)</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E3BBA52-64E2-4F50-9554-AF9FE0013448}" name="VDSL3" displayName="VDSL3" ref="A48:H57" totalsRowShown="0" headerRowDxfId="215" dataDxfId="213" headerRowBorderDxfId="214">
  <autoFilter ref="A48:H57" xr:uid="{34B3D4E2-72EF-4A41-934D-48088E41D0BE}"/>
  <tableColumns count="8">
    <tableColumn id="1" xr3:uid="{377E705C-F064-4562-86CC-98D115B0AFFC}" name="Verdeelsleutel" dataDxfId="212"/>
    <tableColumn id="2" xr3:uid="{FA1ABD60-217E-49D0-8CC6-D664ED4A717F}" name="Eenheid" dataDxfId="211">
      <calculatedColumnFormula>'T2'!#REF!</calculatedColumnFormula>
    </tableColumn>
    <tableColumn id="3" xr3:uid="{D4099CA9-E4AC-4AC0-9B46-E1D8D7E09D7F}" name="Afnameklanten op LS met piekmeting (x)" dataDxfId="210">
      <calculatedColumnFormula>'T2'!#REF!</calculatedColumnFormula>
    </tableColumn>
    <tableColumn id="4" xr3:uid="{C94B9080-753E-4A35-919B-18D90A2952B2}" name="Afnameklanten met KM/TT (x)" dataDxfId="209">
      <calculatedColumnFormula>'T2'!#REF!</calculatedColumnFormula>
    </tableColumn>
    <tableColumn id="6" xr3:uid="{3C9F0A16-86C9-4D84-9191-6F9450E10F7F}" name="Afnameklanten op LS met piekmeting (#)" dataDxfId="208">
      <calculatedColumnFormula>'T2'!$Q$88</calculatedColumnFormula>
    </tableColumn>
    <tableColumn id="7" xr3:uid="{D2B48D53-AF01-4B4F-B818-547EDEF02106}" name="Afnameklanten met KM/TT (#)" dataDxfId="207">
      <calculatedColumnFormula>'T2'!$R$88</calculatedColumnFormula>
    </tableColumn>
    <tableColumn id="9" xr3:uid="{F8C817DB-69CA-4500-B163-1C4D2CF5E94D}" name="Afnameklanten op LS met piekmeting (%)" dataDxfId="206">
      <calculatedColumnFormula>IF(ISNUMBER($E49),$E49/SUM($E49:$F49),"")</calculatedColumnFormula>
    </tableColumn>
    <tableColumn id="10" xr3:uid="{45AFAD38-870B-497E-AE04-F753B28ECB2D}" name="Afnameklanten met KM/TT (%)" dataDxfId="205">
      <calculatedColumnFormula>IF(ISNUMBER($F49),$F49/SUM($E49:$F49),"")</calculatedColumnFormula>
    </tableColumn>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1000000}" name="Rekenvolumes" displayName="Rekenvolumes" ref="A7:Y25" totalsRowShown="0" headerRowDxfId="204" dataDxfId="202" headerRowBorderDxfId="203" tableBorderDxfId="201">
  <autoFilter ref="A7:Y25" xr:uid="{00000000-0009-0000-0100-000006000000}"/>
  <tableColumns count="25">
    <tableColumn id="11" xr3:uid="{00000000-0010-0000-0100-00000B000000}" name="Rekenvolume" dataDxfId="200"/>
    <tableColumn id="26" xr3:uid="{00000000-0010-0000-0100-00001A000000}" name=" " dataDxfId="199"/>
    <tableColumn id="25" xr3:uid="{00000000-0010-0000-0100-000019000000}" name="Totaal rekenvolume" dataDxfId="198">
      <calculatedColumnFormula>SUM(#REF!,#REF!,#REF!,#REF!,$U8:$Y8)</calculatedColumnFormula>
    </tableColumn>
    <tableColumn id="27" xr3:uid="{C05A1819-7413-4E39-8B35-F0B0A8DAA3F3}" name="Afnameklanten (∑)" dataDxfId="197">
      <calculatedColumnFormula>SUM(Rekenvolumes[[#This Row],[Afnameklanten op TRHS (∑)]],Rekenvolumes[[#This Row],[Afnameklanten op MS (∑)]],Rekenvolumes[[#This Row],[Afnameklanten op TRLS (∑)]],Rekenvolumes[[#This Row],[Afnameklanten op LS (∑)]])</calculatedColumnFormula>
    </tableColumn>
    <tableColumn id="2" xr3:uid="{BD60DE24-0567-4AEC-92DF-44884080CC86}" name="Afnameklanten op TRHS (∑)" dataDxfId="196">
      <calculatedColumnFormula>SUM(Rekenvolumes[[#This Row],[Afnameklanten op TRHS]:[Afnameklanten op &gt;26-36 kV met AV ≥ 5MVA]])</calculatedColumnFormula>
    </tableColumn>
    <tableColumn id="13" xr3:uid="{00000000-0010-0000-0100-00000D000000}" name="Afnameklanten op TRHS" dataDxfId="195"/>
    <tableColumn id="12" xr3:uid="{00000000-0010-0000-0100-00000C000000}" name="Afnameklanten op &gt;26-36 kV met AV ≥ 5MVA" dataDxfId="194"/>
    <tableColumn id="3" xr3:uid="{8715114F-B286-4051-B1CC-27958E367E79}" name="Afnameklanten op MS (∑)" dataDxfId="193">
      <calculatedColumnFormula>SUM(Rekenvolumes[[#This Row],[Afnameklanten op &gt;26-36 kV met AV &lt; 5MVA]:[Doorvoer op 26-1kV]])</calculatedColumnFormula>
    </tableColumn>
    <tableColumn id="15" xr3:uid="{00000000-0010-0000-0100-00000F000000}" name="Afnameklanten op &gt;26-36 kV met AV &lt; 5MVA" dataDxfId="192"/>
    <tableColumn id="14" xr3:uid="{00000000-0010-0000-0100-00000E000000}" name="Afnameklanten op 26-1kV" dataDxfId="191"/>
    <tableColumn id="16" xr3:uid="{00000000-0010-0000-0100-000010000000}" name="Doorvoer op 26-1kV" dataDxfId="190"/>
    <tableColumn id="4" xr3:uid="{21B56133-8EAB-496F-917E-B7B3423DEEDB}" name="Afnameklanten op TRLS (∑)" dataDxfId="189">
      <calculatedColumnFormula>SUM(Rekenvolumes[[#This Row],[Afnameklanten op TRLS]])</calculatedColumnFormula>
    </tableColumn>
    <tableColumn id="19" xr3:uid="{00000000-0010-0000-0100-000013000000}" name="Afnameklanten op TRLS" dataDxfId="188"/>
    <tableColumn id="5" xr3:uid="{4EDEFB38-28C1-407D-9D07-4C9AC2A7DE3C}" name="Afnameklanten op LS (∑)" dataDxfId="187">
      <calculatedColumnFormula>SUM(#REF!)</calculatedColumnFormula>
    </tableColumn>
    <tableColumn id="24" xr3:uid="{00000000-0010-0000-0100-000018000000}" name="Afnameklanten op LS met piekmeting" dataDxfId="186"/>
    <tableColumn id="20" xr3:uid="{00000000-0010-0000-0100-000014000000}" name="Doorvoer op LS met piekmeting" dataDxfId="185"/>
    <tableColumn id="23" xr3:uid="{00000000-0010-0000-0100-000017000000}" name="Afnameklanten op LS met klassieke meter" dataDxfId="184"/>
    <tableColumn id="33" xr3:uid="{B0D69B1E-29E0-408B-AAF5-355804E46F5F}" name="Doorvoer op LS zonder piekmeting" dataDxfId="183"/>
    <tableColumn id="22" xr3:uid="{00000000-0010-0000-0100-000016000000}" name="Prosumenten met terugdraaiende teller op LS" dataDxfId="182"/>
    <tableColumn id="6" xr3:uid="{57C605C2-92E5-4112-BAC3-7A9B4A14CE09}" name="Injectieklanten (∑)" dataDxfId="181">
      <calculatedColumnFormula>SUM(Rekenvolumes[[#This Row],[Injectieklanten op TRHS]:[Injectieklanten op LS]])</calculatedColumnFormula>
    </tableColumn>
    <tableColumn id="7" xr3:uid="{00000000-0010-0000-0100-000007000000}" name="Injectieklanten op TRHS" dataDxfId="180"/>
    <tableColumn id="1" xr3:uid="{0A932A16-A3B6-409D-835D-6F543E5F82BC}" name="Injectieklanten op &gt;26-36kV" dataDxfId="179"/>
    <tableColumn id="8" xr3:uid="{00000000-0010-0000-0100-000008000000}" name="Injectieklanten op 26-1kV" dataDxfId="178"/>
    <tableColumn id="9" xr3:uid="{00000000-0010-0000-0100-000009000000}" name="Injectieklanten op TRLS" dataDxfId="177"/>
    <tableColumn id="10" xr3:uid="{00000000-0010-0000-0100-00000A000000}" name="Injectieklanten op LS" dataDxfId="176"/>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el2" displayName="Tabel2" ref="A7:S88" totalsRowCount="1" headerRowDxfId="172" dataDxfId="170" totalsRowDxfId="168" headerRowBorderDxfId="171" tableBorderDxfId="169" totalsRowBorderDxfId="167">
  <autoFilter ref="A7:S87" xr:uid="{00000000-0009-0000-0100-000001000000}"/>
  <tableColumns count="19">
    <tableColumn id="2" xr3:uid="{00000000-0010-0000-0200-000002000000}" name="Subactiviteit" dataDxfId="166" totalsRowDxfId="165"/>
    <tableColumn id="3" xr3:uid="{00000000-0010-0000-0200-000003000000}" name="Tariefcomponent" dataDxfId="164" totalsRowDxfId="163"/>
    <tableColumn id="5" xr3:uid="{00000000-0010-0000-0200-000005000000}" name="Kostenindeling 1" dataDxfId="162" totalsRowDxfId="161"/>
    <tableColumn id="6" xr3:uid="{00000000-0010-0000-0200-000006000000}" name="Kostenindeling 2" dataDxfId="160" totalsRowDxfId="159"/>
    <tableColumn id="7" xr3:uid="{00000000-0010-0000-0200-000007000000}" name="Kostenindeling 3" dataDxfId="158" totalsRowDxfId="157"/>
    <tableColumn id="8" xr3:uid="{00000000-0010-0000-0200-000008000000}" name="Kostenindeling 4" dataDxfId="156" totalsRowDxfId="155"/>
    <tableColumn id="9" xr3:uid="{00000000-0010-0000-0200-000009000000}" name="Kostenrubriek" totalsRowLabel="Totaal" dataDxfId="154" totalsRowDxfId="153"/>
    <tableColumn id="38" xr3:uid="{01154727-CD81-489B-808F-810491F6248C}" name="Verdeelsleutel _x000a_energierichtingen" dataDxfId="152" totalsRowDxfId="151"/>
    <tableColumn id="37" xr3:uid="{1308D4D8-7985-469A-A1A7-7C1D8D000CD7}" name="Verdeelsleutel _x000a_spanningsniveaus _x000a_voor afname" dataDxfId="150" totalsRowDxfId="149"/>
    <tableColumn id="17" xr3:uid="{D8F688B1-41AC-46FB-B5A5-5E944D3D1BE8}" name="Verdeelsleutel _x000a_klantengroepen _x000a_voor afname op LS" dataDxfId="148" totalsRowDxfId="147"/>
    <tableColumn id="11" xr3:uid="{00000000-0010-0000-0200-00000B000000}" name="Totale budget" totalsRowFunction="custom" dataDxfId="146" totalsRowDxfId="145">
      <totalsRowFormula>SUBTOTAL(9,K$8:K$87)</totalsRowFormula>
    </tableColumn>
    <tableColumn id="34" xr3:uid="{EDDFCD59-FC15-42F2-86B0-A4A0C095A8F2}" name="Afnameklanten (∑)" totalsRowFunction="custom" dataDxfId="144" totalsRowDxfId="143">
      <calculatedColumnFormula>IF(ISTEXT($H8),INDEX(VDSL1[Afname (%)],MATCH($H8,VDSL1[Verdeelsleutel],0))*$K8,"")</calculatedColumnFormula>
      <totalsRowFormula>SUBTOTAL(9,L$8:L$87)</totalsRowFormula>
    </tableColumn>
    <tableColumn id="12" xr3:uid="{00000000-0010-0000-0200-00000C000000}" name="Afnameklanten op TRHS (∑)" totalsRowFunction="custom" dataDxfId="142" totalsRowDxfId="141">
      <calculatedColumnFormula>IF(ISTEXT($I8),INDEX(VDSL2[TRHS (%)],MATCH($I8,VDSL2[Verdeelsleutel],0))*$L8,"")</calculatedColumnFormula>
      <totalsRowFormula>SUBTOTAL(9,M$8:M$87)</totalsRowFormula>
    </tableColumn>
    <tableColumn id="13" xr3:uid="{00000000-0010-0000-0200-00000D000000}" name="Afnameklanten op MS (∑)" totalsRowFunction="custom" dataDxfId="140" totalsRowDxfId="139">
      <calculatedColumnFormula>IF(ISTEXT($I8),INDEX(VDSL2[MS (%)],MATCH($I8,VDSL2[Verdeelsleutel],0))*$L8,"")</calculatedColumnFormula>
      <totalsRowFormula>SUBTOTAL(9,N$8:N$87)</totalsRowFormula>
    </tableColumn>
    <tableColumn id="14" xr3:uid="{00000000-0010-0000-0200-00000E000000}" name="Afnameklanten op TRLS (∑)" totalsRowFunction="custom" dataDxfId="138" totalsRowDxfId="137">
      <calculatedColumnFormula>IF(ISTEXT($I8),INDEX(VDSL2[TRLS (%)],MATCH($I8,VDSL2[Verdeelsleutel],0))*$L8,"")</calculatedColumnFormula>
      <totalsRowFormula>SUBTOTAL(9,O$8:O$87)</totalsRowFormula>
    </tableColumn>
    <tableColumn id="15" xr3:uid="{00000000-0010-0000-0200-00000F000000}" name="Afnameklanten op LS (∑)" totalsRowFunction="custom" dataDxfId="136" totalsRowDxfId="135">
      <calculatedColumnFormula>IF(ISTEXT($I8),INDEX(VDSL2[LS (%)],MATCH($I8,VDSL2[Verdeelsleutel],0))*$L8,"")</calculatedColumnFormula>
      <totalsRowFormula>SUBTOTAL(9,P$8:P$87)</totalsRowFormula>
    </tableColumn>
    <tableColumn id="16" xr3:uid="{45301845-40B2-4860-8D22-8BDD442A9155}" name="Afnameklanten op LS met piekmeting (∑)" totalsRowFunction="custom" dataDxfId="134" totalsRowDxfId="133">
      <calculatedColumnFormula>IF(ISTEXT($J8),INDEX(VDSL3[Afnameklanten op LS met piekmeting (%)],MATCH($J8,VDSL3[Verdeelsleutel],0))*$P8,"")</calculatedColumnFormula>
      <totalsRowFormula>SUBTOTAL(9,Q$8:Q$87)</totalsRowFormula>
    </tableColumn>
    <tableColumn id="10" xr3:uid="{F8360C65-F225-4E29-9A6E-EEE0454FE501}" name="Afnameklanten met klassieke/terugdraaiende meter (∑)" totalsRowFunction="custom" dataDxfId="132" totalsRowDxfId="131">
      <calculatedColumnFormula>IF(ISTEXT($J8),INDEX(VDSL3[Afnameklanten met KM/TT (%)],MATCH($J8,VDSL3[Verdeelsleutel],0))*$P8,"")</calculatedColumnFormula>
      <totalsRowFormula>SUBTOTAL(9,R$8:R$87)</totalsRowFormula>
    </tableColumn>
    <tableColumn id="33" xr3:uid="{82DED357-9CC0-4288-B496-C2D3A1AC0748}" name="Injectieklanten (∑)" totalsRowFunction="custom" dataDxfId="130" totalsRowDxfId="129">
      <calculatedColumnFormula>IF(ISTEXT($H8),INDEX(VDSL1[Injectie (%)],MATCH($H8,VDSL1[Verdeelsleutel],0))*$K8,"")</calculatedColumnFormula>
      <totalsRowFormula>SUBTOTAL(9,S$8:S$87)</totalsRowFormula>
    </tableColumn>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el3A" displayName="Tabel3A" ref="A7:I14" totalsRowCount="1" headerRowDxfId="128" dataDxfId="126" headerRowBorderDxfId="127" tableBorderDxfId="125" totalsRowBorderDxfId="124">
  <autoFilter ref="A7:I13" xr:uid="{00000000-0009-0000-0100-000004000000}"/>
  <tableColumns count="9">
    <tableColumn id="2" xr3:uid="{00000000-0010-0000-0300-000002000000}" name="Tariefcomponent" totalsRowLabel="Totaal" dataDxfId="123" totalsRowDxfId="122"/>
    <tableColumn id="25" xr3:uid="{00000000-0010-0000-0300-000019000000}" name="Totale budget" totalsRowFunction="sum" dataDxfId="121" totalsRowDxfId="120">
      <calculatedColumnFormula>SUMIFS(Tabel2[Totale budget],Tabel2[Tariefcomponent],$A8)</calculatedColumnFormula>
    </tableColumn>
    <tableColumn id="13" xr3:uid="{00000000-0010-0000-0300-00000D000000}" name="Afnameklanten  op TRHS (∑)" totalsRowFunction="sum" dataDxfId="119" totalsRowDxfId="118"/>
    <tableColumn id="14" xr3:uid="{00000000-0010-0000-0300-00000E000000}" name="Afnameklanten op MS (∑)" totalsRowFunction="sum" dataDxfId="117" totalsRowDxfId="116"/>
    <tableColumn id="18" xr3:uid="{00000000-0010-0000-0300-000012000000}" name="Afnameklanten op TRLS (∑)" totalsRowFunction="sum" dataDxfId="115" totalsRowDxfId="114"/>
    <tableColumn id="23" xr3:uid="{00000000-0010-0000-0300-000017000000}" name="Afnameklanten op LS (∑)" totalsRowFunction="sum" dataDxfId="113" totalsRowDxfId="112">
      <calculatedColumnFormula>SUMIFS(Tabel2[Afnameklanten op LS (∑)],Tabel2[Tariefcomponent],$A8)</calculatedColumnFormula>
    </tableColumn>
    <tableColumn id="4" xr3:uid="{E7A65586-71BC-4539-899B-E99675DF5365}" name="Afnameklanten op LS met piekmeting (∑)" totalsRowFunction="sum" dataDxfId="111" totalsRowDxfId="110">
      <calculatedColumnFormula>SUMIFS(Tabel2[Afnameklanten op LS met piekmeting (∑)],Tabel2[Tariefcomponent],$A8)</calculatedColumnFormula>
    </tableColumn>
    <tableColumn id="3" xr3:uid="{002CE854-4F93-4287-A364-26F0F50EA412}" name="Afnameklanten met klassieke/terugdraaiende meter (∑)" totalsRowFunction="sum" dataDxfId="109" totalsRowDxfId="108">
      <calculatedColumnFormula>SUMIFS(Tabel2[Afnameklanten met klassieke/terugdraaiende meter (∑)],Tabel2[Tariefcomponent],$A8)</calculatedColumnFormula>
    </tableColumn>
    <tableColumn id="7" xr3:uid="{00000000-0010-0000-0300-000007000000}" name="Injectieklanten (∑)" totalsRowFunction="sum" dataDxfId="107" totalsRowDxfId="106">
      <calculatedColumnFormula>SUMIFS(Tabel2[Injectieklanten (∑)],Tabel2[Tariefcomponent],$A8)</calculatedColumnFormula>
    </tableColumn>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04000000}" name="Tabel3B" displayName="Tabel3B" ref="A18:W37" totalsRowShown="0" headerRowDxfId="105" dataDxfId="103" headerRowBorderDxfId="104" tableBorderDxfId="102">
  <autoFilter ref="A18:W37" xr:uid="{00000000-0009-0000-0100-000033000000}"/>
  <tableColumns count="23">
    <tableColumn id="1" xr3:uid="{00000000-0010-0000-0400-000001000000}" name="Tariefcomponent" dataDxfId="101"/>
    <tableColumn id="3" xr3:uid="{00000000-0010-0000-0400-000003000000}" name="Tariefdrager" dataDxfId="100"/>
    <tableColumn id="21" xr3:uid="{6407D34A-1FEB-4691-9F35-5FEB8767DDFB}" name="Afnameklanten op TRHS (∑)" dataDxfId="99">
      <calculatedColumnFormula>$C$8</calculatedColumnFormula>
    </tableColumn>
    <tableColumn id="4" xr3:uid="{00000000-0010-0000-0400-000004000000}" name="Afnameklanten op TRHS" dataDxfId="98">
      <calculatedColumnFormula>$C19</calculatedColumnFormula>
    </tableColumn>
    <tableColumn id="5" xr3:uid="{00000000-0010-0000-0400-000005000000}" name="Afnameklanten op &gt;26-36 kV met AV ≥ 5MVA" dataDxfId="97">
      <calculatedColumnFormula>$C19</calculatedColumnFormula>
    </tableColumn>
    <tableColumn id="22" xr3:uid="{A8FD69D8-7E84-4307-8BB9-A9CC38570735}" name="Afnameklanten op MS (∑)" dataDxfId="96"/>
    <tableColumn id="6" xr3:uid="{00000000-0010-0000-0400-000006000000}" name="Afnameklanten op &gt;26-36 kV met AV &lt; 5MVA" dataDxfId="95">
      <calculatedColumnFormula>$F19</calculatedColumnFormula>
    </tableColumn>
    <tableColumn id="7" xr3:uid="{00000000-0010-0000-0400-000007000000}" name="Afnameklanten op 26-1kV" dataDxfId="94">
      <calculatedColumnFormula>$F19</calculatedColumnFormula>
    </tableColumn>
    <tableColumn id="8" xr3:uid="{00000000-0010-0000-0400-000008000000}" name="Doorvoer op 26-1kV" dataDxfId="93">
      <calculatedColumnFormula>$F19*FACTOR_DOORVOER</calculatedColumnFormula>
    </tableColumn>
    <tableColumn id="23" xr3:uid="{AD3A53F5-7A34-41AF-A4E6-65865290BA3C}" name="Afnameklanten op TRLS (∑)" dataDxfId="92"/>
    <tableColumn id="9" xr3:uid="{00000000-0010-0000-0400-000009000000}" name="Afnameklanten op TRLS" dataDxfId="91">
      <calculatedColumnFormula>$J19</calculatedColumnFormula>
    </tableColumn>
    <tableColumn id="24" xr3:uid="{32B60078-368F-46D4-BEBB-0DF89A122C71}" name="Afnameklanten op LS (∑)" dataDxfId="90">
      <calculatedColumnFormula>TAR_DATA_NIETLS_2021*CPI_JAARMIN1/CPI_2020</calculatedColumnFormula>
    </tableColumn>
    <tableColumn id="12" xr3:uid="{00000000-0010-0000-0400-00000C000000}" name="Afnameklanten op LS met piekmeting" dataDxfId="89">
      <calculatedColumnFormula>PROCENT_GEMMP*$G$8/(INDEX(Rekenvolumes[Afnameklanten op LS met piekmeting],11)+FACTOR_DOORVOER*INDEX(Rekenvolumes[Doorvoer op LS met piekmeting],11))</calculatedColumnFormula>
    </tableColumn>
    <tableColumn id="16" xr3:uid="{00000000-0010-0000-0400-000010000000}" name="Doorvoer op LS met piekmeting" dataDxfId="88">
      <calculatedColumnFormula>FACTOR_DOORVOER*Tabel3B[[#This Row],[Afnameklanten op LS met piekmeting]]</calculatedColumnFormula>
    </tableColumn>
    <tableColumn id="13" xr3:uid="{00000000-0010-0000-0400-00000D000000}" name="Afnameklanten op LS met klassieke meter" dataDxfId="87">
      <calculatedColumnFormula>FACTOR_VAST*$M$22</calculatedColumnFormula>
    </tableColumn>
    <tableColumn id="2" xr3:uid="{749FA047-111C-4A1B-A5F2-D5854A3974DF}" name="Doorvoer op LS zonder piekmeting" dataDxfId="86">
      <calculatedColumnFormula>FACTOR_DOORVOER*Tabel3B[[#This Row],[Afnameklanten op LS met klassieke meter]]</calculatedColumnFormula>
    </tableColumn>
    <tableColumn id="14" xr3:uid="{00000000-0010-0000-0400-00000E000000}" name="Prosumenten met terugdraaiende teller op LS" dataDxfId="85"/>
    <tableColumn id="26" xr3:uid="{987AC7C9-0FFF-4C04-B18C-A086F0CC070F}" name="Injectieklanten (∑)" dataDxfId="84"/>
    <tableColumn id="17" xr3:uid="{00000000-0010-0000-0400-000011000000}" name="Injectieklanten op TRHS" dataDxfId="83"/>
    <tableColumn id="25" xr3:uid="{4FF3EE05-888E-4414-A76B-6E0C988EFF5A}" name="Injectieklanten  op &gt;26-36kV" dataDxfId="82">
      <calculatedColumnFormula>$R19</calculatedColumnFormula>
    </tableColumn>
    <tableColumn id="18" xr3:uid="{00000000-0010-0000-0400-000012000000}" name="Injectieklanten op 26-1kV" dataDxfId="81"/>
    <tableColumn id="19" xr3:uid="{00000000-0010-0000-0400-000013000000}" name="Injectieklanten op TRLS" dataDxfId="80"/>
    <tableColumn id="20" xr3:uid="{00000000-0010-0000-0400-000014000000}" name="Injectieklanten op LS" dataDxfId="79"/>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C1CCEA5-58EF-4FFF-8E16-5CE906AE7AEE}" name="Tabel4B" displayName="Tabel4B" ref="A7:W26" totalsRowShown="0" headerRowDxfId="78" dataDxfId="76" headerRowBorderDxfId="77" tableBorderDxfId="75">
  <autoFilter ref="A7:W26" xr:uid="{E33C784A-2A6C-4F72-82CC-B0543553988A}"/>
  <tableColumns count="23">
    <tableColumn id="1" xr3:uid="{0B55ADE3-0E9B-4EDD-99D8-8017B780DA54}" name="Tariefcomponent" dataDxfId="74"/>
    <tableColumn id="2" xr3:uid="{C2FA8F07-06DD-4730-86FD-DD99C3FB675D}" name="Tariefdrager" dataDxfId="73"/>
    <tableColumn id="3" xr3:uid="{07ED57C0-63C5-414D-B7BC-4EBAEBF2B275}" name="Afnameklanten op TRHS (∑)" dataDxfId="72">
      <calculatedColumnFormula>INDEX(Tabel3B[Afnameklanten op TRHS (∑)],3)</calculatedColumnFormula>
    </tableColumn>
    <tableColumn id="21" xr3:uid="{540063E0-0233-44A1-AC6A-0189143B9A14}" name="Afnameklanten op TRHS" dataDxfId="71"/>
    <tableColumn id="4" xr3:uid="{4EBE2D4B-BE55-43F4-BA07-5CB78E09B564}" name="Afnameklanten op &gt;26-36 kV met AV ≥ 5MVA" dataDxfId="70"/>
    <tableColumn id="5" xr3:uid="{31D08308-1B70-4960-B284-F7BA8BB4818E}" name="Afnameklanten op MS (∑)" dataDxfId="69"/>
    <tableColumn id="22" xr3:uid="{697B39DA-3513-463A-B0AC-67E863D8337F}" name="Afnameklanten op &gt;26-36 kV met AV &lt; 5MVA" dataDxfId="68"/>
    <tableColumn id="6" xr3:uid="{5B87BFDC-11F1-487D-BDD4-79AB22ED9C40}" name="Afnameklanten op 26-1kV" dataDxfId="67"/>
    <tableColumn id="7" xr3:uid="{B6DAF900-FB78-4188-8B20-D6B82C238495}" name="Doorvoer op 26-1kV" dataDxfId="66"/>
    <tableColumn id="8" xr3:uid="{2ADE7398-0B48-4E0D-8D78-DF6F0B72A896}" name="Afnameklanten op TRLS (∑)" dataDxfId="65"/>
    <tableColumn id="23" xr3:uid="{1763D612-4031-497B-8BFA-C9A75C17F9E0}" name="Afnameklanten op TRLS" dataDxfId="64"/>
    <tableColumn id="11" xr3:uid="{D236380C-388E-4B15-B394-08D1ACA4BAE9}" name="Afnameklanten op LS (∑)" dataDxfId="63">
      <calculatedColumnFormula>INDEX(Tabel3B[Afnameklanten op LS (∑)],9)</calculatedColumnFormula>
    </tableColumn>
    <tableColumn id="24" xr3:uid="{E7029C0C-920B-466B-958F-88A4D88EBA5D}" name="Afnameklanten op LS met piekmeting" dataDxfId="62"/>
    <tableColumn id="12" xr3:uid="{60668DC5-F0A8-4C24-BA72-8A550C7C26A1}" name="Doorvoer op LS met piekmeting" dataDxfId="61"/>
    <tableColumn id="16" xr3:uid="{8BBB0441-83B6-40F4-95C2-6E693E386771}" name="Afnameklanten op LS met klassieke meter" dataDxfId="60"/>
    <tableColumn id="20" xr3:uid="{F0033DB6-9516-4A19-BE2B-0F7ACB9FCC7D}" name="Doorvoer op LS zonder piekmeting" dataDxfId="59"/>
    <tableColumn id="13" xr3:uid="{6817B3F3-E687-450C-A60D-E96FE584E09B}" name="Prosumenten met terugdraaiende teller op LS" dataDxfId="58"/>
    <tableColumn id="15" xr3:uid="{E7D109DE-EEBC-49A1-892A-494A81081A41}" name="Injectieklanten (∑)" dataDxfId="57"/>
    <tableColumn id="26" xr3:uid="{93FA5261-A8D9-4784-A11D-129A4326DC52}" name="Injectieklanten op TRHS" dataDxfId="56"/>
    <tableColumn id="17" xr3:uid="{8146F787-C4A3-4E83-9AE9-1D83EB7387CB}" name="Injectieklanten  op &gt;26-36kV" dataDxfId="55"/>
    <tableColumn id="25" xr3:uid="{83F2482B-1626-47F1-9DDC-287162F035F4}" name="Injectieklanten op 26-1kV" dataDxfId="54"/>
    <tableColumn id="18" xr3:uid="{31A60431-CFB2-445E-9C41-71FE552A320B}" name="Injectieklanten op TRLS" dataDxfId="53"/>
    <tableColumn id="19" xr3:uid="{3C2C58AD-92B1-4F82-A791-667C94369C21}" name="Injectieklanten op LS" dataDxfId="52"/>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06000000}" name="Tabel4A" displayName="Tabel4A" ref="A30:W38" totalsRowCount="1" headerRowDxfId="51" dataDxfId="49" totalsRowDxfId="47" headerRowBorderDxfId="50" tableBorderDxfId="48" totalsRowBorderDxfId="46">
  <autoFilter ref="A30:W37" xr:uid="{00000000-0009-0000-0100-000040000000}"/>
  <tableColumns count="23">
    <tableColumn id="2" xr3:uid="{00000000-0010-0000-0600-000002000000}" name="Tariefcomponent" totalsRowLabel="Totaal" dataDxfId="45" totalsRowDxfId="44"/>
    <tableColumn id="25" xr3:uid="{00000000-0010-0000-0600-000019000000}" name="Totale budget" totalsRowFunction="sum" dataDxfId="43" totalsRowDxfId="42">
      <calculatedColumnFormula>SUM(Tabel4A[[#This Row],[Afnameklanten op TRHS (∑)]],Tabel4A[[#This Row],[Afnameklanten op MS (∑)]],Tabel4A[[#This Row],[Afnameklanten op TRLS (∑)]],Tabel4A[[#This Row],[Afnameklanten op LS (∑)]],Tabel4A[[#This Row],[Injectieklanten (∑)]])</calculatedColumnFormula>
    </tableColumn>
    <tableColumn id="13" xr3:uid="{00000000-0010-0000-0600-00000D000000}" name="Afnameklanten op TRHS (∑)" totalsRowFunction="sum" dataDxfId="41" totalsRowDxfId="40">
      <calculatedColumnFormula>SUM(Tabel4A[[#This Row],[Afnameklanten op TRHS]:[Afnameklanten op &gt;26-36 kV met AV ≥ 5MVA]])</calculatedColumnFormula>
    </tableColumn>
    <tableColumn id="12" xr3:uid="{00000000-0010-0000-0600-00000C000000}" name="Afnameklanten op TRHS" totalsRowFunction="sum" dataDxfId="39" totalsRowDxfId="38">
      <calculatedColumnFormula>E$8*'REKENVOLUMES'!G$15+E$9*'REKENVOLUMES'!G$16+E$10*'REKENVOLUMES'!G$17-MAXIMUM!$E10</calculatedColumnFormula>
    </tableColumn>
    <tableColumn id="15" xr3:uid="{00000000-0010-0000-0600-00000F000000}" name="Afnameklanten op &gt;26-36 kV met AV ≥ 5MVA" totalsRowFunction="sum" dataDxfId="37" totalsRowDxfId="36"/>
    <tableColumn id="14" xr3:uid="{00000000-0010-0000-0600-00000E000000}" name="Afnameklanten op MS (∑)" totalsRowFunction="sum" dataDxfId="35" totalsRowDxfId="34">
      <calculatedColumnFormula>SUM(Tabel4A[[#This Row],[Afnameklanten op &gt;26-36 kV met AV &lt; 5MVA]:[Doorvoer op 26-1kV]])</calculatedColumnFormula>
    </tableColumn>
    <tableColumn id="16" xr3:uid="{00000000-0010-0000-0600-000010000000}" name="Afnameklanten op &gt;26-36 kV met AV &lt; 5MVA" totalsRowFunction="sum" dataDxfId="33" totalsRowDxfId="32"/>
    <tableColumn id="19" xr3:uid="{00000000-0010-0000-0600-000013000000}" name="Afnameklanten op 26-1kV" totalsRowFunction="sum" dataDxfId="31" totalsRowDxfId="30"/>
    <tableColumn id="18" xr3:uid="{00000000-0010-0000-0600-000012000000}" name="Doorvoer op 26-1kV" totalsRowFunction="sum" dataDxfId="29" totalsRowDxfId="28"/>
    <tableColumn id="17" xr3:uid="{00000000-0010-0000-0600-000011000000}" name="Afnameklanten op TRLS (∑)" totalsRowFunction="sum" dataDxfId="27" totalsRowDxfId="26">
      <calculatedColumnFormula>SUM(#REF!)</calculatedColumnFormula>
    </tableColumn>
    <tableColumn id="24" xr3:uid="{00000000-0010-0000-0600-000018000000}" name="Afnameklanten op TRLS" totalsRowFunction="sum" dataDxfId="25" totalsRowDxfId="24"/>
    <tableColumn id="21" xr3:uid="{00000000-0010-0000-0600-000015000000}" name="Afnameklanten op LS (∑)" totalsRowFunction="sum" dataDxfId="23" totalsRowDxfId="22">
      <calculatedColumnFormula>SUM(#REF!)</calculatedColumnFormula>
    </tableColumn>
    <tableColumn id="20" xr3:uid="{00000000-0010-0000-0600-000014000000}" name="Afnameklanten op LS met piekmeting" totalsRowFunction="sum" dataDxfId="21" totalsRowDxfId="20">
      <calculatedColumnFormula>$M$11*INDEX(Rekenvolumes[Afnameklanten op LS met piekmeting],11)+$M$13*(INDEX(Rekenvolumes[Afnameklanten op LS met piekmeting],12)+INDEX(Rekenvolumes[Afnameklanten op LS met piekmeting],13)+INDEX(Rekenvolumes[Afnameklanten op LS met piekmeting],14))-MAXIMUM!$E$15</calculatedColumnFormula>
    </tableColumn>
    <tableColumn id="7" xr3:uid="{00000000-0010-0000-0600-000007000000}" name="Doorvoer op LS met piekmeting" totalsRowFunction="sum" dataDxfId="19" totalsRowDxfId="18">
      <calculatedColumnFormula>$M$11*INDEX(Rekenvolumes[Doorvoer op LS met piekmeting],11)+$M$13*(INDEX(Rekenvolumes[Doorvoer op LS met piekmeting],12)+INDEX(Rekenvolumes[Doorvoer op LS met piekmeting],13)+INDEX(Rekenvolumes[Doorvoer op LS met piekmeting],14))-MAXIMUM!$E$16</calculatedColumnFormula>
    </tableColumn>
    <tableColumn id="8" xr3:uid="{00000000-0010-0000-0600-000008000000}" name="Afnameklanten op LS met klassieke meter" totalsRowFunction="sum" dataDxfId="17" totalsRowDxfId="16">
      <calculatedColumnFormula>Q$14*'REKENVOLUMES'!W$22-MAXIMUM!$E23</calculatedColumnFormula>
    </tableColumn>
    <tableColumn id="26" xr3:uid="{34B7829D-8D4B-4754-9DF9-25399D7A844E}" name="Doorvoer op LS zonder piekmeting" totalsRowFunction="sum" dataDxfId="15" totalsRowDxfId="14"/>
    <tableColumn id="9" xr3:uid="{00000000-0010-0000-0600-000009000000}" name="Prosumenten met terugdraaiende teller op LS" totalsRowFunction="sum" dataDxfId="13" totalsRowDxfId="12">
      <calculatedColumnFormula>#REF!*'REKENVOLUMES'!X$22-MAXIMUM!$E24</calculatedColumnFormula>
    </tableColumn>
    <tableColumn id="1" xr3:uid="{B6D7B13F-DADB-4C3C-B303-A1A08B5A6DFA}" name="Injectieklanten (∑)" totalsRowFunction="sum" dataDxfId="11" totalsRowDxfId="10">
      <calculatedColumnFormula>SUM(Tabel4A[[#This Row],[Injectieklanten op TRHS]:[Injectieklanten op LS]])</calculatedColumnFormula>
    </tableColumn>
    <tableColumn id="3" xr3:uid="{F9E1F0FD-3C0D-4E8D-A4CB-C3C90C6111EA}" name="Injectieklanten op TRHS" totalsRowFunction="sum" dataDxfId="9" totalsRowDxfId="8">
      <calculatedColumnFormula>$S$14*INDEX(Rekenvolumes[Injectieklanten op TRHS],15)-MAXIMUM!$E$21</calculatedColumnFormula>
    </tableColumn>
    <tableColumn id="4" xr3:uid="{5F133A90-7193-4D45-8E5E-35735C10227B}" name="Injectieklanten  op &gt;26-36kV" totalsRowFunction="sum" dataDxfId="7" totalsRowDxfId="6"/>
    <tableColumn id="5" xr3:uid="{3DABB390-CE23-4845-9779-01EF0BE72AB1}" name="Injectieklanten op 26-1kV" totalsRowFunction="sum" dataDxfId="5" totalsRowDxfId="4"/>
    <tableColumn id="6" xr3:uid="{49A1BBFF-BA6C-4CB0-8C58-818DA7C283A6}" name="Injectieklanten op TRLS" totalsRowFunction="sum" dataDxfId="3" totalsRowDxfId="2"/>
    <tableColumn id="11" xr3:uid="{91B5A4E2-7933-4949-95EE-683F1E224319}" name="Injectieklanten op LS" totalsRowFunction="sum" dataDxfId="1" totalsRowDxfId="0"/>
  </tableColumns>
  <tableStyleInfo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W174"/>
  <sheetViews>
    <sheetView showGridLines="0" zoomScaleNormal="100" zoomScaleSheetLayoutView="30" workbookViewId="0">
      <selection activeCell="D13" sqref="D13"/>
    </sheetView>
  </sheetViews>
  <sheetFormatPr defaultColWidth="10.7265625" defaultRowHeight="15" customHeight="1"/>
  <cols>
    <col min="1" max="16384" width="10.7265625" style="8"/>
  </cols>
  <sheetData>
    <row r="1" spans="1:12" ht="15" customHeight="1">
      <c r="A1" s="1225" t="s">
        <v>705</v>
      </c>
      <c r="B1" s="9"/>
      <c r="C1" s="10"/>
    </row>
    <row r="2" spans="1:12" s="11" customFormat="1" ht="30" customHeight="1">
      <c r="A2" s="1691" t="s">
        <v>154</v>
      </c>
      <c r="B2" s="1691"/>
      <c r="C2" s="1691"/>
      <c r="D2" s="1691"/>
      <c r="E2" s="1691"/>
      <c r="F2" s="1691"/>
      <c r="G2" s="1691"/>
      <c r="H2" s="1691"/>
      <c r="I2" s="1691"/>
      <c r="J2" s="1691"/>
      <c r="K2" s="1691"/>
      <c r="L2" s="1691"/>
    </row>
    <row r="3" spans="1:12" ht="15" customHeight="1">
      <c r="B3" s="9"/>
      <c r="C3" s="10"/>
    </row>
    <row r="4" spans="1:12" ht="15" customHeight="1">
      <c r="B4" s="9"/>
      <c r="C4" s="10"/>
    </row>
    <row r="5" spans="1:12" ht="15" customHeight="1" thickBot="1">
      <c r="B5" s="9"/>
    </row>
    <row r="6" spans="1:12" ht="15" customHeight="1" thickBot="1">
      <c r="B6" s="9" t="s">
        <v>0</v>
      </c>
      <c r="F6" s="1696" t="s">
        <v>708</v>
      </c>
      <c r="G6" s="1697"/>
      <c r="H6" s="1697"/>
      <c r="I6" s="1698"/>
    </row>
    <row r="7" spans="1:12" ht="15" customHeight="1" thickBot="1">
      <c r="B7" s="9" t="s">
        <v>1</v>
      </c>
      <c r="F7" s="1696"/>
      <c r="G7" s="1697"/>
      <c r="H7" s="1697"/>
      <c r="I7" s="1698"/>
    </row>
    <row r="8" spans="1:12" s="4" customFormat="1" ht="15" customHeight="1" thickBot="1">
      <c r="B8" s="13"/>
      <c r="F8" s="14"/>
      <c r="G8" s="14"/>
      <c r="H8" s="14"/>
      <c r="I8" s="14"/>
    </row>
    <row r="9" spans="1:12" ht="15" customHeight="1" thickBot="1">
      <c r="B9" s="15" t="s">
        <v>2</v>
      </c>
      <c r="F9" s="9"/>
      <c r="H9" s="15" t="s">
        <v>3</v>
      </c>
      <c r="I9" s="16">
        <v>2021</v>
      </c>
    </row>
    <row r="10" spans="1:12" ht="15" customHeight="1" thickBot="1">
      <c r="B10" s="15"/>
      <c r="F10" s="9"/>
      <c r="H10" s="15" t="s">
        <v>4</v>
      </c>
      <c r="I10" s="16">
        <v>2024</v>
      </c>
    </row>
    <row r="11" spans="1:12" ht="15" customHeight="1" thickBot="1">
      <c r="B11" s="17"/>
      <c r="F11" s="10"/>
    </row>
    <row r="12" spans="1:12" ht="15" customHeight="1" thickBot="1">
      <c r="B12" s="9" t="s">
        <v>218</v>
      </c>
      <c r="F12" s="10"/>
      <c r="I12" s="12"/>
    </row>
    <row r="13" spans="1:12" ht="15" customHeight="1">
      <c r="B13" s="17"/>
      <c r="C13" s="10"/>
    </row>
    <row r="14" spans="1:12" ht="15" customHeight="1">
      <c r="B14" s="17"/>
      <c r="C14" s="10"/>
    </row>
    <row r="16" spans="1:12" ht="15" customHeight="1">
      <c r="A16" s="1692" t="s">
        <v>155</v>
      </c>
      <c r="B16" s="1693"/>
      <c r="C16" s="1693"/>
      <c r="D16" s="1693"/>
      <c r="E16" s="1693"/>
      <c r="F16" s="1693"/>
      <c r="G16" s="1693"/>
      <c r="H16" s="1693"/>
      <c r="I16" s="1693"/>
      <c r="J16" s="1693"/>
      <c r="K16" s="1693"/>
      <c r="L16" s="1694"/>
    </row>
    <row r="17" spans="1:12" ht="15" customHeight="1">
      <c r="A17" s="18"/>
    </row>
    <row r="18" spans="1:12" ht="15" customHeight="1">
      <c r="A18" s="1695" t="s">
        <v>312</v>
      </c>
      <c r="B18" s="1695"/>
      <c r="C18" s="1695"/>
      <c r="D18" s="1695"/>
      <c r="E18" s="1695"/>
      <c r="F18" s="1695"/>
      <c r="G18" s="1695"/>
      <c r="H18" s="1695"/>
      <c r="I18" s="1695"/>
      <c r="J18" s="1695"/>
      <c r="K18" s="1695"/>
      <c r="L18" s="1695"/>
    </row>
    <row r="19" spans="1:12" ht="15" customHeight="1">
      <c r="A19" s="1695"/>
      <c r="B19" s="1695"/>
      <c r="C19" s="1695"/>
      <c r="D19" s="1695"/>
      <c r="E19" s="1695"/>
      <c r="F19" s="1695"/>
      <c r="G19" s="1695"/>
      <c r="H19" s="1695"/>
      <c r="I19" s="1695"/>
      <c r="J19" s="1695"/>
      <c r="K19" s="1695"/>
      <c r="L19" s="1695"/>
    </row>
    <row r="20" spans="1:12" ht="15" customHeight="1">
      <c r="A20" s="1695"/>
      <c r="B20" s="1695"/>
      <c r="C20" s="1695"/>
      <c r="D20" s="1695"/>
      <c r="E20" s="1695"/>
      <c r="F20" s="1695"/>
      <c r="G20" s="1695"/>
      <c r="H20" s="1695"/>
      <c r="I20" s="1695"/>
      <c r="J20" s="1695"/>
      <c r="K20" s="1695"/>
      <c r="L20" s="1695"/>
    </row>
    <row r="21" spans="1:12" ht="15" customHeight="1">
      <c r="A21" s="1695"/>
      <c r="B21" s="1695"/>
      <c r="C21" s="1695"/>
      <c r="D21" s="1695"/>
      <c r="E21" s="1695"/>
      <c r="F21" s="1695"/>
      <c r="G21" s="1695"/>
      <c r="H21" s="1695"/>
      <c r="I21" s="1695"/>
      <c r="J21" s="1695"/>
      <c r="K21" s="1695"/>
      <c r="L21" s="1695"/>
    </row>
    <row r="22" spans="1:12" ht="15" customHeight="1">
      <c r="A22" s="1695"/>
      <c r="B22" s="1695"/>
      <c r="C22" s="1695"/>
      <c r="D22" s="1695"/>
      <c r="E22" s="1695"/>
      <c r="F22" s="1695"/>
      <c r="G22" s="1695"/>
      <c r="H22" s="1695"/>
      <c r="I22" s="1695"/>
      <c r="J22" s="1695"/>
      <c r="K22" s="1695"/>
      <c r="L22" s="1695"/>
    </row>
    <row r="23" spans="1:12" ht="15" customHeight="1">
      <c r="A23" s="1695"/>
      <c r="B23" s="1695"/>
      <c r="C23" s="1695"/>
      <c r="D23" s="1695"/>
      <c r="E23" s="1695"/>
      <c r="F23" s="1695"/>
      <c r="G23" s="1695"/>
      <c r="H23" s="1695"/>
      <c r="I23" s="1695"/>
      <c r="J23" s="1695"/>
      <c r="K23" s="1695"/>
      <c r="L23" s="1695"/>
    </row>
    <row r="24" spans="1:12" ht="15" customHeight="1">
      <c r="A24" s="1695"/>
      <c r="B24" s="1695"/>
      <c r="C24" s="1695"/>
      <c r="D24" s="1695"/>
      <c r="E24" s="1695"/>
      <c r="F24" s="1695"/>
      <c r="G24" s="1695"/>
      <c r="H24" s="1695"/>
      <c r="I24" s="1695"/>
      <c r="J24" s="1695"/>
      <c r="K24" s="1695"/>
      <c r="L24" s="1695"/>
    </row>
    <row r="25" spans="1:12" ht="15" customHeight="1">
      <c r="A25" s="1695"/>
      <c r="B25" s="1695"/>
      <c r="C25" s="1695"/>
      <c r="D25" s="1695"/>
      <c r="E25" s="1695"/>
      <c r="F25" s="1695"/>
      <c r="G25" s="1695"/>
      <c r="H25" s="1695"/>
      <c r="I25" s="1695"/>
      <c r="J25" s="1695"/>
      <c r="K25" s="1695"/>
      <c r="L25" s="1695"/>
    </row>
    <row r="26" spans="1:12" ht="15" customHeight="1">
      <c r="A26" s="1695"/>
      <c r="B26" s="1695"/>
      <c r="C26" s="1695"/>
      <c r="D26" s="1695"/>
      <c r="E26" s="1695"/>
      <c r="F26" s="1695"/>
      <c r="G26" s="1695"/>
      <c r="H26" s="1695"/>
      <c r="I26" s="1695"/>
      <c r="J26" s="1695"/>
      <c r="K26" s="1695"/>
      <c r="L26" s="1695"/>
    </row>
    <row r="27" spans="1:12" ht="15" customHeight="1">
      <c r="A27" s="1695"/>
      <c r="B27" s="1695"/>
      <c r="C27" s="1695"/>
      <c r="D27" s="1695"/>
      <c r="E27" s="1695"/>
      <c r="F27" s="1695"/>
      <c r="G27" s="1695"/>
      <c r="H27" s="1695"/>
      <c r="I27" s="1695"/>
      <c r="J27" s="1695"/>
      <c r="K27" s="1695"/>
      <c r="L27" s="1695"/>
    </row>
    <row r="28" spans="1:12" s="20" customFormat="1" ht="15" customHeight="1"/>
    <row r="29" spans="1:12" ht="15" customHeight="1">
      <c r="A29" s="1692" t="s">
        <v>156</v>
      </c>
      <c r="B29" s="1693"/>
      <c r="C29" s="1693"/>
      <c r="D29" s="1693"/>
      <c r="E29" s="1693"/>
      <c r="F29" s="1693"/>
      <c r="G29" s="1693"/>
      <c r="H29" s="1693"/>
      <c r="I29" s="1693"/>
      <c r="J29" s="1693"/>
      <c r="K29" s="1693"/>
      <c r="L29" s="1694"/>
    </row>
    <row r="30" spans="1:12" ht="15" customHeight="1">
      <c r="A30" s="577"/>
      <c r="B30" s="577"/>
      <c r="C30" s="577"/>
      <c r="D30" s="577"/>
      <c r="E30" s="577"/>
      <c r="F30" s="577"/>
      <c r="G30" s="577"/>
      <c r="H30" s="577"/>
      <c r="I30" s="577"/>
      <c r="J30" s="577"/>
      <c r="K30" s="577"/>
      <c r="L30" s="577"/>
    </row>
    <row r="31" spans="1:12" s="18" customFormat="1" ht="15" customHeight="1">
      <c r="A31" s="21"/>
      <c r="B31" s="21"/>
      <c r="C31" s="8"/>
      <c r="D31" s="8"/>
      <c r="E31" s="8"/>
      <c r="F31" s="8"/>
      <c r="G31" s="8"/>
      <c r="H31" s="8"/>
      <c r="I31" s="8"/>
      <c r="J31" s="8"/>
      <c r="K31" s="8"/>
      <c r="L31" s="8"/>
    </row>
    <row r="32" spans="1:12" ht="15" customHeight="1">
      <c r="A32" s="21"/>
      <c r="B32" s="88"/>
      <c r="D32" s="8" t="s">
        <v>271</v>
      </c>
    </row>
    <row r="33" spans="1:12" ht="15" customHeight="1">
      <c r="A33" s="21"/>
      <c r="B33" s="22"/>
    </row>
    <row r="34" spans="1:12" ht="15" customHeight="1">
      <c r="A34" s="21"/>
      <c r="B34" s="23"/>
      <c r="C34" s="24"/>
      <c r="D34" s="25" t="s">
        <v>5</v>
      </c>
    </row>
    <row r="35" spans="1:12" ht="15" customHeight="1">
      <c r="A35" s="21"/>
      <c r="B35" s="26"/>
    </row>
    <row r="36" spans="1:12" ht="15" customHeight="1">
      <c r="A36" s="21"/>
      <c r="B36" s="135"/>
      <c r="D36" s="8" t="s">
        <v>272</v>
      </c>
    </row>
    <row r="37" spans="1:12" ht="15" customHeight="1">
      <c r="A37" s="21"/>
      <c r="B37" s="21"/>
    </row>
    <row r="38" spans="1:12" s="4" customFormat="1" ht="15" customHeight="1">
      <c r="A38" s="27"/>
      <c r="B38" s="28"/>
      <c r="D38" s="29" t="s">
        <v>19</v>
      </c>
      <c r="E38" s="30"/>
      <c r="F38" s="30"/>
      <c r="G38" s="30"/>
      <c r="H38" s="30"/>
      <c r="I38" s="30"/>
      <c r="J38" s="30"/>
      <c r="K38" s="30"/>
    </row>
    <row r="39" spans="1:12" s="4" customFormat="1" ht="15" customHeight="1">
      <c r="A39" s="27"/>
      <c r="B39" s="27"/>
      <c r="D39" s="30"/>
      <c r="E39" s="30"/>
      <c r="F39" s="30"/>
      <c r="G39" s="30"/>
      <c r="H39" s="30"/>
      <c r="I39" s="30"/>
      <c r="J39" s="30"/>
      <c r="K39" s="30"/>
    </row>
    <row r="41" spans="1:12" s="18" customFormat="1" ht="15" customHeight="1">
      <c r="A41" s="1692" t="s">
        <v>157</v>
      </c>
      <c r="B41" s="1693"/>
      <c r="C41" s="1693"/>
      <c r="D41" s="1693"/>
      <c r="E41" s="1693"/>
      <c r="F41" s="1693"/>
      <c r="G41" s="1693"/>
      <c r="H41" s="1693"/>
      <c r="I41" s="1693"/>
      <c r="J41" s="1693"/>
      <c r="K41" s="1693"/>
      <c r="L41" s="1694"/>
    </row>
    <row r="42" spans="1:12" ht="15" customHeight="1">
      <c r="A42" s="18"/>
      <c r="B42" s="18"/>
      <c r="C42" s="18"/>
      <c r="D42" s="18"/>
      <c r="E42" s="18"/>
      <c r="F42" s="18"/>
      <c r="G42" s="18"/>
      <c r="H42" s="18"/>
      <c r="I42" s="18"/>
      <c r="J42" s="18"/>
      <c r="K42" s="18"/>
      <c r="L42" s="18"/>
    </row>
    <row r="43" spans="1:12" ht="15" customHeight="1">
      <c r="A43" s="222" t="s">
        <v>217</v>
      </c>
      <c r="B43" s="18"/>
      <c r="C43" s="18"/>
      <c r="D43" s="18"/>
      <c r="E43" s="18"/>
      <c r="F43" s="18"/>
      <c r="G43" s="18"/>
      <c r="H43" s="18"/>
      <c r="I43" s="18"/>
      <c r="J43" s="18"/>
      <c r="K43" s="18"/>
      <c r="L43" s="18"/>
    </row>
    <row r="44" spans="1:12" ht="15" customHeight="1">
      <c r="A44" s="18"/>
      <c r="B44" s="18"/>
      <c r="C44" s="18"/>
      <c r="D44" s="18"/>
      <c r="E44" s="18"/>
      <c r="F44" s="18"/>
      <c r="G44" s="18"/>
      <c r="H44" s="18"/>
      <c r="I44" s="18"/>
      <c r="J44" s="18"/>
      <c r="K44" s="18"/>
      <c r="L44" s="18"/>
    </row>
    <row r="45" spans="1:12" s="9" customFormat="1" ht="15" customHeight="1">
      <c r="A45" s="37" t="s">
        <v>158</v>
      </c>
      <c r="B45" s="32"/>
    </row>
    <row r="46" spans="1:12" ht="15" customHeight="1">
      <c r="A46" s="37" t="s">
        <v>165</v>
      </c>
    </row>
    <row r="47" spans="1:12" ht="15" customHeight="1">
      <c r="A47" s="37" t="s">
        <v>166</v>
      </c>
    </row>
    <row r="48" spans="1:12" ht="15" customHeight="1">
      <c r="A48" s="37" t="s">
        <v>125</v>
      </c>
    </row>
    <row r="49" spans="1:23" ht="15" customHeight="1">
      <c r="A49" s="37" t="s">
        <v>317</v>
      </c>
    </row>
    <row r="50" spans="1:23" ht="15" customHeight="1">
      <c r="A50" s="37" t="s">
        <v>318</v>
      </c>
    </row>
    <row r="51" spans="1:23" ht="15" customHeight="1">
      <c r="A51" s="37" t="s">
        <v>319</v>
      </c>
    </row>
    <row r="52" spans="1:23" ht="15" customHeight="1">
      <c r="A52" s="37" t="s">
        <v>320</v>
      </c>
    </row>
    <row r="53" spans="1:23" ht="15" customHeight="1">
      <c r="A53" s="37" t="s">
        <v>140</v>
      </c>
    </row>
    <row r="54" spans="1:23" ht="15" customHeight="1">
      <c r="A54" s="38" t="s">
        <v>159</v>
      </c>
    </row>
    <row r="55" spans="1:23" ht="15" customHeight="1">
      <c r="A55" s="38" t="s">
        <v>164</v>
      </c>
      <c r="B55" s="103"/>
      <c r="C55" s="103"/>
      <c r="D55" s="103"/>
      <c r="E55" s="103"/>
    </row>
    <row r="56" spans="1:23" ht="15" customHeight="1">
      <c r="A56" s="38" t="s">
        <v>214</v>
      </c>
    </row>
    <row r="57" spans="1:23" ht="15" customHeight="1">
      <c r="A57" s="38" t="s">
        <v>215</v>
      </c>
    </row>
    <row r="58" spans="1:23" ht="15" customHeight="1">
      <c r="A58" s="18"/>
    </row>
    <row r="59" spans="1:23" ht="15" customHeight="1">
      <c r="A59" s="222" t="s">
        <v>476</v>
      </c>
    </row>
    <row r="60" spans="1:23" ht="15" customHeight="1">
      <c r="A60" s="18"/>
    </row>
    <row r="61" spans="1:23" ht="15" customHeight="1">
      <c r="A61" s="38" t="s">
        <v>365</v>
      </c>
    </row>
    <row r="62" spans="1:23" ht="15" customHeight="1">
      <c r="A62" s="38" t="s">
        <v>444</v>
      </c>
      <c r="B62" s="31"/>
      <c r="C62" s="31"/>
      <c r="D62" s="31"/>
      <c r="E62" s="31"/>
      <c r="F62" s="31"/>
      <c r="G62" s="31"/>
      <c r="H62" s="32"/>
    </row>
    <row r="63" spans="1:23" ht="15" customHeight="1">
      <c r="A63" s="38" t="s">
        <v>446</v>
      </c>
    </row>
    <row r="64" spans="1:23" ht="15" customHeight="1">
      <c r="A64" s="38" t="s">
        <v>477</v>
      </c>
      <c r="M64" s="33"/>
      <c r="N64" s="33"/>
      <c r="O64" s="33"/>
      <c r="P64" s="33"/>
      <c r="Q64" s="33"/>
      <c r="R64" s="33"/>
      <c r="S64" s="33"/>
      <c r="T64" s="33"/>
      <c r="U64" s="33"/>
      <c r="V64" s="33"/>
      <c r="W64" s="33"/>
    </row>
    <row r="65" spans="1:23" ht="15" customHeight="1">
      <c r="A65" s="18"/>
      <c r="M65" s="33"/>
      <c r="N65" s="33"/>
      <c r="O65" s="33"/>
      <c r="P65" s="33"/>
      <c r="Q65" s="33"/>
      <c r="R65" s="33"/>
      <c r="S65" s="33"/>
      <c r="T65" s="33"/>
      <c r="U65" s="33"/>
      <c r="V65" s="33"/>
      <c r="W65" s="33"/>
    </row>
    <row r="66" spans="1:23" ht="15" customHeight="1">
      <c r="A66" s="222" t="s">
        <v>478</v>
      </c>
      <c r="M66" s="33"/>
      <c r="N66" s="33"/>
      <c r="O66" s="33"/>
      <c r="P66" s="33"/>
      <c r="Q66" s="33"/>
      <c r="R66" s="33"/>
      <c r="S66" s="33"/>
      <c r="T66" s="33"/>
      <c r="U66" s="33"/>
      <c r="V66" s="33"/>
      <c r="W66" s="33"/>
    </row>
    <row r="67" spans="1:23" ht="15" customHeight="1">
      <c r="A67" s="18"/>
      <c r="M67" s="33"/>
      <c r="N67" s="33"/>
      <c r="O67" s="33"/>
      <c r="P67" s="33"/>
      <c r="Q67" s="33"/>
      <c r="R67" s="33"/>
      <c r="S67" s="33"/>
      <c r="T67" s="33"/>
      <c r="U67" s="33"/>
      <c r="V67" s="33"/>
      <c r="W67" s="33"/>
    </row>
    <row r="68" spans="1:23" ht="15" customHeight="1">
      <c r="A68" s="38" t="s">
        <v>479</v>
      </c>
      <c r="B68" s="31"/>
      <c r="C68" s="31"/>
      <c r="D68" s="31"/>
      <c r="E68" s="31"/>
      <c r="F68" s="31"/>
      <c r="G68" s="32"/>
      <c r="M68" s="33"/>
      <c r="N68" s="33"/>
      <c r="O68" s="33"/>
      <c r="P68" s="33"/>
      <c r="Q68" s="33"/>
      <c r="R68" s="33"/>
      <c r="S68" s="33"/>
      <c r="T68" s="33"/>
      <c r="U68" s="33"/>
      <c r="V68" s="33"/>
      <c r="W68" s="33"/>
    </row>
    <row r="69" spans="1:23" ht="15" customHeight="1">
      <c r="A69" s="38" t="s">
        <v>480</v>
      </c>
      <c r="M69" s="33"/>
      <c r="N69" s="33"/>
      <c r="O69" s="33"/>
      <c r="P69" s="33"/>
      <c r="Q69" s="33"/>
      <c r="R69" s="33"/>
      <c r="S69" s="33"/>
      <c r="T69" s="33"/>
      <c r="U69" s="33"/>
      <c r="V69" s="33"/>
      <c r="W69" s="33"/>
    </row>
    <row r="70" spans="1:23" ht="15" customHeight="1">
      <c r="A70" s="38" t="s">
        <v>481</v>
      </c>
      <c r="M70" s="33"/>
      <c r="N70" s="33"/>
      <c r="O70" s="33"/>
      <c r="P70" s="33"/>
      <c r="Q70" s="33"/>
      <c r="R70" s="33"/>
      <c r="S70" s="33"/>
      <c r="T70" s="33"/>
      <c r="U70" s="33"/>
      <c r="V70" s="33"/>
      <c r="W70" s="33"/>
    </row>
    <row r="71" spans="1:23" ht="15" customHeight="1">
      <c r="A71" s="38" t="s">
        <v>482</v>
      </c>
      <c r="M71" s="33"/>
      <c r="N71" s="33"/>
      <c r="O71" s="33"/>
      <c r="P71" s="33"/>
      <c r="Q71" s="33"/>
      <c r="R71" s="33"/>
      <c r="S71" s="33"/>
      <c r="T71" s="33"/>
      <c r="U71" s="33"/>
      <c r="V71" s="33"/>
      <c r="W71" s="33"/>
    </row>
    <row r="72" spans="1:23" ht="15" customHeight="1">
      <c r="A72" s="38" t="s">
        <v>483</v>
      </c>
      <c r="M72" s="33"/>
      <c r="N72" s="33"/>
      <c r="O72" s="33"/>
      <c r="P72" s="33"/>
      <c r="Q72" s="33"/>
      <c r="R72" s="33"/>
      <c r="S72" s="33"/>
      <c r="T72" s="33"/>
      <c r="U72" s="33"/>
      <c r="V72" s="33"/>
      <c r="W72" s="33"/>
    </row>
    <row r="73" spans="1:23" ht="15" customHeight="1">
      <c r="A73" s="38" t="s">
        <v>484</v>
      </c>
    </row>
    <row r="74" spans="1:23" ht="15" customHeight="1">
      <c r="A74" s="38" t="s">
        <v>487</v>
      </c>
    </row>
    <row r="75" spans="1:23" ht="15" customHeight="1">
      <c r="A75" s="18"/>
    </row>
    <row r="76" spans="1:23" ht="15" customHeight="1">
      <c r="A76" s="38" t="s">
        <v>485</v>
      </c>
    </row>
    <row r="77" spans="1:23" ht="15" customHeight="1">
      <c r="A77" s="19"/>
    </row>
    <row r="78" spans="1:23" ht="15" customHeight="1">
      <c r="A78" s="38" t="s">
        <v>486</v>
      </c>
    </row>
    <row r="79" spans="1:23" ht="15" customHeight="1">
      <c r="A79" s="19"/>
      <c r="B79" s="31"/>
      <c r="C79" s="31"/>
      <c r="D79" s="31"/>
      <c r="E79" s="32"/>
      <c r="F79" s="32"/>
      <c r="G79" s="32"/>
    </row>
    <row r="80" spans="1:23" ht="15" customHeight="1">
      <c r="A80" s="38" t="s">
        <v>510</v>
      </c>
    </row>
    <row r="81" spans="1:12" ht="15" customHeight="1">
      <c r="A81" s="31"/>
    </row>
    <row r="82" spans="1:12" ht="15" customHeight="1">
      <c r="A82" s="18"/>
    </row>
    <row r="83" spans="1:12" ht="15" customHeight="1">
      <c r="A83" s="19"/>
    </row>
    <row r="84" spans="1:12" ht="15" customHeight="1">
      <c r="A84" s="19"/>
    </row>
    <row r="85" spans="1:12" ht="15" customHeight="1">
      <c r="A85" s="19"/>
      <c r="B85" s="31"/>
      <c r="C85" s="31"/>
      <c r="D85" s="31"/>
      <c r="E85" s="31"/>
      <c r="F85" s="31"/>
      <c r="G85" s="31"/>
      <c r="H85" s="31"/>
      <c r="I85" s="31"/>
      <c r="J85" s="31"/>
      <c r="K85" s="31"/>
      <c r="L85" s="31"/>
    </row>
    <row r="86" spans="1:12" ht="15" customHeight="1">
      <c r="A86" s="18"/>
    </row>
    <row r="87" spans="1:12" ht="15" customHeight="1">
      <c r="A87" s="31"/>
    </row>
    <row r="88" spans="1:12" ht="15" customHeight="1">
      <c r="A88" s="18"/>
    </row>
    <row r="89" spans="1:12" ht="15" customHeight="1">
      <c r="A89" s="18"/>
    </row>
    <row r="90" spans="1:12" ht="15" customHeight="1">
      <c r="A90" s="18"/>
      <c r="B90" s="31"/>
      <c r="C90" s="31"/>
      <c r="D90" s="32"/>
      <c r="E90" s="32"/>
      <c r="F90" s="32"/>
    </row>
    <row r="91" spans="1:12" ht="15" customHeight="1">
      <c r="A91" s="18"/>
    </row>
    <row r="92" spans="1:12" ht="15" customHeight="1">
      <c r="A92" s="31"/>
    </row>
    <row r="93" spans="1:12" ht="15" customHeight="1">
      <c r="A93" s="18"/>
    </row>
    <row r="94" spans="1:12" ht="15" customHeight="1">
      <c r="A94" s="18"/>
    </row>
    <row r="95" spans="1:12" ht="15" customHeight="1">
      <c r="A95" s="18"/>
    </row>
    <row r="96" spans="1:12" s="4" customFormat="1" ht="15" customHeight="1">
      <c r="A96" s="18"/>
      <c r="B96" s="31"/>
      <c r="C96" s="31"/>
      <c r="D96" s="31"/>
      <c r="E96" s="31"/>
      <c r="F96" s="31"/>
      <c r="G96" s="31"/>
      <c r="H96" s="31"/>
      <c r="I96" s="31"/>
    </row>
    <row r="97" spans="1:21" s="4" customFormat="1" ht="15" customHeight="1">
      <c r="A97" s="18"/>
    </row>
    <row r="98" spans="1:21" s="4" customFormat="1" ht="15" customHeight="1">
      <c r="A98" s="31"/>
    </row>
    <row r="99" spans="1:21" s="4" customFormat="1" ht="15" customHeight="1"/>
    <row r="100" spans="1:21" s="4" customFormat="1" ht="15" customHeight="1"/>
    <row r="101" spans="1:21" s="4" customFormat="1" ht="15" customHeight="1"/>
    <row r="102" spans="1:21" ht="15" customHeight="1">
      <c r="A102" s="34"/>
    </row>
    <row r="103" spans="1:21" ht="15" customHeight="1">
      <c r="A103" s="34"/>
    </row>
    <row r="104" spans="1:21" ht="15" customHeight="1">
      <c r="A104" s="18"/>
    </row>
    <row r="105" spans="1:21" s="4" customFormat="1" ht="15" customHeight="1">
      <c r="A105" s="18"/>
      <c r="B105" s="31"/>
      <c r="C105" s="31"/>
      <c r="D105" s="31"/>
      <c r="E105" s="31"/>
      <c r="F105" s="31"/>
      <c r="G105" s="103"/>
      <c r="H105" s="103"/>
      <c r="I105" s="103"/>
      <c r="J105" s="103"/>
      <c r="K105" s="103"/>
    </row>
    <row r="106" spans="1:21" s="4" customFormat="1" ht="15" customHeight="1">
      <c r="A106" s="18"/>
      <c r="M106" s="35"/>
      <c r="N106" s="35"/>
      <c r="O106" s="35"/>
      <c r="P106" s="35"/>
      <c r="Q106" s="35"/>
      <c r="R106" s="35"/>
      <c r="S106" s="35"/>
      <c r="T106" s="35"/>
      <c r="U106" s="35"/>
    </row>
    <row r="107" spans="1:21" s="4" customFormat="1" ht="15" customHeight="1">
      <c r="A107" s="31"/>
      <c r="M107" s="35"/>
      <c r="N107" s="35"/>
      <c r="O107" s="35"/>
      <c r="P107" s="35"/>
      <c r="Q107" s="35"/>
      <c r="R107" s="35"/>
      <c r="S107" s="35"/>
      <c r="T107" s="35"/>
      <c r="U107" s="35"/>
    </row>
    <row r="108" spans="1:21" s="4" customFormat="1" ht="15" customHeight="1">
      <c r="M108" s="35"/>
      <c r="N108" s="35"/>
      <c r="O108" s="35"/>
      <c r="P108" s="35"/>
      <c r="Q108" s="35"/>
      <c r="R108" s="35"/>
      <c r="S108" s="35"/>
      <c r="T108" s="35"/>
      <c r="U108" s="35"/>
    </row>
    <row r="109" spans="1:21" s="4" customFormat="1" ht="15" customHeight="1">
      <c r="M109" s="35"/>
      <c r="N109" s="35"/>
      <c r="O109" s="35"/>
      <c r="P109" s="35"/>
      <c r="Q109" s="35"/>
      <c r="R109" s="35"/>
      <c r="S109" s="35"/>
      <c r="T109" s="35"/>
      <c r="U109" s="35"/>
    </row>
    <row r="110" spans="1:21" s="4" customFormat="1" ht="15" customHeight="1">
      <c r="M110" s="35"/>
      <c r="N110" s="35"/>
      <c r="O110" s="35"/>
      <c r="P110" s="35"/>
      <c r="Q110" s="35"/>
      <c r="R110" s="35"/>
      <c r="S110" s="35"/>
      <c r="T110" s="35"/>
      <c r="U110" s="35"/>
    </row>
    <row r="111" spans="1:21" s="4" customFormat="1" ht="15" customHeight="1">
      <c r="A111" s="34"/>
      <c r="M111" s="35"/>
      <c r="N111" s="35"/>
      <c r="O111" s="35"/>
      <c r="P111" s="35"/>
      <c r="Q111" s="35"/>
      <c r="R111" s="35"/>
      <c r="S111" s="35"/>
      <c r="T111" s="35"/>
      <c r="U111" s="35"/>
    </row>
    <row r="112" spans="1:21" s="4" customFormat="1" ht="15" customHeight="1">
      <c r="A112" s="34"/>
      <c r="M112" s="35"/>
      <c r="N112" s="35"/>
      <c r="O112" s="35"/>
      <c r="P112" s="35"/>
      <c r="Q112" s="35"/>
      <c r="R112" s="35"/>
      <c r="S112" s="35"/>
      <c r="T112" s="35"/>
      <c r="U112" s="35"/>
    </row>
    <row r="113" spans="1:12" s="4" customFormat="1" ht="15" customHeight="1">
      <c r="A113" s="34"/>
    </row>
    <row r="114" spans="1:12" s="4" customFormat="1" ht="15" customHeight="1">
      <c r="A114" s="34"/>
    </row>
    <row r="115" spans="1:12" s="4" customFormat="1" ht="15" customHeight="1">
      <c r="A115" s="34"/>
    </row>
    <row r="116" spans="1:12" ht="15" customHeight="1">
      <c r="A116" s="34"/>
      <c r="B116" s="31"/>
      <c r="C116" s="31"/>
      <c r="D116" s="31"/>
      <c r="E116" s="32"/>
      <c r="F116" s="32"/>
      <c r="G116" s="32"/>
    </row>
    <row r="117" spans="1:12" ht="15" customHeight="1">
      <c r="A117" s="34"/>
    </row>
    <row r="118" spans="1:12" ht="15" customHeight="1">
      <c r="A118" s="31"/>
    </row>
    <row r="120" spans="1:12" ht="15" customHeight="1">
      <c r="A120" s="36"/>
    </row>
    <row r="121" spans="1:12" ht="15" customHeight="1">
      <c r="A121" s="19"/>
      <c r="B121" s="31"/>
      <c r="C121" s="31"/>
      <c r="D121" s="31"/>
      <c r="E121" s="31"/>
      <c r="F121" s="31"/>
      <c r="G121" s="31"/>
      <c r="H121" s="31"/>
      <c r="I121" s="31"/>
      <c r="J121" s="31"/>
      <c r="K121" s="31"/>
      <c r="L121" s="32"/>
    </row>
    <row r="123" spans="1:12" ht="15" customHeight="1">
      <c r="A123" s="31"/>
    </row>
    <row r="124" spans="1:12" ht="15" customHeight="1">
      <c r="A124" s="18"/>
    </row>
    <row r="125" spans="1:12" ht="15" customHeight="1">
      <c r="A125" s="18"/>
    </row>
    <row r="126" spans="1:12" ht="15" customHeight="1">
      <c r="A126" s="18"/>
    </row>
    <row r="127" spans="1:12" ht="15" customHeight="1">
      <c r="A127" s="18"/>
    </row>
    <row r="128" spans="1:12" ht="15" customHeight="1">
      <c r="A128" s="18"/>
      <c r="B128" s="31"/>
      <c r="C128" s="31"/>
      <c r="D128" s="31"/>
      <c r="E128" s="31"/>
      <c r="F128" s="31"/>
      <c r="G128" s="32"/>
    </row>
    <row r="129" spans="1:8" ht="15" customHeight="1">
      <c r="A129" s="18"/>
    </row>
    <row r="130" spans="1:8" ht="15" customHeight="1">
      <c r="A130" s="31"/>
    </row>
    <row r="131" spans="1:8" ht="15" customHeight="1">
      <c r="A131" s="18"/>
    </row>
    <row r="132" spans="1:8" ht="15" customHeight="1">
      <c r="A132" s="19"/>
    </row>
    <row r="133" spans="1:8" ht="15" customHeight="1">
      <c r="A133" s="18"/>
    </row>
    <row r="134" spans="1:8" ht="15" customHeight="1">
      <c r="A134" s="18"/>
      <c r="B134" s="31"/>
      <c r="C134" s="31"/>
      <c r="D134" s="31"/>
      <c r="E134" s="31"/>
      <c r="F134" s="31"/>
      <c r="G134" s="32"/>
      <c r="H134" s="32"/>
    </row>
    <row r="136" spans="1:8" ht="15" customHeight="1">
      <c r="A136" s="31"/>
    </row>
    <row r="137" spans="1:8" ht="15" customHeight="1">
      <c r="A137" s="18"/>
    </row>
    <row r="138" spans="1:8" ht="15" customHeight="1">
      <c r="A138" s="18"/>
    </row>
    <row r="139" spans="1:8" ht="15" customHeight="1">
      <c r="A139" s="18"/>
    </row>
    <row r="140" spans="1:8" ht="15" customHeight="1">
      <c r="A140" s="19"/>
    </row>
    <row r="141" spans="1:8" ht="15" customHeight="1">
      <c r="A141" s="19"/>
    </row>
    <row r="142" spans="1:8" ht="15" customHeight="1">
      <c r="A142" s="19"/>
      <c r="B142" s="31"/>
      <c r="C142" s="31"/>
      <c r="D142" s="32"/>
      <c r="E142" s="32"/>
      <c r="F142" s="32"/>
      <c r="G142" s="32"/>
    </row>
    <row r="144" spans="1:8" ht="15" customHeight="1">
      <c r="A144" s="31"/>
    </row>
    <row r="147" spans="1:11" ht="15" customHeight="1">
      <c r="A147" s="19"/>
    </row>
    <row r="148" spans="1:11" ht="15" customHeight="1">
      <c r="A148" s="19"/>
      <c r="B148" s="31"/>
      <c r="C148" s="31"/>
      <c r="D148" s="31"/>
      <c r="E148" s="31"/>
      <c r="F148" s="31"/>
      <c r="G148" s="31"/>
      <c r="H148" s="31"/>
      <c r="I148" s="31"/>
      <c r="J148" s="31"/>
      <c r="K148" s="32"/>
    </row>
    <row r="150" spans="1:11" ht="15" customHeight="1">
      <c r="A150" s="31"/>
    </row>
    <row r="151" spans="1:11" ht="15" customHeight="1">
      <c r="A151" s="18"/>
    </row>
    <row r="152" spans="1:11" ht="15" customHeight="1">
      <c r="A152" s="18"/>
    </row>
    <row r="153" spans="1:11" ht="15" customHeight="1">
      <c r="A153" s="18"/>
      <c r="B153" s="32"/>
      <c r="C153" s="32"/>
      <c r="D153" s="32"/>
    </row>
    <row r="155" spans="1:11" ht="15" customHeight="1">
      <c r="A155" s="32"/>
    </row>
    <row r="158" spans="1:11" ht="15" customHeight="1">
      <c r="B158" s="32"/>
      <c r="C158" s="32"/>
      <c r="D158" s="32"/>
      <c r="E158" s="32"/>
    </row>
    <row r="160" spans="1:11" ht="15" customHeight="1">
      <c r="A160" s="32"/>
    </row>
    <row r="163" spans="1:5" ht="15" customHeight="1">
      <c r="B163" s="31"/>
      <c r="C163" s="31"/>
      <c r="D163" s="31"/>
      <c r="E163" s="31"/>
    </row>
    <row r="165" spans="1:5" ht="15" customHeight="1">
      <c r="A165" s="31"/>
    </row>
    <row r="167" spans="1:5" ht="15" customHeight="1">
      <c r="B167" s="32"/>
      <c r="C167" s="32"/>
      <c r="D167" s="32"/>
    </row>
    <row r="169" spans="1:5" ht="15" customHeight="1">
      <c r="A169" s="32"/>
    </row>
    <row r="172" spans="1:5" ht="15" customHeight="1">
      <c r="B172" s="32"/>
      <c r="C172" s="32"/>
      <c r="D172" s="32"/>
    </row>
    <row r="174" spans="1:5" ht="15" customHeight="1">
      <c r="A174" s="32"/>
    </row>
  </sheetData>
  <sheetProtection algorithmName="SHA-512" hashValue="n0ZUMf/F9u+N6OQnagHq5jPWwS1quId3m1xVpJyWRO30vEoQH0YRO3/i6fhKkwDsJwAlUTQNaq1LipO8tDQZsw==" saltValue="F8ym0OaJwxuV1eERkwA2ZA==" spinCount="100000" sheet="1" objects="1" scenarios="1"/>
  <mergeCells count="7">
    <mergeCell ref="A2:L2"/>
    <mergeCell ref="A16:L16"/>
    <mergeCell ref="A18:L27"/>
    <mergeCell ref="A29:L29"/>
    <mergeCell ref="A41:L41"/>
    <mergeCell ref="F6:I6"/>
    <mergeCell ref="F7:I7"/>
  </mergeCells>
  <dataValidations count="1">
    <dataValidation type="list" allowBlank="1" showInputMessage="1" showErrorMessage="1" sqref="I12" xr:uid="{E4D7E5AF-7004-460E-97C4-9598293420B1}">
      <formula1>"2023,2024"</formula1>
    </dataValidation>
  </dataValidations>
  <hyperlinks>
    <hyperlink ref="A45" location="ASSUMPTIES!A1" display="Assumpties" xr:uid="{00000000-0004-0000-0000-000000000000}"/>
    <hyperlink ref="A54" location="'T2'!A1" display="TABEL 1: Budget per tariefcomponent voor gereguleerde activiteit 'elektriciteit'" xr:uid="{00000000-0004-0000-0000-000001000000}"/>
    <hyperlink ref="A55" location="'T2'!A1" display="TABEL 2: Budget per energierichting, spanningsniveau en klantengroep voor gereguleerde activiteit 'elektriciteit'" xr:uid="{00000000-0004-0000-0000-000002000000}"/>
    <hyperlink ref="A46" location="VDSL!A1" display="Verdeelsleutels" xr:uid="{00000000-0004-0000-0000-000003000000}"/>
    <hyperlink ref="A47" location="REKENVOLUMES!A1" display="Rekenvolumes" xr:uid="{00000000-0004-0000-0000-000004000000}"/>
    <hyperlink ref="A56" location="'T3'!A1" display="TABEL 3: Tarieven vóór de toepassing van de maximumtarieven" xr:uid="{00000000-0004-0000-0000-000005000000}"/>
    <hyperlink ref="A57" location="'T4'!A1" display="TABEL 4: Tarieven na de toepassing van de maximumtarieven" xr:uid="{00000000-0004-0000-0000-000006000000}"/>
    <hyperlink ref="A48" location="MAXIMUM!A1" display="Maximum" xr:uid="{00000000-0004-0000-0000-000007000000}"/>
    <hyperlink ref="A49" location="'Max Afname TRHS'!A1" display="Max Afname TRHS" xr:uid="{B266AD43-8361-49FA-A089-AABB68C77BE9}"/>
    <hyperlink ref="A50" location="'Max Afname MS'!A1" display="Max Afname MS" xr:uid="{1D5464AA-6592-4569-8913-008732DCAAB8}"/>
    <hyperlink ref="A51" location="'Max Afname TRLS'!A1" display="Max Afname TRLS" xr:uid="{FEEBF6B3-1073-4D62-9AAD-42B4182A9B08}"/>
    <hyperlink ref="A52" location="'Max Afname LS'!A1" display="Max Afname LS" xr:uid="{94619F77-7DC9-46C0-BF36-E4B28AFFE011}"/>
    <hyperlink ref="A53" location="'Max Injectie'!A1" display="Max Injectie" xr:uid="{8FFA10CC-EC5A-48F5-B7CC-D65B25510F36}"/>
    <hyperlink ref="A64" location="'T8'!A1" display="TABEL 8: Rekenvolumes en reconciliatie van budget voor gereguleerde activiteit 'aardgas'" xr:uid="{7F622ABC-8317-4B90-8A10-2C4D377157DA}"/>
    <hyperlink ref="A63" location="'T7'!A1" display="TABEL 7: Periodieke distributienettarieven voor gereguleerde activiteit 'aardgas'" xr:uid="{307E51D0-39D6-46A9-B146-87D9631E8B6F}"/>
    <hyperlink ref="A62" location="'T6'!A1" display="TABEL 6: Budget per energierichting en klantengroep voor gereguleerde activiteit 'aardgas'" xr:uid="{23383B72-6916-4AAC-A6B2-B73CF8EBC139}"/>
    <hyperlink ref="A61" location="'T5'!A1" display="TABEL 5: Budget per tariefcomponent voor gereguleerde activiteit 'aardgas'" xr:uid="{914B541C-1023-4A02-B2E1-1AD6511AFA42}"/>
    <hyperlink ref="A68" location="'ELEK Afname'!A1" display="ELEK Afname" xr:uid="{792AD356-66E3-4DB5-9155-CEA4A9C95E5F}"/>
    <hyperlink ref="A69" location="'ELEK Afname Trans HS'!A1" display="ELEK Afname Trans HS" xr:uid="{105CF465-E048-4D0E-801A-A5F4EE295693}"/>
    <hyperlink ref="A70" location="'ELEK Afname &gt;26-36 kV'!A1" display="ELEK Afname &gt;26-36 kV" xr:uid="{7C8BCE03-CB79-4456-8E4E-CF61D1DEC73D}"/>
    <hyperlink ref="A71" location="'ELEK Afname 26-1 kV'!A1" display="ELEK Afname 26-1 kV" xr:uid="{49BAF0C2-C8E6-450B-B3B0-3E1CA48B9F7B}"/>
    <hyperlink ref="A72" location="'ELEK Afname Trans LS'!A1" display="ELEK Afname Trans LS" xr:uid="{90731D79-463F-4B55-9D88-A305AEC06C31}"/>
    <hyperlink ref="A73" location="'ELEK Afname LS'!A1" display="ELEK Afname LS" xr:uid="{28A2746E-F40B-4EAD-BBE5-94D08E502E1A}"/>
    <hyperlink ref="A74" location="'ELEK Afname Doorvoer'!A1" display="ELEK Afname Doorvoer" xr:uid="{0AE58A8F-BC3A-423A-9435-700C3DECE5CF}"/>
    <hyperlink ref="A76" location="'ELEK Injectie'!A1" display="ELEK Injectie" xr:uid="{CC06E8CA-27F9-4AD2-8F38-4F4619B67828}"/>
    <hyperlink ref="A78" location="'GAS Afname'!A1" display="GAS Afname" xr:uid="{4EC429E3-A11B-40B0-8BB0-D0C1A2BB51D3}"/>
    <hyperlink ref="A80" location="'GAS Injectie'!A1" display="Gas Injectie" xr:uid="{79A64CD5-F75E-41F1-B735-6F6C44F1E9EE}"/>
  </hyperlinks>
  <pageMargins left="0.98425196850393704" right="0.23622047244094491" top="0.82677165354330717" bottom="0.70866141732283472" header="0.74803149606299213" footer="0.47244094488188981"/>
  <pageSetup paperSize="8" scale="52" orientation="portrait" r:id="rId1"/>
  <headerFooter alignWithMargins="0">
    <oddFooter>&amp;C&amp;P/&amp;N</oddFooter>
  </headerFooter>
  <colBreaks count="1" manualBreakCount="1">
    <brk id="13"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42EEE-A511-4635-9D53-2A88B7A64C05}">
  <sheetPr published="0">
    <tabColor rgb="FFD8E4BC"/>
  </sheetPr>
  <dimension ref="A1"/>
  <sheetViews>
    <sheetView workbookViewId="0"/>
  </sheetViews>
  <sheetFormatPr defaultRowHeight="14.5"/>
  <sheetData/>
  <sheetProtection algorithmName="SHA-512" hashValue="KsM98gToDKaY8CosZXfsIKCatV4ODVmIPHajyHtLW+EraLqtUDp65Y4teYJYFsXaKU61n4N7zXkjTC5REkkIEA==" saltValue="dz2l08L9wIQwB4vQf/fcCQ=="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14"/>
  <dimension ref="A1:N126"/>
  <sheetViews>
    <sheetView tabSelected="1" topLeftCell="A4" zoomScaleNormal="100" workbookViewId="0">
      <selection activeCell="B32" sqref="B32"/>
    </sheetView>
  </sheetViews>
  <sheetFormatPr defaultColWidth="10.7265625" defaultRowHeight="14.5"/>
  <cols>
    <col min="1" max="1" width="5.7265625" style="3" customWidth="1"/>
    <col min="2" max="2" width="30.7265625" style="3" customWidth="1"/>
    <col min="3" max="3" width="40.7265625" style="3" customWidth="1"/>
    <col min="4" max="4" width="10.7265625" style="3" customWidth="1"/>
    <col min="5" max="5" width="20.7265625" style="3" customWidth="1"/>
    <col min="6" max="6" width="5.7265625" style="3" customWidth="1"/>
    <col min="7" max="8" width="40.7265625" style="3" customWidth="1"/>
    <col min="9" max="10" width="5.7265625" style="3" customWidth="1"/>
    <col min="11" max="16384" width="10.7265625" style="3"/>
  </cols>
  <sheetData>
    <row r="1" spans="1:14" ht="30" customHeight="1" thickBot="1">
      <c r="A1" s="1702" t="s">
        <v>180</v>
      </c>
      <c r="B1" s="1703"/>
      <c r="C1" s="1704"/>
      <c r="D1" s="1704"/>
      <c r="E1" s="1703"/>
      <c r="F1" s="1703"/>
      <c r="G1" s="1703"/>
      <c r="H1" s="1703"/>
      <c r="I1" s="1705"/>
    </row>
    <row r="3" spans="1:14" ht="15" thickBot="1"/>
    <row r="4" spans="1:14" ht="15" thickBot="1">
      <c r="C4" s="129" t="s">
        <v>6</v>
      </c>
      <c r="D4" s="129"/>
      <c r="E4" s="1706" t="str">
        <f>DNB</f>
        <v>Naam distributienetbeheerder</v>
      </c>
      <c r="F4" s="1707"/>
      <c r="G4" s="1708"/>
      <c r="H4" s="134"/>
    </row>
    <row r="7" spans="1:14">
      <c r="A7" s="578"/>
      <c r="B7" s="1700" t="s">
        <v>170</v>
      </c>
      <c r="C7" s="1700"/>
      <c r="D7" s="1700"/>
      <c r="E7" s="1700"/>
      <c r="F7" s="1700"/>
      <c r="G7" s="1700"/>
      <c r="H7" s="579"/>
      <c r="I7" s="580"/>
    </row>
    <row r="9" spans="1:14">
      <c r="B9" s="581" t="s">
        <v>288</v>
      </c>
    </row>
    <row r="10" spans="1:14" ht="15" thickBot="1"/>
    <row r="11" spans="1:14" ht="17" thickBot="1">
      <c r="B11" s="582" t="s">
        <v>273</v>
      </c>
      <c r="C11" s="582"/>
      <c r="D11" s="582"/>
      <c r="E11" s="583">
        <v>0.5</v>
      </c>
      <c r="G11" s="3" t="s">
        <v>259</v>
      </c>
    </row>
    <row r="12" spans="1:14" ht="17" thickBot="1">
      <c r="B12" s="582" t="s">
        <v>274</v>
      </c>
      <c r="C12" s="582"/>
      <c r="D12" s="582"/>
      <c r="E12" s="583">
        <f>1-$E$11</f>
        <v>0.5</v>
      </c>
      <c r="G12" s="3" t="s">
        <v>173</v>
      </c>
    </row>
    <row r="13" spans="1:14" ht="17" thickBot="1">
      <c r="B13" s="582" t="s">
        <v>275</v>
      </c>
      <c r="C13" s="582"/>
      <c r="D13" s="582"/>
      <c r="E13" s="584">
        <f>PROCENT_MP/PROCENT_TV</f>
        <v>1</v>
      </c>
      <c r="K13" s="1699" t="s">
        <v>291</v>
      </c>
      <c r="L13" s="1699"/>
      <c r="M13" s="1699"/>
      <c r="N13" s="1699"/>
    </row>
    <row r="14" spans="1:14" ht="15" thickBot="1">
      <c r="B14" s="582"/>
      <c r="C14" s="582"/>
      <c r="D14" s="582"/>
      <c r="E14" s="56"/>
      <c r="K14" s="1699"/>
      <c r="L14" s="1699"/>
      <c r="M14" s="1699"/>
      <c r="N14" s="1699"/>
    </row>
    <row r="15" spans="1:14" ht="17" thickBot="1">
      <c r="B15" s="582" t="s">
        <v>668</v>
      </c>
      <c r="C15" s="582"/>
      <c r="D15" s="582"/>
      <c r="E15" s="585">
        <v>1.5</v>
      </c>
      <c r="G15" s="3" t="s">
        <v>259</v>
      </c>
    </row>
    <row r="16" spans="1:14">
      <c r="B16" s="582"/>
      <c r="C16" s="582"/>
      <c r="D16" s="582"/>
      <c r="E16" s="56"/>
      <c r="G16" s="3" t="s">
        <v>512</v>
      </c>
    </row>
    <row r="17" spans="2:7" ht="15" thickBot="1">
      <c r="E17" s="56"/>
    </row>
    <row r="18" spans="2:7" ht="17" thickBot="1">
      <c r="B18" s="582" t="s">
        <v>276</v>
      </c>
      <c r="C18" s="582"/>
      <c r="D18" s="582"/>
      <c r="E18" s="583">
        <v>0.8</v>
      </c>
      <c r="G18" s="3" t="s">
        <v>175</v>
      </c>
    </row>
    <row r="19" spans="2:7" ht="17" thickBot="1">
      <c r="B19" s="582" t="s">
        <v>277</v>
      </c>
      <c r="C19" s="582"/>
      <c r="D19" s="582"/>
      <c r="E19" s="583">
        <f>1-$E$18</f>
        <v>0.19999999999999996</v>
      </c>
      <c r="G19" s="3" t="s">
        <v>174</v>
      </c>
    </row>
    <row r="20" spans="2:7" ht="15" thickBot="1">
      <c r="E20" s="56"/>
    </row>
    <row r="21" spans="2:7" ht="17" thickBot="1">
      <c r="B21" s="582" t="s">
        <v>278</v>
      </c>
      <c r="C21" s="582"/>
      <c r="D21" s="582"/>
      <c r="E21" s="585">
        <v>2.5</v>
      </c>
      <c r="G21" s="3" t="s">
        <v>177</v>
      </c>
    </row>
    <row r="22" spans="2:7">
      <c r="E22" s="56"/>
      <c r="G22" s="3" t="s">
        <v>176</v>
      </c>
    </row>
    <row r="23" spans="2:7">
      <c r="E23" s="56"/>
    </row>
    <row r="24" spans="2:7">
      <c r="B24" s="586" t="s">
        <v>313</v>
      </c>
      <c r="C24" s="582"/>
      <c r="D24" s="582"/>
      <c r="E24" s="587"/>
    </row>
    <row r="25" spans="2:7" ht="15" thickBot="1">
      <c r="B25" s="588"/>
      <c r="C25" s="582"/>
      <c r="D25" s="582"/>
      <c r="E25" s="587"/>
    </row>
    <row r="26" spans="2:7" ht="15" thickBot="1">
      <c r="B26" s="582" t="s">
        <v>490</v>
      </c>
      <c r="C26" s="582"/>
      <c r="D26" s="582"/>
      <c r="E26" s="594"/>
    </row>
    <row r="27" spans="2:7" ht="15" thickBot="1">
      <c r="B27" s="582" t="s">
        <v>491</v>
      </c>
      <c r="C27" s="582"/>
      <c r="D27" s="582"/>
      <c r="E27" s="594"/>
      <c r="G27" s="589"/>
    </row>
    <row r="28" spans="2:7" ht="15" thickBot="1">
      <c r="B28" s="582" t="s">
        <v>492</v>
      </c>
      <c r="C28" s="582"/>
      <c r="D28" s="582"/>
      <c r="E28" s="594"/>
    </row>
    <row r="29" spans="2:7" ht="15" thickBot="1">
      <c r="B29" s="582" t="s">
        <v>493</v>
      </c>
      <c r="C29" s="582"/>
      <c r="D29" s="582"/>
      <c r="E29" s="594"/>
    </row>
    <row r="30" spans="2:7" ht="15" thickBot="1">
      <c r="B30" s="588"/>
      <c r="C30" s="582"/>
      <c r="D30" s="582"/>
      <c r="E30" s="590"/>
    </row>
    <row r="31" spans="2:7" ht="15" thickBot="1">
      <c r="B31" s="588" t="str">
        <f>"Consumptieprijsindex voor juli "&amp;JAAR-1</f>
        <v>Consumptieprijsindex voor juli -1</v>
      </c>
      <c r="C31" s="582"/>
      <c r="D31" s="582"/>
      <c r="E31" s="595"/>
      <c r="G31" s="3" t="s">
        <v>513</v>
      </c>
    </row>
    <row r="32" spans="2:7" ht="15" thickBot="1">
      <c r="B32" s="588" t="s">
        <v>279</v>
      </c>
      <c r="C32" s="582"/>
      <c r="D32" s="582"/>
      <c r="E32" s="595"/>
    </row>
    <row r="33" spans="2:7">
      <c r="B33" s="588"/>
      <c r="C33" s="582"/>
      <c r="D33" s="582"/>
      <c r="E33" s="587"/>
    </row>
    <row r="34" spans="2:7">
      <c r="B34" s="586" t="s">
        <v>669</v>
      </c>
      <c r="C34" s="582"/>
      <c r="D34" s="582"/>
      <c r="E34" s="587"/>
    </row>
    <row r="35" spans="2:7" ht="15" thickBot="1">
      <c r="B35" s="582"/>
      <c r="C35" s="582"/>
      <c r="D35" s="582"/>
      <c r="E35" s="587"/>
    </row>
    <row r="36" spans="2:7" ht="15" thickBot="1">
      <c r="B36" s="582" t="s">
        <v>284</v>
      </c>
      <c r="C36" s="582"/>
      <c r="D36" s="582"/>
      <c r="E36" s="583">
        <v>0.3</v>
      </c>
      <c r="G36" s="3" t="s">
        <v>171</v>
      </c>
    </row>
    <row r="37" spans="2:7" ht="15" thickBot="1">
      <c r="B37" s="582" t="s">
        <v>286</v>
      </c>
      <c r="C37" s="582"/>
      <c r="D37" s="582"/>
      <c r="E37" s="1085"/>
      <c r="G37" s="3" t="s">
        <v>172</v>
      </c>
    </row>
    <row r="38" spans="2:7" ht="15" thickBot="1">
      <c r="B38" s="582" t="s">
        <v>285</v>
      </c>
      <c r="C38" s="582"/>
      <c r="D38" s="582"/>
      <c r="E38" s="1085"/>
    </row>
    <row r="39" spans="2:7" ht="15" thickBot="1">
      <c r="E39" s="56"/>
    </row>
    <row r="40" spans="2:7" ht="15" thickBot="1">
      <c r="B40" s="582" t="s">
        <v>181</v>
      </c>
      <c r="C40" s="582"/>
      <c r="D40" s="582"/>
      <c r="E40" s="1118" t="str">
        <f>IF(JAAR=2022,60%,IF(JAAR=2023,50%,IF(JAAR=2024,40%,"FOUT")))</f>
        <v>FOUT</v>
      </c>
      <c r="G40" s="3" t="s">
        <v>178</v>
      </c>
    </row>
    <row r="41" spans="2:7">
      <c r="E41" s="56"/>
      <c r="G41" s="1119" t="s">
        <v>520</v>
      </c>
    </row>
    <row r="42" spans="2:7">
      <c r="B42" s="591" t="s">
        <v>670</v>
      </c>
      <c r="C42" s="582"/>
      <c r="D42" s="582"/>
      <c r="E42" s="587"/>
    </row>
    <row r="43" spans="2:7">
      <c r="B43" s="592"/>
      <c r="C43" s="582"/>
      <c r="D43" s="582"/>
      <c r="E43" s="587"/>
    </row>
    <row r="44" spans="2:7">
      <c r="B44" s="588"/>
      <c r="C44" s="582"/>
      <c r="D44" s="582"/>
      <c r="E44" s="587"/>
    </row>
    <row r="45" spans="2:7">
      <c r="B45" s="591" t="s">
        <v>671</v>
      </c>
      <c r="C45" s="582"/>
      <c r="D45" s="582"/>
      <c r="E45" s="587"/>
    </row>
    <row r="46" spans="2:7" ht="15" thickBot="1"/>
    <row r="47" spans="2:7" ht="15" thickBot="1">
      <c r="B47" s="3" t="s">
        <v>497</v>
      </c>
      <c r="E47" s="1084"/>
      <c r="G47" s="3" t="s">
        <v>519</v>
      </c>
    </row>
    <row r="48" spans="2:7" ht="15" thickBot="1">
      <c r="B48" s="3" t="s">
        <v>280</v>
      </c>
      <c r="E48" s="583">
        <v>0.9</v>
      </c>
      <c r="G48" s="3" t="s">
        <v>216</v>
      </c>
    </row>
    <row r="49" spans="1:9" ht="15" thickBot="1">
      <c r="B49" s="3" t="s">
        <v>281</v>
      </c>
      <c r="E49" s="593">
        <v>950</v>
      </c>
    </row>
    <row r="50" spans="1:9" ht="15" thickBot="1">
      <c r="B50" s="3" t="s">
        <v>282</v>
      </c>
      <c r="E50" s="583">
        <v>0.36</v>
      </c>
    </row>
    <row r="52" spans="1:9">
      <c r="B52" s="581" t="s">
        <v>314</v>
      </c>
    </row>
    <row r="53" spans="1:9" ht="15" thickBot="1"/>
    <row r="54" spans="1:9" ht="15" thickBot="1">
      <c r="B54" s="582" t="s">
        <v>283</v>
      </c>
      <c r="C54" s="582"/>
      <c r="D54" s="582"/>
      <c r="E54" s="583">
        <v>0.75</v>
      </c>
      <c r="G54" s="3" t="s">
        <v>179</v>
      </c>
    </row>
    <row r="55" spans="1:9">
      <c r="B55" s="582"/>
      <c r="C55" s="582"/>
      <c r="D55" s="582"/>
      <c r="E55" s="587"/>
    </row>
    <row r="56" spans="1:9">
      <c r="B56" s="582"/>
      <c r="C56" s="582"/>
      <c r="D56" s="582"/>
      <c r="E56" s="587"/>
    </row>
    <row r="57" spans="1:9">
      <c r="B57" s="582"/>
      <c r="C57" s="582"/>
      <c r="D57" s="582"/>
      <c r="E57" s="587"/>
    </row>
    <row r="58" spans="1:9">
      <c r="A58" s="578"/>
      <c r="B58" s="1700" t="s">
        <v>187</v>
      </c>
      <c r="C58" s="1700"/>
      <c r="D58" s="1700"/>
      <c r="E58" s="1700"/>
      <c r="F58" s="1700"/>
      <c r="G58" s="1700"/>
      <c r="H58" s="579"/>
      <c r="I58" s="580"/>
    </row>
    <row r="60" spans="1:9">
      <c r="B60" s="581" t="s">
        <v>289</v>
      </c>
    </row>
    <row r="62" spans="1:9">
      <c r="B62" s="1709" t="s">
        <v>511</v>
      </c>
      <c r="C62" s="1709"/>
      <c r="D62" s="1709"/>
      <c r="E62" s="1709"/>
      <c r="F62" s="1709"/>
      <c r="G62" s="1709"/>
      <c r="H62" s="1709"/>
    </row>
    <row r="64" spans="1:9">
      <c r="B64" s="3" t="s">
        <v>97</v>
      </c>
      <c r="E64" s="1709" t="s">
        <v>266</v>
      </c>
      <c r="F64" s="1709"/>
      <c r="G64" s="1709"/>
      <c r="H64" s="1709"/>
    </row>
    <row r="65" spans="2:9">
      <c r="B65" s="3" t="s">
        <v>127</v>
      </c>
      <c r="E65" s="1709"/>
      <c r="F65" s="1709"/>
      <c r="G65" s="1709"/>
      <c r="H65" s="1709"/>
    </row>
    <row r="67" spans="2:9">
      <c r="B67" s="3" t="s">
        <v>128</v>
      </c>
      <c r="E67" s="1709" t="s">
        <v>267</v>
      </c>
      <c r="F67" s="1709"/>
      <c r="G67" s="1709"/>
      <c r="H67" s="1709"/>
    </row>
    <row r="68" spans="2:9">
      <c r="B68" s="3" t="s">
        <v>260</v>
      </c>
      <c r="E68" s="1709"/>
      <c r="F68" s="1709"/>
      <c r="G68" s="1709"/>
      <c r="H68" s="1709"/>
    </row>
    <row r="69" spans="2:9">
      <c r="B69" s="3" t="s">
        <v>261</v>
      </c>
      <c r="E69" s="1709"/>
      <c r="F69" s="1709"/>
      <c r="G69" s="1709"/>
      <c r="H69" s="1709"/>
    </row>
    <row r="71" spans="2:9">
      <c r="B71" s="3" t="s">
        <v>98</v>
      </c>
    </row>
    <row r="73" spans="2:9">
      <c r="B73" s="3" t="s">
        <v>114</v>
      </c>
      <c r="E73" s="1709" t="s">
        <v>292</v>
      </c>
      <c r="F73" s="1709"/>
      <c r="G73" s="1709"/>
      <c r="H73" s="1709"/>
    </row>
    <row r="74" spans="2:9">
      <c r="B74" s="3" t="s">
        <v>494</v>
      </c>
      <c r="E74" s="1709"/>
      <c r="F74" s="1709"/>
      <c r="G74" s="1709"/>
      <c r="H74" s="1709"/>
    </row>
    <row r="75" spans="2:9">
      <c r="B75" s="3" t="s">
        <v>115</v>
      </c>
      <c r="E75" s="1709" t="s">
        <v>496</v>
      </c>
      <c r="F75" s="1709"/>
      <c r="G75" s="1709"/>
      <c r="H75" s="1709"/>
      <c r="I75" s="1709"/>
    </row>
    <row r="76" spans="2:9">
      <c r="B76" s="3" t="s">
        <v>495</v>
      </c>
      <c r="E76" s="1709"/>
      <c r="F76" s="1709"/>
      <c r="G76" s="1709"/>
      <c r="H76" s="1709"/>
      <c r="I76" s="1709"/>
    </row>
    <row r="77" spans="2:9">
      <c r="B77" s="3" t="s">
        <v>116</v>
      </c>
      <c r="E77" s="1709"/>
      <c r="F77" s="1709"/>
      <c r="G77" s="1709"/>
      <c r="H77" s="1709"/>
      <c r="I77" s="1709"/>
    </row>
    <row r="79" spans="2:9">
      <c r="B79" s="3" t="s">
        <v>203</v>
      </c>
      <c r="E79" s="1709" t="s">
        <v>269</v>
      </c>
      <c r="F79" s="1709"/>
      <c r="G79" s="1709"/>
      <c r="H79" s="1709"/>
    </row>
    <row r="80" spans="2:9">
      <c r="B80" s="3" t="s">
        <v>258</v>
      </c>
      <c r="E80" s="1709"/>
      <c r="F80" s="1709"/>
      <c r="G80" s="1709"/>
      <c r="H80" s="1709"/>
    </row>
    <row r="81" spans="2:8">
      <c r="B81" s="3" t="s">
        <v>262</v>
      </c>
      <c r="E81" s="1709"/>
      <c r="F81" s="1709"/>
      <c r="G81" s="1709"/>
      <c r="H81" s="1709"/>
    </row>
    <row r="82" spans="2:8">
      <c r="B82" s="3" t="s">
        <v>99</v>
      </c>
      <c r="E82" s="1709"/>
      <c r="F82" s="1709"/>
      <c r="G82" s="1709"/>
      <c r="H82" s="1709"/>
    </row>
    <row r="83" spans="2:8">
      <c r="B83" s="3" t="s">
        <v>100</v>
      </c>
      <c r="E83" s="1709"/>
      <c r="F83" s="1709"/>
      <c r="G83" s="1709"/>
      <c r="H83" s="1709"/>
    </row>
    <row r="87" spans="2:8" ht="16.5">
      <c r="B87" s="581" t="s">
        <v>290</v>
      </c>
    </row>
    <row r="89" spans="2:8">
      <c r="B89" s="3" t="s">
        <v>184</v>
      </c>
    </row>
    <row r="97" spans="2:8">
      <c r="B97" s="3" t="s">
        <v>185</v>
      </c>
    </row>
    <row r="101" spans="2:8">
      <c r="B101" s="3" t="s">
        <v>186</v>
      </c>
    </row>
    <row r="105" spans="2:8" ht="30" customHeight="1">
      <c r="B105" s="1701" t="s">
        <v>287</v>
      </c>
      <c r="C105" s="1701"/>
      <c r="D105" s="1701"/>
      <c r="E105" s="1701"/>
      <c r="F105" s="1701"/>
      <c r="G105" s="1701"/>
      <c r="H105" s="1701"/>
    </row>
    <row r="107" spans="2:8">
      <c r="H107" s="589"/>
    </row>
    <row r="116" spans="2:8" ht="30" customHeight="1">
      <c r="B116" s="1701" t="s">
        <v>219</v>
      </c>
      <c r="C116" s="1701"/>
      <c r="D116" s="1701"/>
      <c r="E116" s="1701"/>
      <c r="F116" s="1701"/>
      <c r="G116" s="1701"/>
      <c r="H116" s="1701"/>
    </row>
    <row r="118" spans="2:8">
      <c r="B118" s="3" t="s">
        <v>182</v>
      </c>
    </row>
    <row r="120" spans="2:8" ht="15" customHeight="1">
      <c r="C120" s="1710" t="s">
        <v>183</v>
      </c>
      <c r="D120" s="1710"/>
      <c r="E120" s="1710"/>
      <c r="F120" s="1710"/>
      <c r="G120" s="1710"/>
      <c r="H120" s="1710"/>
    </row>
    <row r="122" spans="2:8" ht="30" customHeight="1">
      <c r="C122" s="1710" t="s">
        <v>528</v>
      </c>
      <c r="D122" s="1710"/>
      <c r="E122" s="1710"/>
      <c r="F122" s="1710"/>
      <c r="G122" s="1710"/>
      <c r="H122" s="1710"/>
    </row>
    <row r="124" spans="2:8" ht="30" customHeight="1">
      <c r="C124" s="1710" t="s">
        <v>256</v>
      </c>
      <c r="D124" s="1710"/>
      <c r="E124" s="1710"/>
      <c r="F124" s="1710"/>
      <c r="G124" s="1710"/>
      <c r="H124" s="1710"/>
    </row>
    <row r="126" spans="2:8" ht="30" customHeight="1">
      <c r="C126" s="1710" t="s">
        <v>257</v>
      </c>
      <c r="D126" s="1710"/>
      <c r="E126" s="1710"/>
      <c r="F126" s="1710"/>
      <c r="G126" s="1710"/>
      <c r="H126" s="1710"/>
    </row>
  </sheetData>
  <sheetProtection algorithmName="SHA-512" hashValue="/CtgvJwijeMfCaDgf3I23rccryoORm9yqvAUns7FolXPk07j+2e2305kLgZMyFrVPjEG8OtP4l/U7Yatags71g==" saltValue="knlGpGLkTRvB6pKBDut0Hg==" spinCount="100000" sheet="1" objects="1" scenarios="1"/>
  <mergeCells count="17">
    <mergeCell ref="C120:H120"/>
    <mergeCell ref="C122:H122"/>
    <mergeCell ref="C124:H124"/>
    <mergeCell ref="C126:H126"/>
    <mergeCell ref="E64:H65"/>
    <mergeCell ref="E67:H69"/>
    <mergeCell ref="E73:H74"/>
    <mergeCell ref="E79:H83"/>
    <mergeCell ref="K13:N14"/>
    <mergeCell ref="B58:G58"/>
    <mergeCell ref="B116:H116"/>
    <mergeCell ref="A1:I1"/>
    <mergeCell ref="B7:G7"/>
    <mergeCell ref="E4:G4"/>
    <mergeCell ref="B105:H105"/>
    <mergeCell ref="B62:H62"/>
    <mergeCell ref="E75:I7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ublished="0" codeName="Blad16"/>
  <dimension ref="A1:Z57"/>
  <sheetViews>
    <sheetView zoomScaleNormal="100" workbookViewId="0">
      <selection activeCell="D4" sqref="D4:F4"/>
    </sheetView>
  </sheetViews>
  <sheetFormatPr defaultColWidth="10.7265625" defaultRowHeight="15" customHeight="1"/>
  <cols>
    <col min="1" max="1" width="30.7265625" style="563" customWidth="1"/>
    <col min="2" max="25" width="20.7265625" style="563" customWidth="1"/>
    <col min="26" max="26" width="10.7265625" style="563" customWidth="1"/>
    <col min="27" max="27" width="100.7265625" style="563" customWidth="1"/>
    <col min="28" max="16384" width="10.7265625" style="563"/>
  </cols>
  <sheetData>
    <row r="1" spans="1:26" ht="30" customHeight="1" thickBot="1">
      <c r="A1" s="1713" t="s">
        <v>167</v>
      </c>
      <c r="B1" s="1714"/>
      <c r="C1" s="1714"/>
      <c r="D1" s="1714"/>
      <c r="E1" s="1714"/>
      <c r="F1" s="1714"/>
      <c r="G1" s="1714"/>
      <c r="H1" s="1714"/>
      <c r="I1" s="1714"/>
      <c r="J1" s="1714"/>
      <c r="K1" s="1714"/>
      <c r="L1" s="1714"/>
      <c r="M1" s="1714"/>
      <c r="N1" s="1714"/>
      <c r="O1" s="252"/>
      <c r="P1" s="294"/>
    </row>
    <row r="2" spans="1:26" ht="15" customHeight="1">
      <c r="A2" s="52"/>
      <c r="B2" s="52"/>
      <c r="C2" s="52"/>
      <c r="D2" s="52"/>
      <c r="E2" s="52"/>
      <c r="F2" s="63"/>
      <c r="G2" s="63"/>
    </row>
    <row r="3" spans="1:26" ht="15" customHeight="1" thickBot="1">
      <c r="A3" s="54"/>
      <c r="B3" s="54"/>
      <c r="C3" s="54"/>
      <c r="D3" s="54"/>
      <c r="E3" s="55"/>
      <c r="F3" s="64"/>
      <c r="G3" s="64"/>
    </row>
    <row r="4" spans="1:26" ht="15" customHeight="1" thickBot="1">
      <c r="A4" s="56"/>
      <c r="B4" s="129" t="s">
        <v>6</v>
      </c>
      <c r="C4" s="58"/>
      <c r="D4" s="1706" t="str">
        <f>DNB</f>
        <v>Naam distributienetbeheerder</v>
      </c>
      <c r="E4" s="1707"/>
      <c r="F4" s="1708"/>
    </row>
    <row r="5" spans="1:26" ht="15" customHeight="1">
      <c r="A5" s="60"/>
      <c r="B5" s="60"/>
      <c r="C5" s="60"/>
      <c r="D5" s="60"/>
      <c r="E5" s="60"/>
    </row>
    <row r="6" spans="1:26" ht="15" customHeight="1" thickBot="1">
      <c r="A6" s="60"/>
      <c r="B6" s="60"/>
      <c r="C6" s="60"/>
      <c r="D6" s="60"/>
      <c r="E6" s="60"/>
    </row>
    <row r="7" spans="1:26" ht="15" customHeight="1">
      <c r="A7" s="276"/>
      <c r="B7" s="277"/>
      <c r="C7" s="1715" t="s">
        <v>229</v>
      </c>
      <c r="D7" s="1718"/>
      <c r="E7" s="1715" t="s">
        <v>168</v>
      </c>
      <c r="F7" s="1718"/>
      <c r="G7" s="1715" t="s">
        <v>101</v>
      </c>
      <c r="H7" s="1717"/>
      <c r="Y7" s="1"/>
    </row>
    <row r="8" spans="1:26" ht="15" customHeight="1" thickBot="1">
      <c r="A8" s="188" t="s">
        <v>95</v>
      </c>
      <c r="B8" s="87" t="s">
        <v>17</v>
      </c>
      <c r="C8" s="85" t="s">
        <v>223</v>
      </c>
      <c r="D8" s="87" t="s">
        <v>224</v>
      </c>
      <c r="E8" s="85" t="s">
        <v>225</v>
      </c>
      <c r="F8" s="87" t="s">
        <v>226</v>
      </c>
      <c r="G8" s="85" t="s">
        <v>227</v>
      </c>
      <c r="H8" s="189" t="s">
        <v>228</v>
      </c>
      <c r="Z8" s="1"/>
    </row>
    <row r="9" spans="1:26" ht="15" customHeight="1">
      <c r="A9" s="283" t="s">
        <v>230</v>
      </c>
      <c r="B9" s="284" t="s">
        <v>16</v>
      </c>
      <c r="C9" s="225" t="s">
        <v>103</v>
      </c>
      <c r="D9" s="190" t="s">
        <v>103</v>
      </c>
      <c r="E9" s="608"/>
      <c r="F9" s="609"/>
      <c r="G9" s="246" t="str">
        <f>IF(ISNUMBER($E9),$E9/SUM($E9:$F9),"")</f>
        <v/>
      </c>
      <c r="H9" s="278" t="str">
        <f>IF(ISNUMBER($F9),$F9/SUM($E9:$F9),"")</f>
        <v/>
      </c>
      <c r="J9" s="228"/>
    </row>
    <row r="10" spans="1:26" ht="15" customHeight="1">
      <c r="A10" s="281" t="s">
        <v>14</v>
      </c>
      <c r="B10" s="84" t="s">
        <v>14</v>
      </c>
      <c r="C10" s="226" t="s">
        <v>103</v>
      </c>
      <c r="D10" s="84" t="s">
        <v>103</v>
      </c>
      <c r="E10" s="234">
        <f>'REKENVOLUMES'!$D$28-(1-FACTOR_DOORVOER)*('REKENVOLUMES'!$K$28+'REKENVOLUMES'!$P$28+'REKENVOLUMES'!$R$28)</f>
        <v>0</v>
      </c>
      <c r="F10" s="128">
        <f>INDEX(Rekenvolumes[Injectieklanten (∑)],15)</f>
        <v>0</v>
      </c>
      <c r="G10" s="247" t="e">
        <f>IF(ISNUMBER($E10),$E10/SUM($E10:$F10),"")</f>
        <v>#DIV/0!</v>
      </c>
      <c r="H10" s="279" t="e">
        <f>IF(ISNUMBER($F10),$F10/SUM($E10:$F10),"")</f>
        <v>#DIV/0!</v>
      </c>
    </row>
    <row r="11" spans="1:26" ht="15" customHeight="1">
      <c r="A11" s="282" t="s">
        <v>231</v>
      </c>
      <c r="B11" s="224"/>
      <c r="C11" s="223" t="s">
        <v>103</v>
      </c>
      <c r="D11" s="224"/>
      <c r="E11" s="286">
        <v>1</v>
      </c>
      <c r="F11" s="287">
        <v>0</v>
      </c>
      <c r="G11" s="248">
        <f>IF(ISNUMBER($E11),$E11/SUM($E11:$F11),"")</f>
        <v>1</v>
      </c>
      <c r="H11" s="280">
        <f>IF(ISNUMBER($F11),$F11/SUM($E11:$F11),"")</f>
        <v>0</v>
      </c>
    </row>
    <row r="12" spans="1:26" ht="15" customHeight="1">
      <c r="A12" s="282" t="s">
        <v>79</v>
      </c>
      <c r="B12" s="596"/>
      <c r="C12" s="223" t="s">
        <v>103</v>
      </c>
      <c r="D12" s="224" t="s">
        <v>103</v>
      </c>
      <c r="E12" s="600"/>
      <c r="F12" s="601"/>
      <c r="G12" s="248" t="str">
        <f>IF(ISNUMBER($E12),$E12/SUM($E12:$F12),"")</f>
        <v/>
      </c>
      <c r="H12" s="280" t="str">
        <f>IF(ISNUMBER($F12),$F12/SUM($E12:$F12),"")</f>
        <v/>
      </c>
    </row>
    <row r="13" spans="1:26" ht="15" customHeight="1">
      <c r="A13" s="597"/>
      <c r="B13" s="598"/>
      <c r="C13" s="599"/>
      <c r="D13" s="596"/>
      <c r="E13" s="600"/>
      <c r="F13" s="601"/>
      <c r="G13" s="626" t="str">
        <f t="shared" ref="G13:G15" si="0">IF(ISNUMBER($E13),$E13/SUM($E13:$F13),"")</f>
        <v/>
      </c>
      <c r="H13" s="627" t="str">
        <f t="shared" ref="H13:H15" si="1">IF(ISNUMBER($F13),$F13/SUM($E13:$F13),"")</f>
        <v/>
      </c>
    </row>
    <row r="14" spans="1:26" ht="15" customHeight="1">
      <c r="A14" s="597"/>
      <c r="B14" s="598"/>
      <c r="C14" s="599"/>
      <c r="D14" s="596"/>
      <c r="E14" s="600"/>
      <c r="F14" s="601"/>
      <c r="G14" s="626" t="str">
        <f t="shared" si="0"/>
        <v/>
      </c>
      <c r="H14" s="627" t="str">
        <f t="shared" si="1"/>
        <v/>
      </c>
    </row>
    <row r="15" spans="1:26" ht="15" customHeight="1" thickBot="1">
      <c r="A15" s="602"/>
      <c r="B15" s="603"/>
      <c r="C15" s="604"/>
      <c r="D15" s="605"/>
      <c r="E15" s="606"/>
      <c r="F15" s="607"/>
      <c r="G15" s="628" t="str">
        <f t="shared" si="0"/>
        <v/>
      </c>
      <c r="H15" s="629" t="str">
        <f t="shared" si="1"/>
        <v/>
      </c>
    </row>
    <row r="17" spans="1:14" ht="15" customHeight="1">
      <c r="C17" s="1"/>
      <c r="D17" s="1"/>
      <c r="E17" s="1"/>
      <c r="F17" s="1"/>
      <c r="G17" s="1"/>
      <c r="H17" s="1"/>
      <c r="J17" s="228"/>
      <c r="N17" s="228"/>
    </row>
    <row r="18" spans="1:14" ht="15" customHeight="1" thickBot="1"/>
    <row r="19" spans="1:14" ht="15" customHeight="1">
      <c r="A19" s="276"/>
      <c r="B19" s="277"/>
      <c r="C19" s="1715" t="s">
        <v>244</v>
      </c>
      <c r="D19" s="1716"/>
      <c r="E19" s="1716"/>
      <c r="F19" s="1718"/>
      <c r="G19" s="1715" t="s">
        <v>168</v>
      </c>
      <c r="H19" s="1716"/>
      <c r="I19" s="1716"/>
      <c r="J19" s="1718"/>
      <c r="K19" s="1715" t="s">
        <v>101</v>
      </c>
      <c r="L19" s="1716"/>
      <c r="M19" s="1716"/>
      <c r="N19" s="1717"/>
    </row>
    <row r="20" spans="1:14" ht="15" customHeight="1" thickBot="1">
      <c r="A20" s="188" t="s">
        <v>95</v>
      </c>
      <c r="B20" s="87" t="s">
        <v>17</v>
      </c>
      <c r="C20" s="85" t="s">
        <v>232</v>
      </c>
      <c r="D20" s="86" t="s">
        <v>233</v>
      </c>
      <c r="E20" s="86" t="s">
        <v>234</v>
      </c>
      <c r="F20" s="87" t="s">
        <v>235</v>
      </c>
      <c r="G20" s="85" t="s">
        <v>236</v>
      </c>
      <c r="H20" s="86" t="s">
        <v>237</v>
      </c>
      <c r="I20" s="86" t="s">
        <v>238</v>
      </c>
      <c r="J20" s="87" t="s">
        <v>239</v>
      </c>
      <c r="K20" s="85" t="s">
        <v>240</v>
      </c>
      <c r="L20" s="86" t="s">
        <v>241</v>
      </c>
      <c r="M20" s="86" t="s">
        <v>242</v>
      </c>
      <c r="N20" s="189" t="s">
        <v>243</v>
      </c>
    </row>
    <row r="21" spans="1:14" ht="15" customHeight="1">
      <c r="A21" s="285" t="s">
        <v>299</v>
      </c>
      <c r="B21" s="190" t="s">
        <v>12</v>
      </c>
      <c r="C21" s="225" t="s">
        <v>103</v>
      </c>
      <c r="D21" s="245" t="s">
        <v>103</v>
      </c>
      <c r="E21" s="245" t="s">
        <v>103</v>
      </c>
      <c r="F21" s="190" t="s">
        <v>103</v>
      </c>
      <c r="G21" s="608"/>
      <c r="H21" s="610"/>
      <c r="I21" s="610"/>
      <c r="J21" s="609"/>
      <c r="K21" s="246" t="str">
        <f>IF(ISNUMBER($G21),$G21/SUM($G21:$J21),"")</f>
        <v/>
      </c>
      <c r="L21" s="249" t="str">
        <f>IF(ISNUMBER($H21),$H21/SUM($G21:$J21),"")</f>
        <v/>
      </c>
      <c r="M21" s="249" t="str">
        <f>IF(ISNUMBER($I21),$I21/SUM($G21:$J21),"")</f>
        <v/>
      </c>
      <c r="N21" s="278" t="str">
        <f>IF(ISNUMBER($J21),$J21/SUM($G21:$J21),"")</f>
        <v/>
      </c>
    </row>
    <row r="22" spans="1:14" ht="15" customHeight="1">
      <c r="A22" s="281" t="s">
        <v>300</v>
      </c>
      <c r="B22" s="84" t="s">
        <v>12</v>
      </c>
      <c r="C22" s="226"/>
      <c r="D22" s="227" t="s">
        <v>103</v>
      </c>
      <c r="E22" s="227" t="s">
        <v>103</v>
      </c>
      <c r="F22" s="84" t="s">
        <v>103</v>
      </c>
      <c r="G22" s="611">
        <v>0</v>
      </c>
      <c r="H22" s="612"/>
      <c r="I22" s="612"/>
      <c r="J22" s="613"/>
      <c r="K22" s="247" t="e">
        <f t="shared" ref="K22:K34" si="2">IF(ISNUMBER($G22),$G22/SUM($G22:$J22),"")</f>
        <v>#DIV/0!</v>
      </c>
      <c r="L22" s="250" t="str">
        <f t="shared" ref="L22:L35" si="3">IF(ISNUMBER($H22),$H22/SUM($G22:$J22),"")</f>
        <v/>
      </c>
      <c r="M22" s="250" t="str">
        <f t="shared" ref="M22:M35" si="4">IF(ISNUMBER($I22),$I22/SUM($G22:$J22),"")</f>
        <v/>
      </c>
      <c r="N22" s="279" t="str">
        <f t="shared" ref="N22:N35" si="5">IF(ISNUMBER($J22),$J22/SUM($G22:$J22),"")</f>
        <v/>
      </c>
    </row>
    <row r="23" spans="1:14" ht="15" customHeight="1">
      <c r="A23" s="281" t="s">
        <v>301</v>
      </c>
      <c r="B23" s="84" t="s">
        <v>12</v>
      </c>
      <c r="C23" s="226"/>
      <c r="D23" s="227"/>
      <c r="E23" s="227" t="s">
        <v>103</v>
      </c>
      <c r="F23" s="84" t="s">
        <v>103</v>
      </c>
      <c r="G23" s="611">
        <v>0</v>
      </c>
      <c r="H23" s="612">
        <v>0</v>
      </c>
      <c r="I23" s="612"/>
      <c r="J23" s="613"/>
      <c r="K23" s="247" t="e">
        <f t="shared" si="2"/>
        <v>#DIV/0!</v>
      </c>
      <c r="L23" s="250" t="e">
        <f t="shared" si="3"/>
        <v>#DIV/0!</v>
      </c>
      <c r="M23" s="250" t="str">
        <f t="shared" si="4"/>
        <v/>
      </c>
      <c r="N23" s="279" t="str">
        <f t="shared" si="5"/>
        <v/>
      </c>
    </row>
    <row r="24" spans="1:14" ht="15" customHeight="1">
      <c r="A24" s="281" t="s">
        <v>533</v>
      </c>
      <c r="B24" s="84" t="s">
        <v>12</v>
      </c>
      <c r="C24" s="226"/>
      <c r="D24" s="227"/>
      <c r="E24" s="227"/>
      <c r="F24" s="84" t="s">
        <v>103</v>
      </c>
      <c r="G24" s="611">
        <v>0</v>
      </c>
      <c r="H24" s="612">
        <v>0</v>
      </c>
      <c r="I24" s="612">
        <v>0</v>
      </c>
      <c r="J24" s="613"/>
      <c r="K24" s="247" t="e">
        <f t="shared" si="2"/>
        <v>#DIV/0!</v>
      </c>
      <c r="L24" s="250" t="e">
        <f t="shared" si="3"/>
        <v>#DIV/0!</v>
      </c>
      <c r="M24" s="250" t="e">
        <f t="shared" si="4"/>
        <v>#DIV/0!</v>
      </c>
      <c r="N24" s="279" t="str">
        <f t="shared" si="5"/>
        <v/>
      </c>
    </row>
    <row r="25" spans="1:14" ht="15" customHeight="1">
      <c r="A25" s="281" t="s">
        <v>14</v>
      </c>
      <c r="B25" s="84" t="s">
        <v>14</v>
      </c>
      <c r="C25" s="226" t="s">
        <v>103</v>
      </c>
      <c r="D25" s="227" t="s">
        <v>103</v>
      </c>
      <c r="E25" s="227" t="s">
        <v>103</v>
      </c>
      <c r="F25" s="84" t="s">
        <v>103</v>
      </c>
      <c r="G25" s="234">
        <f>'REKENVOLUMES'!$E$28</f>
        <v>0</v>
      </c>
      <c r="H25" s="235">
        <f>'REKENVOLUMES'!$H$28-(1-FACTOR_DOORVOER)*'REKENVOLUMES'!$K$28</f>
        <v>0</v>
      </c>
      <c r="I25" s="235">
        <f>'REKENVOLUMES'!$L$28</f>
        <v>0</v>
      </c>
      <c r="J25" s="128">
        <f>'REKENVOLUMES'!$N$28-(1-FACTOR_DOORVOER)*('REKENVOLUMES'!$P$28+'REKENVOLUMES'!$R$28)</f>
        <v>0</v>
      </c>
      <c r="K25" s="247" t="e">
        <f t="shared" si="2"/>
        <v>#DIV/0!</v>
      </c>
      <c r="L25" s="250" t="e">
        <f t="shared" si="3"/>
        <v>#DIV/0!</v>
      </c>
      <c r="M25" s="250" t="e">
        <f t="shared" si="4"/>
        <v>#DIV/0!</v>
      </c>
      <c r="N25" s="279" t="e">
        <f t="shared" si="5"/>
        <v>#DIV/0!</v>
      </c>
    </row>
    <row r="26" spans="1:14" ht="15" customHeight="1">
      <c r="A26" s="281" t="s">
        <v>153</v>
      </c>
      <c r="B26" s="84" t="s">
        <v>14</v>
      </c>
      <c r="C26" s="226"/>
      <c r="D26" s="227" t="s">
        <v>103</v>
      </c>
      <c r="E26" s="227" t="s">
        <v>103</v>
      </c>
      <c r="F26" s="84" t="s">
        <v>103</v>
      </c>
      <c r="G26" s="234">
        <v>0</v>
      </c>
      <c r="H26" s="235">
        <f>'REKENVOLUMES'!$H$28-(1-FACTOR_DOORVOER)*'REKENVOLUMES'!$K$28</f>
        <v>0</v>
      </c>
      <c r="I26" s="235">
        <f>'REKENVOLUMES'!$L$28</f>
        <v>0</v>
      </c>
      <c r="J26" s="128">
        <f>'REKENVOLUMES'!$N$28-(1-FACTOR_DOORVOER)*('REKENVOLUMES'!$P$28+'REKENVOLUMES'!$R$28)</f>
        <v>0</v>
      </c>
      <c r="K26" s="247" t="e">
        <f t="shared" si="2"/>
        <v>#DIV/0!</v>
      </c>
      <c r="L26" s="250" t="e">
        <f t="shared" si="3"/>
        <v>#DIV/0!</v>
      </c>
      <c r="M26" s="250" t="e">
        <f t="shared" si="4"/>
        <v>#DIV/0!</v>
      </c>
      <c r="N26" s="279" t="e">
        <f t="shared" si="5"/>
        <v>#DIV/0!</v>
      </c>
    </row>
    <row r="27" spans="1:14" ht="15" customHeight="1">
      <c r="A27" s="281" t="s">
        <v>119</v>
      </c>
      <c r="B27" s="84"/>
      <c r="C27" s="226" t="s">
        <v>103</v>
      </c>
      <c r="D27" s="227" t="s">
        <v>103</v>
      </c>
      <c r="E27" s="227" t="s">
        <v>103</v>
      </c>
      <c r="F27" s="84" t="s">
        <v>103</v>
      </c>
      <c r="G27" s="234">
        <f>INDEX(Rekenvolumes[Afnameklanten op TRHS (∑)],1)</f>
        <v>0</v>
      </c>
      <c r="H27" s="235">
        <f>INDEX(Rekenvolumes[Afnameklanten op MS (∑)],1)-(1-FACTOR_DOORVOER)*INDEX(Rekenvolumes[Doorvoer op 26-1kV],1)</f>
        <v>0</v>
      </c>
      <c r="I27" s="235">
        <f>INDEX(Rekenvolumes[Afnameklanten op TRLS (∑)],1)</f>
        <v>0</v>
      </c>
      <c r="J27" s="128">
        <f>INDEX(Rekenvolumes[Afnameklanten op LS (∑)],1)-(1-FACTOR_DOORVOER)*(INDEX(Rekenvolumes[Doorvoer op LS met piekmeting],1)+INDEX(Rekenvolumes[Doorvoer op LS zonder piekmeting],1))</f>
        <v>0</v>
      </c>
      <c r="K27" s="247" t="e">
        <f t="shared" si="2"/>
        <v>#DIV/0!</v>
      </c>
      <c r="L27" s="250" t="e">
        <f t="shared" si="3"/>
        <v>#DIV/0!</v>
      </c>
      <c r="M27" s="250" t="e">
        <f t="shared" si="4"/>
        <v>#DIV/0!</v>
      </c>
      <c r="N27" s="279" t="e">
        <f t="shared" si="5"/>
        <v>#DIV/0!</v>
      </c>
    </row>
    <row r="28" spans="1:14" ht="15" customHeight="1">
      <c r="A28" s="281" t="s">
        <v>26</v>
      </c>
      <c r="B28" s="84" t="s">
        <v>16</v>
      </c>
      <c r="C28" s="226" t="s">
        <v>103</v>
      </c>
      <c r="D28" s="227" t="s">
        <v>103</v>
      </c>
      <c r="E28" s="227" t="s">
        <v>103</v>
      </c>
      <c r="F28" s="84" t="s">
        <v>103</v>
      </c>
      <c r="G28" s="234" t="e">
        <f>'T2'!$M$90</f>
        <v>#VALUE!</v>
      </c>
      <c r="H28" s="235" t="e">
        <f>'T2'!$N$90</f>
        <v>#VALUE!</v>
      </c>
      <c r="I28" s="235" t="e">
        <f>'T2'!$O$90</f>
        <v>#VALUE!</v>
      </c>
      <c r="J28" s="128" t="e">
        <f>'T2'!$P$90</f>
        <v>#VALUE!</v>
      </c>
      <c r="K28" s="247" t="str">
        <f>IF(ISNUMBER($G28),$G28/SUM($G28:$J28),"")</f>
        <v/>
      </c>
      <c r="L28" s="250" t="str">
        <f t="shared" si="3"/>
        <v/>
      </c>
      <c r="M28" s="250" t="str">
        <f t="shared" si="4"/>
        <v/>
      </c>
      <c r="N28" s="279" t="str">
        <f t="shared" si="5"/>
        <v/>
      </c>
    </row>
    <row r="29" spans="1:14" ht="15" customHeight="1">
      <c r="A29" s="281" t="s">
        <v>78</v>
      </c>
      <c r="B29" s="84" t="s">
        <v>16</v>
      </c>
      <c r="C29" s="226" t="s">
        <v>103</v>
      </c>
      <c r="D29" s="227" t="s">
        <v>103</v>
      </c>
      <c r="E29" s="227" t="s">
        <v>103</v>
      </c>
      <c r="F29" s="84" t="s">
        <v>103</v>
      </c>
      <c r="G29" s="234" t="e">
        <f>'T2'!$M$91</f>
        <v>#VALUE!</v>
      </c>
      <c r="H29" s="235" t="e">
        <f>'T2'!$N$91</f>
        <v>#VALUE!</v>
      </c>
      <c r="I29" s="235" t="e">
        <f>'T2'!$O$91</f>
        <v>#VALUE!</v>
      </c>
      <c r="J29" s="128" t="e">
        <f>'T2'!$P$91</f>
        <v>#VALUE!</v>
      </c>
      <c r="K29" s="247" t="str">
        <f t="shared" si="2"/>
        <v/>
      </c>
      <c r="L29" s="250" t="str">
        <f t="shared" si="3"/>
        <v/>
      </c>
      <c r="M29" s="250" t="str">
        <f t="shared" si="4"/>
        <v/>
      </c>
      <c r="N29" s="279" t="str">
        <f t="shared" si="5"/>
        <v/>
      </c>
    </row>
    <row r="30" spans="1:14" ht="15" customHeight="1">
      <c r="A30" s="281" t="s">
        <v>18</v>
      </c>
      <c r="B30" s="84" t="s">
        <v>16</v>
      </c>
      <c r="C30" s="226" t="s">
        <v>103</v>
      </c>
      <c r="D30" s="227" t="s">
        <v>103</v>
      </c>
      <c r="E30" s="227" t="s">
        <v>103</v>
      </c>
      <c r="F30" s="84" t="s">
        <v>103</v>
      </c>
      <c r="G30" s="234" t="e">
        <f>'T2'!$M$94</f>
        <v>#VALUE!</v>
      </c>
      <c r="H30" s="235" t="e">
        <f>'T2'!$N$94</f>
        <v>#VALUE!</v>
      </c>
      <c r="I30" s="235" t="e">
        <f>'T2'!$O$94</f>
        <v>#VALUE!</v>
      </c>
      <c r="J30" s="128" t="e">
        <f>'T2'!$P$94</f>
        <v>#VALUE!</v>
      </c>
      <c r="K30" s="247" t="str">
        <f>IF(ISNUMBER($G30),$G30/SUM($G30:$J30),"")</f>
        <v/>
      </c>
      <c r="L30" s="250" t="str">
        <f>IF(ISNUMBER($H30),$H30/SUM($G30:$J30),"")</f>
        <v/>
      </c>
      <c r="M30" s="250" t="str">
        <f>IF(ISNUMBER($I30),$I30/SUM($G30:$J30),"")</f>
        <v/>
      </c>
      <c r="N30" s="279" t="str">
        <f>IF(ISNUMBER($J30),$J30/SUM($G30:$J30),"")</f>
        <v/>
      </c>
    </row>
    <row r="31" spans="1:14" ht="15" customHeight="1">
      <c r="A31" s="281" t="s">
        <v>222</v>
      </c>
      <c r="B31" s="84" t="s">
        <v>16</v>
      </c>
      <c r="C31" s="226" t="s">
        <v>103</v>
      </c>
      <c r="D31" s="227" t="s">
        <v>103</v>
      </c>
      <c r="E31" s="227" t="s">
        <v>103</v>
      </c>
      <c r="F31" s="84" t="s">
        <v>103</v>
      </c>
      <c r="G31" s="234" t="e">
        <f>'T2'!$M$92</f>
        <v>#VALUE!</v>
      </c>
      <c r="H31" s="235" t="e">
        <f>'T2'!$N$92</f>
        <v>#VALUE!</v>
      </c>
      <c r="I31" s="235" t="e">
        <f>'T2'!$O$92</f>
        <v>#VALUE!</v>
      </c>
      <c r="J31" s="128" t="e">
        <f>'T2'!$P$92</f>
        <v>#VALUE!</v>
      </c>
      <c r="K31" s="247" t="str">
        <f>IF(ISNUMBER($G31),$G31/SUM($G31:$J31),"")</f>
        <v/>
      </c>
      <c r="L31" s="250" t="str">
        <f t="shared" si="3"/>
        <v/>
      </c>
      <c r="M31" s="250" t="str">
        <f t="shared" si="4"/>
        <v/>
      </c>
      <c r="N31" s="279" t="str">
        <f t="shared" si="5"/>
        <v/>
      </c>
    </row>
    <row r="32" spans="1:14" s="1213" customFormat="1" ht="15" customHeight="1">
      <c r="A32" s="281" t="s">
        <v>524</v>
      </c>
      <c r="B32" s="84"/>
      <c r="C32" s="226" t="s">
        <v>103</v>
      </c>
      <c r="D32" s="227"/>
      <c r="E32" s="227"/>
      <c r="F32" s="84"/>
      <c r="G32" s="234">
        <v>1</v>
      </c>
      <c r="H32" s="235">
        <v>0</v>
      </c>
      <c r="I32" s="235">
        <v>0</v>
      </c>
      <c r="J32" s="128">
        <v>0</v>
      </c>
      <c r="K32" s="247">
        <f>IF(ISNUMBER($G32),$G32/SUM($G32:$J32),"")</f>
        <v>1</v>
      </c>
      <c r="L32" s="250">
        <f t="shared" si="3"/>
        <v>0</v>
      </c>
      <c r="M32" s="250">
        <f t="shared" si="4"/>
        <v>0</v>
      </c>
      <c r="N32" s="279">
        <f t="shared" si="5"/>
        <v>0</v>
      </c>
    </row>
    <row r="33" spans="1:18" s="1213" customFormat="1" ht="15" customHeight="1">
      <c r="A33" s="281" t="s">
        <v>525</v>
      </c>
      <c r="B33" s="84"/>
      <c r="C33" s="226"/>
      <c r="D33" s="227" t="s">
        <v>103</v>
      </c>
      <c r="E33" s="227"/>
      <c r="F33" s="84"/>
      <c r="G33" s="234">
        <v>0</v>
      </c>
      <c r="H33" s="235">
        <v>1</v>
      </c>
      <c r="I33" s="235">
        <v>0</v>
      </c>
      <c r="J33" s="128">
        <v>0</v>
      </c>
      <c r="K33" s="247">
        <f t="shared" si="2"/>
        <v>0</v>
      </c>
      <c r="L33" s="250">
        <f t="shared" si="3"/>
        <v>1</v>
      </c>
      <c r="M33" s="250">
        <f t="shared" si="4"/>
        <v>0</v>
      </c>
      <c r="N33" s="279">
        <f t="shared" si="5"/>
        <v>0</v>
      </c>
    </row>
    <row r="34" spans="1:18" s="1213" customFormat="1" ht="15" customHeight="1">
      <c r="A34" s="281" t="s">
        <v>526</v>
      </c>
      <c r="B34" s="84"/>
      <c r="C34" s="226"/>
      <c r="D34" s="227"/>
      <c r="E34" s="227" t="s">
        <v>103</v>
      </c>
      <c r="F34" s="84"/>
      <c r="G34" s="234">
        <v>0</v>
      </c>
      <c r="H34" s="235">
        <v>0</v>
      </c>
      <c r="I34" s="235">
        <v>1</v>
      </c>
      <c r="J34" s="128">
        <v>0</v>
      </c>
      <c r="K34" s="247">
        <f t="shared" si="2"/>
        <v>0</v>
      </c>
      <c r="L34" s="250">
        <f t="shared" si="3"/>
        <v>0</v>
      </c>
      <c r="M34" s="250">
        <f t="shared" si="4"/>
        <v>1</v>
      </c>
      <c r="N34" s="279">
        <f t="shared" si="5"/>
        <v>0</v>
      </c>
    </row>
    <row r="35" spans="1:18" ht="15" customHeight="1">
      <c r="A35" s="281" t="s">
        <v>527</v>
      </c>
      <c r="B35" s="84"/>
      <c r="C35" s="226"/>
      <c r="D35" s="227"/>
      <c r="E35" s="227"/>
      <c r="F35" s="84" t="s">
        <v>103</v>
      </c>
      <c r="G35" s="234">
        <v>0</v>
      </c>
      <c r="H35" s="235">
        <v>0</v>
      </c>
      <c r="I35" s="235">
        <v>0</v>
      </c>
      <c r="J35" s="128">
        <v>1</v>
      </c>
      <c r="K35" s="247">
        <f>IF(ISNUMBER($G35),$G35/SUM($G35:$J35),"")</f>
        <v>0</v>
      </c>
      <c r="L35" s="250">
        <f t="shared" si="3"/>
        <v>0</v>
      </c>
      <c r="M35" s="250">
        <f t="shared" si="4"/>
        <v>0</v>
      </c>
      <c r="N35" s="279">
        <f t="shared" si="5"/>
        <v>1</v>
      </c>
    </row>
    <row r="36" spans="1:18" ht="15" customHeight="1">
      <c r="A36" s="281" t="s">
        <v>250</v>
      </c>
      <c r="B36" s="84" t="s">
        <v>20</v>
      </c>
      <c r="C36" s="226" t="s">
        <v>103</v>
      </c>
      <c r="D36" s="227" t="s">
        <v>103</v>
      </c>
      <c r="E36" s="227" t="s">
        <v>103</v>
      </c>
      <c r="F36" s="84" t="s">
        <v>103</v>
      </c>
      <c r="G36" s="234" t="e">
        <f>75%*$K$27+25%*$K$25</f>
        <v>#DIV/0!</v>
      </c>
      <c r="H36" s="235" t="e">
        <f>75%*$L$27+25%*$L$25</f>
        <v>#DIV/0!</v>
      </c>
      <c r="I36" s="235" t="e">
        <f>75%*$M$27+25%*$M$25</f>
        <v>#DIV/0!</v>
      </c>
      <c r="J36" s="128" t="e">
        <f>75%*$N$27+25%*$N$25</f>
        <v>#DIV/0!</v>
      </c>
      <c r="K36" s="247" t="str">
        <f>IF(ISNUMBER($G36),MIN($G36/SUM($G36:$J36),(1+MAXTOENAME_TRHS)*B2020_ODV_TRHS/'T2'!$K$93),"")</f>
        <v/>
      </c>
      <c r="L36" s="250" t="str">
        <f>IF(ISNUMBER($H36),(1-$K36)*$H36/SUM($H36:$J36),"")</f>
        <v/>
      </c>
      <c r="M36" s="250" t="str">
        <f>IF(ISNUMBER($I36),(1-$K36)*$I36/SUM($H36:$J36),"")</f>
        <v/>
      </c>
      <c r="N36" s="279" t="str">
        <f>IF(ISNUMBER($J36),(1-$K36)*$J36/SUM($H36:$J36),"")</f>
        <v/>
      </c>
    </row>
    <row r="37" spans="1:18" ht="15" customHeight="1">
      <c r="A37" s="281" t="s">
        <v>251</v>
      </c>
      <c r="B37" s="84" t="s">
        <v>20</v>
      </c>
      <c r="C37" s="226" t="s">
        <v>103</v>
      </c>
      <c r="D37" s="227" t="s">
        <v>103</v>
      </c>
      <c r="E37" s="227" t="s">
        <v>103</v>
      </c>
      <c r="F37" s="84" t="s">
        <v>103</v>
      </c>
      <c r="G37" s="234" t="e">
        <f>75%*$K$27+25%*$K$25</f>
        <v>#DIV/0!</v>
      </c>
      <c r="H37" s="235" t="e">
        <f>75%*$L$27+25%*$L$25</f>
        <v>#DIV/0!</v>
      </c>
      <c r="I37" s="235" t="e">
        <f>75%*$M$27+25%*$M$25</f>
        <v>#DIV/0!</v>
      </c>
      <c r="J37" s="128" t="e">
        <f>75%*$N$27+25%*$N$25</f>
        <v>#DIV/0!</v>
      </c>
      <c r="K37" s="247" t="str">
        <f>IF(ISNUMBER($G37),MIN($G37/SUM($G37:$J37),(1+MAXTOENAME_TRHS)*B2020_TOE_TRHS/'T2'!$K$95),"")</f>
        <v/>
      </c>
      <c r="L37" s="250" t="str">
        <f>IF(ISNUMBER($H37),(1-$K37)*$H37/SUM($H37:$J37),"")</f>
        <v/>
      </c>
      <c r="M37" s="250" t="str">
        <f>IF(ISNUMBER($I37),(1-$K37)*$I37/SUM($H37:$J37),"")</f>
        <v/>
      </c>
      <c r="N37" s="279" t="str">
        <f>IF(ISNUMBER($J37),(1-$K37)*$J37/SUM($H37:$J37),"")</f>
        <v/>
      </c>
    </row>
    <row r="38" spans="1:18" ht="15" customHeight="1">
      <c r="A38" s="281" t="s">
        <v>15</v>
      </c>
      <c r="B38" s="614"/>
      <c r="C38" s="226" t="s">
        <v>103</v>
      </c>
      <c r="D38" s="227" t="s">
        <v>103</v>
      </c>
      <c r="E38" s="227" t="s">
        <v>103</v>
      </c>
      <c r="F38" s="84" t="s">
        <v>103</v>
      </c>
      <c r="G38" s="611"/>
      <c r="H38" s="612"/>
      <c r="I38" s="612"/>
      <c r="J38" s="613"/>
      <c r="K38" s="247" t="str">
        <f>IF(ISNUMBER($G38),$G38/SUM($G38:$J38),"")</f>
        <v/>
      </c>
      <c r="L38" s="250" t="str">
        <f>IF(ISNUMBER($H38),$H38/SUM($G38:$J38),"")</f>
        <v/>
      </c>
      <c r="M38" s="250" t="str">
        <f>IF(ISNUMBER($I38),$I38/SUM($G38:$J38),"")</f>
        <v/>
      </c>
      <c r="N38" s="279" t="str">
        <f>IF(ISNUMBER($J38),$J38/SUM($G38:$J38),"")</f>
        <v/>
      </c>
    </row>
    <row r="39" spans="1:18" ht="15" customHeight="1">
      <c r="A39" s="281" t="s">
        <v>315</v>
      </c>
      <c r="B39" s="614"/>
      <c r="C39" s="226" t="s">
        <v>103</v>
      </c>
      <c r="D39" s="227" t="s">
        <v>103</v>
      </c>
      <c r="E39" s="227" t="s">
        <v>103</v>
      </c>
      <c r="F39" s="84"/>
      <c r="G39" s="611"/>
      <c r="H39" s="612"/>
      <c r="I39" s="612"/>
      <c r="J39" s="613">
        <v>0</v>
      </c>
      <c r="K39" s="247" t="str">
        <f>IF(ISNUMBER($G39),$G39/SUM($G39:$J39),"")</f>
        <v/>
      </c>
      <c r="L39" s="250" t="str">
        <f>IF(ISNUMBER($H39),$H39/SUM($G39:$J39),"")</f>
        <v/>
      </c>
      <c r="M39" s="250" t="str">
        <f>IF(ISNUMBER($I39),$I39/SUM($G39:$J39),"")</f>
        <v/>
      </c>
      <c r="N39" s="279" t="e">
        <f>IF(ISNUMBER($J39),$J39/SUM($G39:$J39),"")</f>
        <v>#DIV/0!</v>
      </c>
    </row>
    <row r="40" spans="1:18" ht="15" customHeight="1">
      <c r="A40" s="281" t="s">
        <v>79</v>
      </c>
      <c r="B40" s="614"/>
      <c r="C40" s="226" t="s">
        <v>103</v>
      </c>
      <c r="D40" s="227" t="s">
        <v>103</v>
      </c>
      <c r="E40" s="227" t="s">
        <v>103</v>
      </c>
      <c r="F40" s="84" t="s">
        <v>103</v>
      </c>
      <c r="G40" s="611"/>
      <c r="H40" s="612"/>
      <c r="I40" s="612"/>
      <c r="J40" s="613"/>
      <c r="K40" s="247" t="str">
        <f>IF(ISNUMBER($G40),$G40/SUM($G40:$J40),"")</f>
        <v/>
      </c>
      <c r="L40" s="250" t="str">
        <f>IF(ISNUMBER($H40),$H40/SUM($G40:$J40),"")</f>
        <v/>
      </c>
      <c r="M40" s="250" t="str">
        <f>IF(ISNUMBER($I40),$I40/SUM($G40:$J40),"")</f>
        <v/>
      </c>
      <c r="N40" s="279" t="str">
        <f>IF(ISNUMBER($J40),$J40/SUM($G40:$J40),"")</f>
        <v/>
      </c>
    </row>
    <row r="41" spans="1:18" ht="15" customHeight="1">
      <c r="A41" s="615"/>
      <c r="B41" s="614"/>
      <c r="C41" s="616"/>
      <c r="D41" s="617"/>
      <c r="E41" s="617"/>
      <c r="F41" s="618"/>
      <c r="G41" s="611"/>
      <c r="H41" s="612"/>
      <c r="I41" s="612"/>
      <c r="J41" s="613"/>
      <c r="K41" s="630" t="str">
        <f>IF(ISNUMBER($G41),$G41/SUM($G41:$J41),"")</f>
        <v/>
      </c>
      <c r="L41" s="631" t="str">
        <f>IF(ISNUMBER($H41),$H41/SUM($G41:$J41),"")</f>
        <v/>
      </c>
      <c r="M41" s="631" t="str">
        <f t="shared" ref="M41:M43" si="6">IF(ISNUMBER($I41),$I41/SUM($G41:$J41),"")</f>
        <v/>
      </c>
      <c r="N41" s="632" t="str">
        <f t="shared" ref="N41:N43" si="7">IF(ISNUMBER($J41),$J41/SUM($G41:$J41),"")</f>
        <v/>
      </c>
    </row>
    <row r="42" spans="1:18" ht="15" customHeight="1">
      <c r="A42" s="615"/>
      <c r="B42" s="614"/>
      <c r="C42" s="616"/>
      <c r="D42" s="617"/>
      <c r="E42" s="617"/>
      <c r="F42" s="618"/>
      <c r="G42" s="611"/>
      <c r="H42" s="612"/>
      <c r="I42" s="612"/>
      <c r="J42" s="613"/>
      <c r="K42" s="630" t="str">
        <f t="shared" ref="K42:K43" si="8">IF(ISNUMBER($G42),$G42/SUM($G42:$J42),"")</f>
        <v/>
      </c>
      <c r="L42" s="631" t="str">
        <f t="shared" ref="L42:L43" si="9">IF(ISNUMBER($H42),$H42/SUM($G42:$J42),"")</f>
        <v/>
      </c>
      <c r="M42" s="631" t="str">
        <f t="shared" si="6"/>
        <v/>
      </c>
      <c r="N42" s="632" t="str">
        <f t="shared" si="7"/>
        <v/>
      </c>
    </row>
    <row r="43" spans="1:18" ht="15" customHeight="1" thickBot="1">
      <c r="A43" s="602"/>
      <c r="B43" s="605"/>
      <c r="C43" s="619"/>
      <c r="D43" s="620"/>
      <c r="E43" s="620"/>
      <c r="F43" s="603"/>
      <c r="G43" s="606"/>
      <c r="H43" s="621"/>
      <c r="I43" s="621"/>
      <c r="J43" s="607"/>
      <c r="K43" s="628" t="str">
        <f t="shared" si="8"/>
        <v/>
      </c>
      <c r="L43" s="633" t="str">
        <f t="shared" si="9"/>
        <v/>
      </c>
      <c r="M43" s="633" t="str">
        <f t="shared" si="6"/>
        <v/>
      </c>
      <c r="N43" s="629" t="str">
        <f t="shared" si="7"/>
        <v/>
      </c>
    </row>
    <row r="46" spans="1:18" ht="15" customHeight="1" thickBot="1"/>
    <row r="47" spans="1:18" ht="15" customHeight="1">
      <c r="A47" s="78"/>
      <c r="B47" s="131"/>
      <c r="C47" s="1719" t="s">
        <v>102</v>
      </c>
      <c r="D47" s="1720"/>
      <c r="E47" s="1711" t="s">
        <v>168</v>
      </c>
      <c r="F47" s="1711"/>
      <c r="G47" s="1711" t="s">
        <v>101</v>
      </c>
      <c r="H47" s="1712"/>
      <c r="I47" s="1083"/>
      <c r="J47" s="1083"/>
      <c r="K47" s="1083"/>
      <c r="L47" s="290"/>
      <c r="M47" s="290"/>
      <c r="N47" s="290"/>
      <c r="O47" s="291"/>
      <c r="P47" s="291"/>
      <c r="R47" s="228"/>
    </row>
    <row r="48" spans="1:18" ht="30" customHeight="1" thickBot="1">
      <c r="A48" s="293" t="s">
        <v>95</v>
      </c>
      <c r="B48" s="230" t="s">
        <v>17</v>
      </c>
      <c r="C48" s="229" t="s">
        <v>334</v>
      </c>
      <c r="D48" s="230" t="s">
        <v>500</v>
      </c>
      <c r="E48" s="229" t="s">
        <v>335</v>
      </c>
      <c r="F48" s="230" t="s">
        <v>499</v>
      </c>
      <c r="G48" s="229" t="s">
        <v>336</v>
      </c>
      <c r="H48" s="1090" t="s">
        <v>501</v>
      </c>
    </row>
    <row r="49" spans="1:9" ht="15" customHeight="1">
      <c r="A49" s="295" t="s">
        <v>302</v>
      </c>
      <c r="B49" s="304" t="s">
        <v>12</v>
      </c>
      <c r="C49" s="225" t="s">
        <v>103</v>
      </c>
      <c r="D49" s="304" t="s">
        <v>103</v>
      </c>
      <c r="E49" s="231">
        <f>INDEX(Rekenvolumes[Afnameklanten op LS met piekmeting],11)+FACTOR_DOORVOER*INDEX(Rekenvolumes[Doorvoer op LS met piekmeting],11)</f>
        <v>0</v>
      </c>
      <c r="F49" s="233">
        <f>INDEX(Rekenvolumes[Afnameklanten op LS met klassieke meter],11)+FACTOR_DOORVOER*INDEX(Rekenvolumes[Doorvoer op LS zonder piekmeting],11)+INDEX(Rekenvolumes[Prosumenten met terugdraaiende teller op LS],11)</f>
        <v>0</v>
      </c>
      <c r="G49" s="246" t="e">
        <f t="shared" ref="G49:G57" si="10">IF(ISNUMBER($E49),$E49/SUM($E49:$F49),"")</f>
        <v>#DIV/0!</v>
      </c>
      <c r="H49" s="278" t="e">
        <f t="shared" ref="H49:H57" si="11">IF(ISNUMBER($F49),$F49/SUM($E49:$F49),"")</f>
        <v>#DIV/0!</v>
      </c>
      <c r="I49" s="563" t="s">
        <v>117</v>
      </c>
    </row>
    <row r="50" spans="1:9" ht="15" customHeight="1">
      <c r="A50" s="281" t="s">
        <v>14</v>
      </c>
      <c r="B50" s="305" t="s">
        <v>14</v>
      </c>
      <c r="C50" s="226" t="s">
        <v>103</v>
      </c>
      <c r="D50" s="305" t="s">
        <v>103</v>
      </c>
      <c r="E50" s="234">
        <f>'REKENVOLUMES'!$O$28+FACTOR_DOORVOER*'REKENVOLUMES'!$P$28</f>
        <v>0</v>
      </c>
      <c r="F50" s="128">
        <f>'REKENVOLUMES'!$Q$28+FACTOR_DOORVOER*'REKENVOLUMES'!$R$28+'REKENVOLUMES'!$S$28</f>
        <v>0</v>
      </c>
      <c r="G50" s="247" t="e">
        <f t="shared" si="10"/>
        <v>#DIV/0!</v>
      </c>
      <c r="H50" s="279" t="e">
        <f t="shared" si="11"/>
        <v>#DIV/0!</v>
      </c>
    </row>
    <row r="51" spans="1:9" ht="15" customHeight="1">
      <c r="A51" s="281" t="s">
        <v>26</v>
      </c>
      <c r="B51" s="305" t="s">
        <v>16</v>
      </c>
      <c r="C51" s="226" t="s">
        <v>103</v>
      </c>
      <c r="D51" s="305" t="s">
        <v>103</v>
      </c>
      <c r="E51" s="234" t="e">
        <f>'T2'!$Q$90</f>
        <v>#DIV/0!</v>
      </c>
      <c r="F51" s="128" t="e">
        <f>'T2'!$R$90</f>
        <v>#DIV/0!</v>
      </c>
      <c r="G51" s="247" t="str">
        <f t="shared" si="10"/>
        <v/>
      </c>
      <c r="H51" s="279" t="str">
        <f t="shared" si="11"/>
        <v/>
      </c>
    </row>
    <row r="52" spans="1:9" ht="15" customHeight="1">
      <c r="A52" s="281" t="s">
        <v>78</v>
      </c>
      <c r="B52" s="305" t="s">
        <v>16</v>
      </c>
      <c r="C52" s="226" t="s">
        <v>103</v>
      </c>
      <c r="D52" s="305" t="s">
        <v>103</v>
      </c>
      <c r="E52" s="234" t="e">
        <f>'T2'!$Q$91</f>
        <v>#DIV/0!</v>
      </c>
      <c r="F52" s="128" t="e">
        <f>'T2'!$R$91</f>
        <v>#DIV/0!</v>
      </c>
      <c r="G52" s="247" t="str">
        <f t="shared" si="10"/>
        <v/>
      </c>
      <c r="H52" s="279" t="str">
        <f t="shared" si="11"/>
        <v/>
      </c>
    </row>
    <row r="53" spans="1:9" ht="15" customHeight="1">
      <c r="A53" s="281" t="s">
        <v>222</v>
      </c>
      <c r="B53" s="305" t="s">
        <v>16</v>
      </c>
      <c r="C53" s="226" t="s">
        <v>103</v>
      </c>
      <c r="D53" s="305" t="s">
        <v>103</v>
      </c>
      <c r="E53" s="234" t="e">
        <f>'T2'!$Q$92</f>
        <v>#VALUE!</v>
      </c>
      <c r="F53" s="128" t="e">
        <f>'T2'!$R$92</f>
        <v>#VALUE!</v>
      </c>
      <c r="G53" s="247" t="str">
        <f t="shared" si="10"/>
        <v/>
      </c>
      <c r="H53" s="279" t="str">
        <f t="shared" si="11"/>
        <v/>
      </c>
    </row>
    <row r="54" spans="1:9" ht="15" customHeight="1">
      <c r="A54" s="281" t="s">
        <v>79</v>
      </c>
      <c r="B54" s="622"/>
      <c r="C54" s="226" t="s">
        <v>103</v>
      </c>
      <c r="D54" s="305" t="s">
        <v>103</v>
      </c>
      <c r="E54" s="611"/>
      <c r="F54" s="613"/>
      <c r="G54" s="247" t="str">
        <f t="shared" si="10"/>
        <v/>
      </c>
      <c r="H54" s="279" t="str">
        <f t="shared" si="11"/>
        <v/>
      </c>
    </row>
    <row r="55" spans="1:9" ht="15" customHeight="1">
      <c r="A55" s="615"/>
      <c r="B55" s="622"/>
      <c r="C55" s="623"/>
      <c r="D55" s="622"/>
      <c r="E55" s="611"/>
      <c r="F55" s="613"/>
      <c r="G55" s="630" t="str">
        <f t="shared" si="10"/>
        <v/>
      </c>
      <c r="H55" s="632" t="str">
        <f t="shared" si="11"/>
        <v/>
      </c>
    </row>
    <row r="56" spans="1:9" ht="15" customHeight="1">
      <c r="A56" s="615"/>
      <c r="B56" s="622"/>
      <c r="C56" s="623"/>
      <c r="D56" s="622"/>
      <c r="E56" s="611"/>
      <c r="F56" s="613"/>
      <c r="G56" s="630" t="str">
        <f t="shared" si="10"/>
        <v/>
      </c>
      <c r="H56" s="632" t="str">
        <f t="shared" si="11"/>
        <v/>
      </c>
    </row>
    <row r="57" spans="1:9" ht="15" customHeight="1" thickBot="1">
      <c r="A57" s="602"/>
      <c r="B57" s="624"/>
      <c r="C57" s="625"/>
      <c r="D57" s="624"/>
      <c r="E57" s="606"/>
      <c r="F57" s="607"/>
      <c r="G57" s="628" t="str">
        <f t="shared" si="10"/>
        <v/>
      </c>
      <c r="H57" s="629" t="str">
        <f t="shared" si="11"/>
        <v/>
      </c>
    </row>
  </sheetData>
  <sheetProtection algorithmName="SHA-512" hashValue="G3/9hSaoDSEQMxYu6dKn6gcaUbLH7W9GL7bGHbUUISinurWMNcL6yIGgxdnTOaUAJTRCKIeflb/EVgnvZAFDDg==" saltValue="DrMkCI4Ql4jF9LcwXcgIoA==" spinCount="100000" sheet="1" objects="1" scenarios="1" insertRows="0" sort="0" autoFilter="0"/>
  <mergeCells count="11">
    <mergeCell ref="G47:H47"/>
    <mergeCell ref="A1:N1"/>
    <mergeCell ref="D4:F4"/>
    <mergeCell ref="K19:N19"/>
    <mergeCell ref="C7:D7"/>
    <mergeCell ref="E7:F7"/>
    <mergeCell ref="G7:H7"/>
    <mergeCell ref="C19:F19"/>
    <mergeCell ref="G19:J19"/>
    <mergeCell ref="C47:D47"/>
    <mergeCell ref="E47:F47"/>
  </mergeCells>
  <conditionalFormatting sqref="K21:K29 E9:E15 G9:G15 G35:G43 K31:K43">
    <cfRule type="expression" dxfId="274" priority="52">
      <formula>$C9&lt;&gt;"x"</formula>
    </cfRule>
  </conditionalFormatting>
  <conditionalFormatting sqref="L21:L29 F9:F15 H9:H15 H35:H43 L31:L43">
    <cfRule type="expression" dxfId="273" priority="51">
      <formula>$D9&lt;&gt;"x"</formula>
    </cfRule>
  </conditionalFormatting>
  <conditionalFormatting sqref="G21:G26 G28">
    <cfRule type="expression" dxfId="272" priority="50">
      <formula>$C21&lt;&gt;"x"</formula>
    </cfRule>
  </conditionalFormatting>
  <conditionalFormatting sqref="H21:H25 H28">
    <cfRule type="expression" dxfId="271" priority="49">
      <formula>$D21&lt;&gt;"x"</formula>
    </cfRule>
  </conditionalFormatting>
  <conditionalFormatting sqref="I21:I25 M21:M29 I28 I35:I43 M31:M43">
    <cfRule type="expression" dxfId="270" priority="48">
      <formula>$E21&lt;&gt;"x"</formula>
    </cfRule>
  </conditionalFormatting>
  <conditionalFormatting sqref="J21:J25 N21:N29 J28 J35:J43 N31:N43">
    <cfRule type="expression" dxfId="269" priority="47">
      <formula>$F21&lt;&gt;"x"</formula>
    </cfRule>
  </conditionalFormatting>
  <conditionalFormatting sqref="G27">
    <cfRule type="expression" dxfId="268" priority="30">
      <formula>$C27&lt;&gt;"x"</formula>
    </cfRule>
  </conditionalFormatting>
  <conditionalFormatting sqref="H27">
    <cfRule type="expression" dxfId="267" priority="29">
      <formula>$D27&lt;&gt;"x"</formula>
    </cfRule>
  </conditionalFormatting>
  <conditionalFormatting sqref="I27">
    <cfRule type="expression" dxfId="266" priority="28">
      <formula>$E27&lt;&gt;"x"</formula>
    </cfRule>
  </conditionalFormatting>
  <conditionalFormatting sqref="J27">
    <cfRule type="expression" dxfId="265" priority="27">
      <formula>$F27&lt;&gt;"x"</formula>
    </cfRule>
  </conditionalFormatting>
  <conditionalFormatting sqref="E49:E57 G49:G57">
    <cfRule type="expression" dxfId="264" priority="26">
      <formula>$C49=""</formula>
    </cfRule>
  </conditionalFormatting>
  <conditionalFormatting sqref="F49:F57 H49:H57">
    <cfRule type="expression" dxfId="263" priority="25">
      <formula>$D49=""</formula>
    </cfRule>
  </conditionalFormatting>
  <conditionalFormatting sqref="G29">
    <cfRule type="expression" dxfId="262" priority="23">
      <formula>$C29&lt;&gt;"x"</formula>
    </cfRule>
  </conditionalFormatting>
  <conditionalFormatting sqref="H29">
    <cfRule type="expression" dxfId="261" priority="22">
      <formula>$D29&lt;&gt;"x"</formula>
    </cfRule>
  </conditionalFormatting>
  <conditionalFormatting sqref="I29">
    <cfRule type="expression" dxfId="260" priority="21">
      <formula>$E29&lt;&gt;"x"</formula>
    </cfRule>
  </conditionalFormatting>
  <conditionalFormatting sqref="J29">
    <cfRule type="expression" dxfId="259" priority="20">
      <formula>$F29&lt;&gt;"x"</formula>
    </cfRule>
  </conditionalFormatting>
  <conditionalFormatting sqref="G31:G34">
    <cfRule type="expression" dxfId="258" priority="19">
      <formula>$C31&lt;&gt;"x"</formula>
    </cfRule>
  </conditionalFormatting>
  <conditionalFormatting sqref="H31:H34">
    <cfRule type="expression" dxfId="257" priority="18">
      <formula>$D31&lt;&gt;"x"</formula>
    </cfRule>
  </conditionalFormatting>
  <conditionalFormatting sqref="I31:I34">
    <cfRule type="expression" dxfId="256" priority="17">
      <formula>$E31&lt;&gt;"x"</formula>
    </cfRule>
  </conditionalFormatting>
  <conditionalFormatting sqref="J31:J34">
    <cfRule type="expression" dxfId="255" priority="16">
      <formula>$F31&lt;&gt;"x"</formula>
    </cfRule>
  </conditionalFormatting>
  <conditionalFormatting sqref="N30">
    <cfRule type="expression" dxfId="254" priority="4">
      <formula>$F30&lt;&gt;"x"</formula>
    </cfRule>
  </conditionalFormatting>
  <conditionalFormatting sqref="G30">
    <cfRule type="expression" dxfId="253" priority="11">
      <formula>$C30&lt;&gt;"x"</formula>
    </cfRule>
  </conditionalFormatting>
  <conditionalFormatting sqref="H30">
    <cfRule type="expression" dxfId="252" priority="10">
      <formula>$D30&lt;&gt;"x"</formula>
    </cfRule>
  </conditionalFormatting>
  <conditionalFormatting sqref="I30">
    <cfRule type="expression" dxfId="251" priority="9">
      <formula>$E30&lt;&gt;"x"</formula>
    </cfRule>
  </conditionalFormatting>
  <conditionalFormatting sqref="J30">
    <cfRule type="expression" dxfId="250" priority="8">
      <formula>$F30&lt;&gt;"x"</formula>
    </cfRule>
  </conditionalFormatting>
  <conditionalFormatting sqref="K30">
    <cfRule type="expression" dxfId="249" priority="7">
      <formula>$C30&lt;&gt;"x"</formula>
    </cfRule>
  </conditionalFormatting>
  <conditionalFormatting sqref="L30">
    <cfRule type="expression" dxfId="248" priority="6">
      <formula>$D30&lt;&gt;"x"</formula>
    </cfRule>
  </conditionalFormatting>
  <conditionalFormatting sqref="M30">
    <cfRule type="expression" dxfId="247" priority="5">
      <formula>$E30&lt;&gt;"x"</formula>
    </cfRule>
  </conditionalFormatting>
  <conditionalFormatting sqref="H26">
    <cfRule type="expression" dxfId="246" priority="3">
      <formula>$D26&lt;&gt;"x"</formula>
    </cfRule>
  </conditionalFormatting>
  <conditionalFormatting sqref="I26">
    <cfRule type="expression" dxfId="245" priority="2">
      <formula>$E26&lt;&gt;"x"</formula>
    </cfRule>
  </conditionalFormatting>
  <conditionalFormatting sqref="J26">
    <cfRule type="expression" dxfId="244" priority="1">
      <formula>$F26&lt;&gt;"x"</formula>
    </cfRule>
  </conditionalFormatting>
  <dataValidations count="2">
    <dataValidation type="list" allowBlank="1" showInputMessage="1" showErrorMessage="1" sqref="C49:D57 C21:F43" xr:uid="{4EF72244-3EB8-4A9E-8978-B74DF6AD8183}">
      <formula1>"x"</formula1>
    </dataValidation>
    <dataValidation type="list" allowBlank="1" showInputMessage="1" showErrorMessage="1" sqref="C9:D15" xr:uid="{00000000-0002-0000-0200-000000000000}">
      <formula1>"x,"</formula1>
    </dataValidation>
  </dataValidations>
  <pageMargins left="0.7" right="0.7" top="0.75" bottom="0.75" header="0.3" footer="0.3"/>
  <pageSetup paperSize="9" orientation="portrait" r:id="rId1"/>
  <ignoredErrors>
    <ignoredError sqref="K22:N27 K41:N43 C55:D57 C49:D50 L35:N35 L28:N28 K29:N29 L21:N21 L31:N31" calculatedColumn="1"/>
  </ignoredErrors>
  <tableParts count="3">
    <tablePart r:id="rId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ublished="0" codeName="Blad17"/>
  <dimension ref="A1:AB29"/>
  <sheetViews>
    <sheetView zoomScaleNormal="100" workbookViewId="0">
      <selection activeCell="D4" sqref="D4:H4"/>
    </sheetView>
  </sheetViews>
  <sheetFormatPr defaultColWidth="10.7265625" defaultRowHeight="15" customHeight="1" outlineLevelCol="1"/>
  <cols>
    <col min="1" max="1" width="30.7265625" style="634" customWidth="1"/>
    <col min="2" max="5" width="15.7265625" style="634" customWidth="1"/>
    <col min="6" max="7" width="15.7265625" style="634" customWidth="1" outlineLevel="1"/>
    <col min="8" max="8" width="15.7265625" style="634" customWidth="1"/>
    <col min="9" max="11" width="15.7265625" style="634" customWidth="1" outlineLevel="1"/>
    <col min="12" max="12" width="15.7265625" style="634" customWidth="1"/>
    <col min="13" max="13" width="15.7265625" style="634" customWidth="1" outlineLevel="1"/>
    <col min="14" max="14" width="15.7265625" style="634" customWidth="1"/>
    <col min="15" max="19" width="15.7265625" style="634" customWidth="1" outlineLevel="1"/>
    <col min="20" max="20" width="15.7265625" style="634" customWidth="1"/>
    <col min="21" max="25" width="15.7265625" style="634" customWidth="1" outlineLevel="1"/>
    <col min="26" max="26" width="15.7265625" style="634" customWidth="1"/>
    <col min="27" max="27" width="5.7265625" style="634" customWidth="1"/>
    <col min="28" max="28" width="10.7265625" style="634" customWidth="1"/>
    <col min="29" max="16384" width="10.7265625" style="634"/>
  </cols>
  <sheetData>
    <row r="1" spans="1:26" ht="30" customHeight="1" thickBot="1">
      <c r="A1" s="1702" t="s">
        <v>169</v>
      </c>
      <c r="B1" s="1703"/>
      <c r="C1" s="1703"/>
      <c r="D1" s="1704"/>
      <c r="E1" s="1704"/>
      <c r="F1" s="1703"/>
      <c r="G1" s="1703"/>
      <c r="H1" s="1704"/>
      <c r="I1" s="1703"/>
      <c r="J1" s="1703"/>
      <c r="K1" s="1703"/>
      <c r="L1" s="1704"/>
      <c r="M1" s="1703"/>
      <c r="N1" s="1704"/>
      <c r="O1" s="1703"/>
      <c r="P1" s="1703"/>
      <c r="Q1" s="1703"/>
      <c r="R1" s="1703"/>
      <c r="S1" s="1703"/>
      <c r="T1" s="1703"/>
      <c r="U1" s="1704"/>
      <c r="V1" s="1703"/>
      <c r="W1" s="1704"/>
      <c r="X1" s="1703"/>
      <c r="Y1" s="1703"/>
      <c r="Z1" s="1705"/>
    </row>
    <row r="3" spans="1:26" ht="15" customHeight="1" thickBot="1"/>
    <row r="4" spans="1:26" ht="15" customHeight="1" thickBot="1">
      <c r="B4" s="129" t="s">
        <v>6</v>
      </c>
      <c r="D4" s="1722" t="str">
        <f>DNB</f>
        <v>Naam distributienetbeheerder</v>
      </c>
      <c r="E4" s="1723"/>
      <c r="F4" s="1723"/>
      <c r="G4" s="1723"/>
      <c r="H4" s="1724"/>
    </row>
    <row r="5" spans="1:26" ht="15" customHeight="1">
      <c r="B5" s="635"/>
    </row>
    <row r="6" spans="1:26" ht="15" customHeight="1" thickBot="1"/>
    <row r="7" spans="1:26" ht="61.5" customHeight="1" thickBot="1">
      <c r="A7" s="636" t="s">
        <v>120</v>
      </c>
      <c r="B7" s="636" t="s">
        <v>117</v>
      </c>
      <c r="C7" s="637" t="s">
        <v>118</v>
      </c>
      <c r="D7" s="638" t="s">
        <v>270</v>
      </c>
      <c r="E7" s="639" t="s">
        <v>293</v>
      </c>
      <c r="F7" s="640" t="s">
        <v>97</v>
      </c>
      <c r="G7" s="641" t="s">
        <v>127</v>
      </c>
      <c r="H7" s="639" t="s">
        <v>294</v>
      </c>
      <c r="I7" s="640" t="s">
        <v>128</v>
      </c>
      <c r="J7" s="640" t="s">
        <v>260</v>
      </c>
      <c r="K7" s="641" t="s">
        <v>261</v>
      </c>
      <c r="L7" s="639" t="s">
        <v>268</v>
      </c>
      <c r="M7" s="640" t="s">
        <v>98</v>
      </c>
      <c r="N7" s="639" t="s">
        <v>295</v>
      </c>
      <c r="O7" s="640" t="s">
        <v>114</v>
      </c>
      <c r="P7" s="640" t="s">
        <v>494</v>
      </c>
      <c r="Q7" s="640" t="s">
        <v>115</v>
      </c>
      <c r="R7" s="640" t="s">
        <v>495</v>
      </c>
      <c r="S7" s="641" t="s">
        <v>116</v>
      </c>
      <c r="T7" s="637" t="s">
        <v>269</v>
      </c>
      <c r="U7" s="642" t="s">
        <v>203</v>
      </c>
      <c r="V7" s="637" t="s">
        <v>258</v>
      </c>
      <c r="W7" s="637" t="s">
        <v>262</v>
      </c>
      <c r="X7" s="637" t="s">
        <v>99</v>
      </c>
      <c r="Y7" s="643" t="s">
        <v>100</v>
      </c>
    </row>
    <row r="8" spans="1:26" s="650" customFormat="1" ht="15" customHeight="1">
      <c r="A8" s="644" t="s">
        <v>119</v>
      </c>
      <c r="B8" s="645">
        <v>1</v>
      </c>
      <c r="C8" s="646">
        <f>SUM(Rekenvolumes[[#This Row],[Afnameklanten (∑)]],Rekenvolumes[[#This Row],[Injectieklanten (∑)]])</f>
        <v>0</v>
      </c>
      <c r="D8" s="647">
        <f>SUM(Rekenvolumes[[#This Row],[Afnameklanten op TRHS (∑)]],Rekenvolumes[[#This Row],[Afnameklanten op MS (∑)]],Rekenvolumes[[#This Row],[Afnameklanten op TRLS (∑)]],Rekenvolumes[[#This Row],[Afnameklanten op LS (∑)]])</f>
        <v>0</v>
      </c>
      <c r="E8" s="648">
        <f>SUM(Rekenvolumes[[#This Row],[Afnameklanten op TRHS]:[Afnameklanten op &gt;26-36 kV met AV ≥ 5MVA]])</f>
        <v>0</v>
      </c>
      <c r="F8" s="700"/>
      <c r="G8" s="701"/>
      <c r="H8" s="649">
        <f>SUM(Rekenvolumes[[#This Row],[Afnameklanten op &gt;26-36 kV met AV &lt; 5MVA]:[Doorvoer op 26-1kV]])</f>
        <v>0</v>
      </c>
      <c r="I8" s="700"/>
      <c r="J8" s="700"/>
      <c r="K8" s="701"/>
      <c r="L8" s="649">
        <f>SUM(Rekenvolumes[[#This Row],[Afnameklanten op TRLS]])</f>
        <v>0</v>
      </c>
      <c r="M8" s="700"/>
      <c r="N8" s="649">
        <f>SUM(Rekenvolumes[[#This Row],[Afnameklanten op LS met piekmeting]:[Prosumenten met terugdraaiende teller op LS]])</f>
        <v>0</v>
      </c>
      <c r="O8" s="700"/>
      <c r="P8" s="700"/>
      <c r="Q8" s="700"/>
      <c r="R8" s="700"/>
      <c r="S8" s="1117"/>
      <c r="T8" s="1095"/>
      <c r="U8" s="712"/>
      <c r="V8" s="712"/>
      <c r="W8" s="712"/>
      <c r="X8" s="712"/>
      <c r="Y8" s="713"/>
    </row>
    <row r="9" spans="1:26" s="650" customFormat="1" ht="15" customHeight="1">
      <c r="A9" s="651" t="s">
        <v>7</v>
      </c>
      <c r="B9" s="652">
        <v>2</v>
      </c>
      <c r="C9" s="653">
        <f>SUM(Rekenvolumes[[#This Row],[Afnameklanten (∑)]],Rekenvolumes[[#This Row],[Injectieklanten (∑)]])</f>
        <v>0</v>
      </c>
      <c r="D9" s="654">
        <f>SUM(Rekenvolumes[[#This Row],[Afnameklanten op TRHS (∑)]],Rekenvolumes[[#This Row],[Afnameklanten op MS (∑)]],Rekenvolumes[[#This Row],[Afnameklanten op TRLS (∑)]],Rekenvolumes[[#This Row],[Afnameklanten op LS (∑)]])</f>
        <v>0</v>
      </c>
      <c r="E9" s="655">
        <f>SUM(Rekenvolumes[[#This Row],[Afnameklanten op TRHS]:[Afnameklanten op &gt;26-36 kV met AV ≥ 5MVA]])</f>
        <v>0</v>
      </c>
      <c r="F9" s="702"/>
      <c r="G9" s="703"/>
      <c r="H9" s="656">
        <f>SUM(Rekenvolumes[[#This Row],[Afnameklanten op &gt;26-36 kV met AV &lt; 5MVA]:[Doorvoer op 26-1kV]])</f>
        <v>0</v>
      </c>
      <c r="I9" s="702"/>
      <c r="J9" s="702"/>
      <c r="K9" s="703"/>
      <c r="L9" s="656">
        <f>SUM(Rekenvolumes[[#This Row],[Afnameklanten op TRLS]])</f>
        <v>0</v>
      </c>
      <c r="M9" s="702"/>
      <c r="N9" s="656">
        <f>SUM(Rekenvolumes[[#This Row],[Afnameklanten op LS met piekmeting]:[Prosumenten met terugdraaiende teller op LS]])</f>
        <v>0</v>
      </c>
      <c r="O9" s="702"/>
      <c r="P9" s="702"/>
      <c r="Q9" s="702"/>
      <c r="R9" s="702"/>
      <c r="S9" s="705"/>
      <c r="T9" s="1096"/>
      <c r="U9" s="714"/>
      <c r="V9" s="714"/>
      <c r="W9" s="714"/>
      <c r="X9" s="714"/>
      <c r="Y9" s="715"/>
    </row>
    <row r="10" spans="1:26" s="650" customFormat="1" ht="15" customHeight="1">
      <c r="A10" s="657" t="s">
        <v>8</v>
      </c>
      <c r="B10" s="658">
        <v>3</v>
      </c>
      <c r="C10" s="653">
        <f>SUM(Rekenvolumes[[#This Row],[Afnameklanten (∑)]],Rekenvolumes[[#This Row],[Injectieklanten (∑)]])</f>
        <v>0</v>
      </c>
      <c r="D10" s="654">
        <f>SUM(Rekenvolumes[[#This Row],[Afnameklanten op TRHS (∑)]],Rekenvolumes[[#This Row],[Afnameklanten op MS (∑)]],Rekenvolumes[[#This Row],[Afnameklanten op TRLS (∑)]],Rekenvolumes[[#This Row],[Afnameklanten op LS (∑)]])</f>
        <v>0</v>
      </c>
      <c r="E10" s="655">
        <f>SUM(Rekenvolumes[[#This Row],[Afnameklanten op TRHS]:[Afnameklanten op &gt;26-36 kV met AV ≥ 5MVA]])</f>
        <v>0</v>
      </c>
      <c r="F10" s="702"/>
      <c r="G10" s="703"/>
      <c r="H10" s="656">
        <f>SUM(Rekenvolumes[[#This Row],[Afnameklanten op &gt;26-36 kV met AV &lt; 5MVA]:[Doorvoer op 26-1kV]])</f>
        <v>0</v>
      </c>
      <c r="I10" s="702"/>
      <c r="J10" s="702"/>
      <c r="K10" s="703"/>
      <c r="L10" s="656">
        <f>SUM(Rekenvolumes[[#This Row],[Afnameklanten op TRLS]])</f>
        <v>0</v>
      </c>
      <c r="M10" s="702"/>
      <c r="N10" s="656">
        <f>SUM(Rekenvolumes[[#This Row],[Afnameklanten op LS met piekmeting]:[Prosumenten met terugdraaiende teller op LS]])</f>
        <v>0</v>
      </c>
      <c r="O10" s="702"/>
      <c r="P10" s="702"/>
      <c r="Q10" s="702"/>
      <c r="R10" s="702"/>
      <c r="S10" s="705"/>
      <c r="T10" s="1096"/>
      <c r="U10" s="714"/>
      <c r="V10" s="714"/>
      <c r="W10" s="714"/>
      <c r="X10" s="714"/>
      <c r="Y10" s="715"/>
    </row>
    <row r="11" spans="1:26" s="650" customFormat="1" ht="15" customHeight="1">
      <c r="A11" s="651" t="s">
        <v>122</v>
      </c>
      <c r="B11" s="652">
        <v>4</v>
      </c>
      <c r="C11" s="653">
        <f>SUM(Rekenvolumes[[#This Row],[Afnameklanten (∑)]],Rekenvolumes[[#This Row],[Injectieklanten (∑)]])</f>
        <v>0</v>
      </c>
      <c r="D11" s="654">
        <f>SUM(Rekenvolumes[[#This Row],[Afnameklanten op TRHS (∑)]],Rekenvolumes[[#This Row],[Afnameklanten op MS (∑)]],Rekenvolumes[[#This Row],[Afnameklanten op TRLS (∑)]],Rekenvolumes[[#This Row],[Afnameklanten op LS (∑)]])</f>
        <v>0</v>
      </c>
      <c r="E11" s="659"/>
      <c r="F11" s="704"/>
      <c r="G11" s="705"/>
      <c r="H11" s="660"/>
      <c r="I11" s="704"/>
      <c r="J11" s="704"/>
      <c r="K11" s="705"/>
      <c r="L11" s="660"/>
      <c r="M11" s="704"/>
      <c r="N11" s="656">
        <f>SUM(Rekenvolumes[[#This Row],[Afnameklanten op LS met piekmeting]:[Prosumenten met terugdraaiende teller op LS]])</f>
        <v>0</v>
      </c>
      <c r="O11" s="702"/>
      <c r="P11" s="702"/>
      <c r="Q11" s="702"/>
      <c r="R11" s="702"/>
      <c r="S11" s="705"/>
      <c r="T11" s="1096"/>
      <c r="U11" s="714"/>
      <c r="V11" s="714"/>
      <c r="W11" s="714"/>
      <c r="X11" s="714"/>
      <c r="Y11" s="715"/>
    </row>
    <row r="12" spans="1:26" s="650" customFormat="1" ht="15" customHeight="1">
      <c r="A12" s="651" t="s">
        <v>123</v>
      </c>
      <c r="B12" s="652">
        <v>5</v>
      </c>
      <c r="C12" s="653">
        <f>SUM(Rekenvolumes[[#This Row],[Afnameklanten (∑)]],Rekenvolumes[[#This Row],[Injectieklanten (∑)]])</f>
        <v>0</v>
      </c>
      <c r="D12" s="654">
        <f>SUM(Rekenvolumes[[#This Row],[Afnameklanten op TRHS (∑)]],Rekenvolumes[[#This Row],[Afnameklanten op MS (∑)]],Rekenvolumes[[#This Row],[Afnameklanten op TRLS (∑)]],Rekenvolumes[[#This Row],[Afnameklanten op LS (∑)]])</f>
        <v>0</v>
      </c>
      <c r="E12" s="659"/>
      <c r="F12" s="704"/>
      <c r="G12" s="705"/>
      <c r="H12" s="660"/>
      <c r="I12" s="704"/>
      <c r="J12" s="704"/>
      <c r="K12" s="705"/>
      <c r="L12" s="660"/>
      <c r="M12" s="704"/>
      <c r="N12" s="656">
        <f>SUM(Rekenvolumes[[#This Row],[Afnameklanten op LS met piekmeting]:[Prosumenten met terugdraaiende teller op LS]])</f>
        <v>0</v>
      </c>
      <c r="O12" s="702"/>
      <c r="P12" s="702"/>
      <c r="Q12" s="702"/>
      <c r="R12" s="702"/>
      <c r="S12" s="705"/>
      <c r="T12" s="1096"/>
      <c r="U12" s="714"/>
      <c r="V12" s="714"/>
      <c r="W12" s="714"/>
      <c r="X12" s="714"/>
      <c r="Y12" s="715"/>
    </row>
    <row r="13" spans="1:26" s="650" customFormat="1" ht="15" customHeight="1">
      <c r="A13" s="651" t="s">
        <v>124</v>
      </c>
      <c r="B13" s="652">
        <v>6</v>
      </c>
      <c r="C13" s="653">
        <f>SUM(Rekenvolumes[[#This Row],[Afnameklanten (∑)]],Rekenvolumes[[#This Row],[Injectieklanten (∑)]])</f>
        <v>0</v>
      </c>
      <c r="D13" s="654">
        <f>SUM(Rekenvolumes[[#This Row],[Afnameklanten op TRHS (∑)]],Rekenvolumes[[#This Row],[Afnameklanten op MS (∑)]],Rekenvolumes[[#This Row],[Afnameklanten op TRLS (∑)]],Rekenvolumes[[#This Row],[Afnameklanten op LS (∑)]])</f>
        <v>0</v>
      </c>
      <c r="E13" s="659"/>
      <c r="F13" s="704"/>
      <c r="G13" s="705"/>
      <c r="H13" s="660"/>
      <c r="I13" s="704"/>
      <c r="J13" s="704"/>
      <c r="K13" s="705"/>
      <c r="L13" s="660"/>
      <c r="M13" s="704"/>
      <c r="N13" s="656">
        <f>SUM(Rekenvolumes[[#This Row],[Afnameklanten op LS met piekmeting]:[Prosumenten met terugdraaiende teller op LS]])</f>
        <v>0</v>
      </c>
      <c r="O13" s="704"/>
      <c r="P13" s="704"/>
      <c r="Q13" s="702"/>
      <c r="R13" s="702"/>
      <c r="S13" s="705"/>
      <c r="T13" s="1096"/>
      <c r="U13" s="714"/>
      <c r="V13" s="714"/>
      <c r="W13" s="714"/>
      <c r="X13" s="714"/>
      <c r="Y13" s="715"/>
    </row>
    <row r="14" spans="1:26" s="650" customFormat="1" ht="15" customHeight="1">
      <c r="A14" s="651" t="s">
        <v>121</v>
      </c>
      <c r="B14" s="652">
        <v>7</v>
      </c>
      <c r="C14" s="653">
        <f>SUM(Rekenvolumes[[#This Row],[Afnameklanten (∑)]],Rekenvolumes[[#This Row],[Injectieklanten (∑)]])</f>
        <v>0</v>
      </c>
      <c r="D14" s="654">
        <f>SUM(Rekenvolumes[[#This Row],[Afnameklanten op TRHS (∑)]],Rekenvolumes[[#This Row],[Afnameklanten op MS (∑)]],Rekenvolumes[[#This Row],[Afnameklanten op TRLS (∑)]],Rekenvolumes[[#This Row],[Afnameklanten op LS (∑)]])</f>
        <v>0</v>
      </c>
      <c r="E14" s="659"/>
      <c r="F14" s="704"/>
      <c r="G14" s="705"/>
      <c r="H14" s="660"/>
      <c r="I14" s="704"/>
      <c r="J14" s="704"/>
      <c r="K14" s="705"/>
      <c r="L14" s="660"/>
      <c r="M14" s="704"/>
      <c r="N14" s="660"/>
      <c r="O14" s="704"/>
      <c r="P14" s="704"/>
      <c r="Q14" s="704"/>
      <c r="R14" s="704"/>
      <c r="S14" s="705"/>
      <c r="T14" s="1097">
        <f>SUM(Rekenvolumes[[#This Row],[Injectieklanten op TRHS]:[Injectieklanten op LS]])</f>
        <v>0</v>
      </c>
      <c r="U14" s="716"/>
      <c r="V14" s="716"/>
      <c r="W14" s="716"/>
      <c r="X14" s="716"/>
      <c r="Y14" s="717"/>
    </row>
    <row r="15" spans="1:26" ht="15" customHeight="1">
      <c r="A15" s="661" t="s">
        <v>105</v>
      </c>
      <c r="B15" s="662">
        <v>8</v>
      </c>
      <c r="C15" s="663">
        <f>SUM(Rekenvolumes[[#This Row],[Afnameklanten (∑)]],Rekenvolumes[[#This Row],[Injectieklanten (∑)]])</f>
        <v>0</v>
      </c>
      <c r="D15" s="664">
        <f>SUM(Rekenvolumes[[#This Row],[Afnameklanten op TRHS (∑)]],Rekenvolumes[[#This Row],[Afnameklanten op MS (∑)]],Rekenvolumes[[#This Row],[Afnameklanten op TRLS (∑)]],Rekenvolumes[[#This Row],[Afnameklanten op LS (∑)]])</f>
        <v>0</v>
      </c>
      <c r="E15" s="665">
        <f>SUM(Rekenvolumes[[#This Row],[Afnameklanten op TRHS]:[Afnameklanten op &gt;26-36 kV met AV ≥ 5MVA]])</f>
        <v>0</v>
      </c>
      <c r="F15" s="706"/>
      <c r="G15" s="707"/>
      <c r="H15" s="665">
        <f>SUM(Rekenvolumes[[#This Row],[Afnameklanten op &gt;26-36 kV met AV &lt; 5MVA]:[Doorvoer op 26-1kV]])</f>
        <v>0</v>
      </c>
      <c r="I15" s="706"/>
      <c r="J15" s="706"/>
      <c r="K15" s="707"/>
      <c r="L15" s="665">
        <f>SUM(Rekenvolumes[[#This Row],[Afnameklanten op TRLS]])</f>
        <v>0</v>
      </c>
      <c r="M15" s="706"/>
      <c r="N15" s="660"/>
      <c r="O15" s="708"/>
      <c r="P15" s="708"/>
      <c r="Q15" s="708"/>
      <c r="R15" s="708"/>
      <c r="S15" s="709"/>
      <c r="T15" s="1098"/>
      <c r="U15" s="718"/>
      <c r="V15" s="718"/>
      <c r="W15" s="718"/>
      <c r="X15" s="718"/>
      <c r="Y15" s="719"/>
    </row>
    <row r="16" spans="1:26" ht="15" customHeight="1">
      <c r="A16" s="661" t="s">
        <v>106</v>
      </c>
      <c r="B16" s="662">
        <v>9</v>
      </c>
      <c r="C16" s="663">
        <f>SUM(Rekenvolumes[[#This Row],[Afnameklanten (∑)]],Rekenvolumes[[#This Row],[Injectieklanten (∑)]])</f>
        <v>0</v>
      </c>
      <c r="D16" s="664">
        <f>SUM(Rekenvolumes[[#This Row],[Afnameklanten op TRHS (∑)]],Rekenvolumes[[#This Row],[Afnameklanten op MS (∑)]],Rekenvolumes[[#This Row],[Afnameklanten op TRLS (∑)]],Rekenvolumes[[#This Row],[Afnameklanten op LS (∑)]])</f>
        <v>0</v>
      </c>
      <c r="E16" s="665">
        <f>SUM(Rekenvolumes[[#This Row],[Afnameklanten op TRHS]:[Afnameklanten op &gt;26-36 kV met AV ≥ 5MVA]])</f>
        <v>0</v>
      </c>
      <c r="F16" s="706"/>
      <c r="G16" s="707"/>
      <c r="H16" s="665">
        <f>SUM(Rekenvolumes[[#This Row],[Afnameklanten op &gt;26-36 kV met AV &lt; 5MVA]:[Doorvoer op 26-1kV]])</f>
        <v>0</v>
      </c>
      <c r="I16" s="706"/>
      <c r="J16" s="706"/>
      <c r="K16" s="707"/>
      <c r="L16" s="665">
        <f>SUM(Rekenvolumes[[#This Row],[Afnameklanten op TRLS]])</f>
        <v>0</v>
      </c>
      <c r="M16" s="706"/>
      <c r="N16" s="660"/>
      <c r="O16" s="708"/>
      <c r="P16" s="708"/>
      <c r="Q16" s="708"/>
      <c r="R16" s="708"/>
      <c r="S16" s="709"/>
      <c r="T16" s="1098"/>
      <c r="U16" s="718"/>
      <c r="V16" s="718"/>
      <c r="W16" s="718"/>
      <c r="X16" s="718"/>
      <c r="Y16" s="719"/>
    </row>
    <row r="17" spans="1:28" ht="15" customHeight="1">
      <c r="A17" s="661" t="s">
        <v>107</v>
      </c>
      <c r="B17" s="662">
        <v>10</v>
      </c>
      <c r="C17" s="663">
        <f>SUM(Rekenvolumes[[#This Row],[Afnameklanten (∑)]],Rekenvolumes[[#This Row],[Injectieklanten (∑)]])</f>
        <v>0</v>
      </c>
      <c r="D17" s="664">
        <f>SUM(Rekenvolumes[[#This Row],[Afnameklanten op TRHS (∑)]],Rekenvolumes[[#This Row],[Afnameklanten op MS (∑)]],Rekenvolumes[[#This Row],[Afnameklanten op TRLS (∑)]],Rekenvolumes[[#This Row],[Afnameklanten op LS (∑)]])</f>
        <v>0</v>
      </c>
      <c r="E17" s="665">
        <f>SUM(Rekenvolumes[[#This Row],[Afnameklanten op TRHS]:[Afnameklanten op &gt;26-36 kV met AV ≥ 5MVA]])</f>
        <v>0</v>
      </c>
      <c r="F17" s="706"/>
      <c r="G17" s="707"/>
      <c r="H17" s="665">
        <f>SUM(Rekenvolumes[[#This Row],[Afnameklanten op &gt;26-36 kV met AV &lt; 5MVA]:[Doorvoer op 26-1kV]])</f>
        <v>0</v>
      </c>
      <c r="I17" s="706"/>
      <c r="J17" s="706"/>
      <c r="K17" s="707"/>
      <c r="L17" s="665">
        <f>SUM(Rekenvolumes[[#This Row],[Afnameklanten op TRLS]])</f>
        <v>0</v>
      </c>
      <c r="M17" s="706"/>
      <c r="N17" s="660"/>
      <c r="O17" s="708"/>
      <c r="P17" s="708"/>
      <c r="Q17" s="708"/>
      <c r="R17" s="708"/>
      <c r="S17" s="709"/>
      <c r="T17" s="1098"/>
      <c r="U17" s="718"/>
      <c r="V17" s="718"/>
      <c r="W17" s="718"/>
      <c r="X17" s="718"/>
      <c r="Y17" s="719"/>
    </row>
    <row r="18" spans="1:28" ht="15" customHeight="1">
      <c r="A18" s="661" t="s">
        <v>108</v>
      </c>
      <c r="B18" s="662">
        <v>11</v>
      </c>
      <c r="C18" s="663">
        <f>SUM(Rekenvolumes[[#This Row],[Afnameklanten (∑)]],Rekenvolumes[[#This Row],[Injectieklanten (∑)]])</f>
        <v>0</v>
      </c>
      <c r="D18" s="664">
        <f>SUM(Rekenvolumes[[#This Row],[Afnameklanten op TRHS (∑)]],Rekenvolumes[[#This Row],[Afnameklanten op MS (∑)]],Rekenvolumes[[#This Row],[Afnameklanten op TRLS (∑)]],Rekenvolumes[[#This Row],[Afnameklanten op LS (∑)]])</f>
        <v>0</v>
      </c>
      <c r="E18" s="666"/>
      <c r="F18" s="708"/>
      <c r="G18" s="709"/>
      <c r="H18" s="666"/>
      <c r="I18" s="708"/>
      <c r="J18" s="708"/>
      <c r="K18" s="709"/>
      <c r="L18" s="666"/>
      <c r="M18" s="708"/>
      <c r="N18" s="665">
        <f>SUM(Rekenvolumes[[#This Row],[Afnameklanten op LS met piekmeting]:[Prosumenten met terugdraaiende teller op LS]])</f>
        <v>0</v>
      </c>
      <c r="O18" s="706"/>
      <c r="P18" s="706"/>
      <c r="Q18" s="725"/>
      <c r="R18" s="725"/>
      <c r="S18" s="1091"/>
      <c r="T18" s="1098"/>
      <c r="U18" s="718"/>
      <c r="V18" s="718"/>
      <c r="W18" s="718"/>
      <c r="X18" s="718"/>
      <c r="Y18" s="719"/>
    </row>
    <row r="19" spans="1:28" ht="15" customHeight="1">
      <c r="A19" s="661" t="s">
        <v>297</v>
      </c>
      <c r="B19" s="662">
        <v>12</v>
      </c>
      <c r="C19" s="663">
        <f>SUM(Rekenvolumes[[#This Row],[Afnameklanten (∑)]],Rekenvolumes[[#This Row],[Injectieklanten (∑)]])</f>
        <v>0</v>
      </c>
      <c r="D19" s="664">
        <f>SUM(Rekenvolumes[[#This Row],[Afnameklanten op TRHS (∑)]],Rekenvolumes[[#This Row],[Afnameklanten op MS (∑)]],Rekenvolumes[[#This Row],[Afnameklanten op TRLS (∑)]],Rekenvolumes[[#This Row],[Afnameklanten op LS (∑)]])</f>
        <v>0</v>
      </c>
      <c r="E19" s="665">
        <f>SUM(Rekenvolumes[[#This Row],[Afnameklanten op TRHS]:[Afnameklanten op &gt;26-36 kV met AV ≥ 5MVA]])</f>
        <v>0</v>
      </c>
      <c r="F19" s="706"/>
      <c r="G19" s="707"/>
      <c r="H19" s="665">
        <f>SUM(Rekenvolumes[[#This Row],[Afnameklanten op &gt;26-36 kV met AV &lt; 5MVA]:[Doorvoer op 26-1kV]])</f>
        <v>0</v>
      </c>
      <c r="I19" s="706"/>
      <c r="J19" s="706"/>
      <c r="K19" s="707"/>
      <c r="L19" s="665">
        <f>SUM(Rekenvolumes[[#This Row],[Afnameklanten op TRLS]])</f>
        <v>0</v>
      </c>
      <c r="M19" s="706"/>
      <c r="N19" s="665">
        <f>SUM(Rekenvolumes[[#This Row],[Afnameklanten op LS met piekmeting]:[Prosumenten met terugdraaiende teller op LS]])</f>
        <v>0</v>
      </c>
      <c r="O19" s="724"/>
      <c r="P19" s="706"/>
      <c r="Q19" s="706"/>
      <c r="R19" s="706"/>
      <c r="S19" s="1092">
        <f>$S$25/DIM_OMV*VOLLASTUREN*(1-ZELFCONSUMPTIE)</f>
        <v>0</v>
      </c>
      <c r="T19" s="1098"/>
      <c r="U19" s="718"/>
      <c r="V19" s="718"/>
      <c r="W19" s="718"/>
      <c r="X19" s="718"/>
      <c r="Y19" s="719"/>
    </row>
    <row r="20" spans="1:28" ht="15" customHeight="1">
      <c r="A20" s="661" t="s">
        <v>298</v>
      </c>
      <c r="B20" s="662">
        <v>13</v>
      </c>
      <c r="C20" s="663">
        <f>SUM(Rekenvolumes[[#This Row],[Afnameklanten (∑)]],Rekenvolumes[[#This Row],[Injectieklanten (∑)]])</f>
        <v>0</v>
      </c>
      <c r="D20" s="664">
        <f>SUM(Rekenvolumes[[#This Row],[Afnameklanten op TRHS (∑)]],Rekenvolumes[[#This Row],[Afnameklanten op MS (∑)]],Rekenvolumes[[#This Row],[Afnameklanten op TRLS (∑)]],Rekenvolumes[[#This Row],[Afnameklanten op LS (∑)]])</f>
        <v>0</v>
      </c>
      <c r="E20" s="665">
        <f>SUM(Rekenvolumes[[#This Row],[Afnameklanten op TRHS]:[Afnameklanten op &gt;26-36 kV met AV ≥ 5MVA]])</f>
        <v>0</v>
      </c>
      <c r="F20" s="706"/>
      <c r="G20" s="707"/>
      <c r="H20" s="665">
        <f>SUM(Rekenvolumes[[#This Row],[Afnameklanten op &gt;26-36 kV met AV &lt; 5MVA]:[Doorvoer op 26-1kV]])</f>
        <v>0</v>
      </c>
      <c r="I20" s="706"/>
      <c r="J20" s="706"/>
      <c r="K20" s="707"/>
      <c r="L20" s="665">
        <f>SUM(Rekenvolumes[[#This Row],[Afnameklanten op TRLS]])</f>
        <v>0</v>
      </c>
      <c r="M20" s="706"/>
      <c r="N20" s="665">
        <f>SUM(Rekenvolumes[[#This Row],[Afnameklanten op LS met piekmeting]:[Prosumenten met terugdraaiende teller op LS]])</f>
        <v>0</v>
      </c>
      <c r="O20" s="724"/>
      <c r="P20" s="706"/>
      <c r="Q20" s="706"/>
      <c r="R20" s="706"/>
      <c r="S20" s="1093"/>
      <c r="T20" s="1098"/>
      <c r="U20" s="718"/>
      <c r="V20" s="718"/>
      <c r="W20" s="718"/>
      <c r="X20" s="718"/>
      <c r="Y20" s="719"/>
    </row>
    <row r="21" spans="1:28" ht="15" customHeight="1">
      <c r="A21" s="661" t="s">
        <v>296</v>
      </c>
      <c r="B21" s="662">
        <v>14</v>
      </c>
      <c r="C21" s="663">
        <f>SUM(Rekenvolumes[[#This Row],[Afnameklanten (∑)]],Rekenvolumes[[#This Row],[Injectieklanten (∑)]])</f>
        <v>0</v>
      </c>
      <c r="D21" s="664">
        <f>SUM(Rekenvolumes[[#This Row],[Afnameklanten op TRHS (∑)]],Rekenvolumes[[#This Row],[Afnameklanten op MS (∑)]],Rekenvolumes[[#This Row],[Afnameklanten op TRLS (∑)]],Rekenvolumes[[#This Row],[Afnameklanten op LS (∑)]])</f>
        <v>0</v>
      </c>
      <c r="E21" s="666"/>
      <c r="F21" s="708"/>
      <c r="G21" s="709"/>
      <c r="H21" s="665">
        <f>SUM(Rekenvolumes[[#This Row],[Afnameklanten op &gt;26-36 kV met AV &lt; 5MVA]:[Doorvoer op 26-1kV]])</f>
        <v>0</v>
      </c>
      <c r="I21" s="708"/>
      <c r="J21" s="706"/>
      <c r="K21" s="709"/>
      <c r="L21" s="665">
        <f>SUM(Rekenvolumes[[#This Row],[Afnameklanten op TRLS]])</f>
        <v>0</v>
      </c>
      <c r="M21" s="706"/>
      <c r="N21" s="665">
        <f>SUM(Rekenvolumes[[#This Row],[Afnameklanten op LS met piekmeting]:[Prosumenten met terugdraaiende teller op LS]])</f>
        <v>0</v>
      </c>
      <c r="O21" s="724"/>
      <c r="P21" s="708"/>
      <c r="Q21" s="706"/>
      <c r="R21" s="706"/>
      <c r="S21" s="709"/>
      <c r="T21" s="1098"/>
      <c r="U21" s="718"/>
      <c r="V21" s="718"/>
      <c r="W21" s="718"/>
      <c r="X21" s="718"/>
      <c r="Y21" s="719"/>
    </row>
    <row r="22" spans="1:28" ht="15" customHeight="1">
      <c r="A22" s="661" t="s">
        <v>111</v>
      </c>
      <c r="B22" s="662">
        <v>15</v>
      </c>
      <c r="C22" s="663">
        <f>SUM(Rekenvolumes[[#This Row],[Afnameklanten (∑)]],Rekenvolumes[[#This Row],[Injectieklanten (∑)]])</f>
        <v>0</v>
      </c>
      <c r="D22" s="664">
        <f>SUM(Rekenvolumes[[#This Row],[Afnameklanten op TRHS (∑)]],Rekenvolumes[[#This Row],[Afnameklanten op MS (∑)]],Rekenvolumes[[#This Row],[Afnameklanten op TRLS (∑)]],Rekenvolumes[[#This Row],[Afnameklanten op LS (∑)]])</f>
        <v>0</v>
      </c>
      <c r="E22" s="666"/>
      <c r="F22" s="708"/>
      <c r="G22" s="709"/>
      <c r="H22" s="666"/>
      <c r="I22" s="708"/>
      <c r="J22" s="708"/>
      <c r="K22" s="709"/>
      <c r="L22" s="666"/>
      <c r="M22" s="708"/>
      <c r="N22" s="666"/>
      <c r="O22" s="708"/>
      <c r="P22" s="708"/>
      <c r="Q22" s="708"/>
      <c r="R22" s="708"/>
      <c r="S22" s="709"/>
      <c r="T22" s="663">
        <f>SUM(Rekenvolumes[[#This Row],[Injectieklanten op TRHS]:[Injectieklanten op LS]])</f>
        <v>0</v>
      </c>
      <c r="U22" s="720"/>
      <c r="V22" s="720"/>
      <c r="W22" s="720"/>
      <c r="X22" s="720"/>
      <c r="Y22" s="721"/>
    </row>
    <row r="23" spans="1:28" ht="15" customHeight="1">
      <c r="A23" s="661" t="s">
        <v>113</v>
      </c>
      <c r="B23" s="662">
        <v>16</v>
      </c>
      <c r="C23" s="663">
        <f>SUM(Rekenvolumes[[#This Row],[Afnameklanten (∑)]],Rekenvolumes[[#This Row],[Injectieklanten (∑)]])</f>
        <v>0</v>
      </c>
      <c r="D23" s="664">
        <f>SUM(Rekenvolumes[[#This Row],[Afnameklanten op TRHS (∑)]],Rekenvolumes[[#This Row],[Afnameklanten op MS (∑)]],Rekenvolumes[[#This Row],[Afnameklanten op TRLS (∑)]],Rekenvolumes[[#This Row],[Afnameklanten op LS (∑)]])</f>
        <v>0</v>
      </c>
      <c r="E23" s="665">
        <f>SUM(Rekenvolumes[[#This Row],[Afnameklanten op TRHS]:[Afnameklanten op &gt;26-36 kV met AV ≥ 5MVA]])</f>
        <v>0</v>
      </c>
      <c r="F23" s="706"/>
      <c r="G23" s="707"/>
      <c r="H23" s="665">
        <f>SUM(Rekenvolumes[[#This Row],[Afnameklanten op &gt;26-36 kV met AV &lt; 5MVA]:[Doorvoer op 26-1kV]])</f>
        <v>0</v>
      </c>
      <c r="I23" s="706"/>
      <c r="J23" s="706"/>
      <c r="K23" s="707"/>
      <c r="L23" s="665">
        <f>SUM(Rekenvolumes[[#This Row],[Afnameklanten op TRLS]])</f>
        <v>0</v>
      </c>
      <c r="M23" s="706"/>
      <c r="N23" s="666"/>
      <c r="O23" s="708"/>
      <c r="P23" s="708"/>
      <c r="Q23" s="708"/>
      <c r="R23" s="708"/>
      <c r="S23" s="709"/>
      <c r="T23" s="1098"/>
      <c r="U23" s="718"/>
      <c r="V23" s="718"/>
      <c r="W23" s="718"/>
      <c r="X23" s="718"/>
      <c r="Y23" s="719"/>
    </row>
    <row r="24" spans="1:28" ht="15" customHeight="1">
      <c r="A24" s="661" t="s">
        <v>112</v>
      </c>
      <c r="B24" s="662">
        <v>17</v>
      </c>
      <c r="C24" s="663">
        <f>SUM(Rekenvolumes[[#This Row],[Afnameklanten (∑)]],Rekenvolumes[[#This Row],[Injectieklanten (∑)]])</f>
        <v>0</v>
      </c>
      <c r="D24" s="664">
        <f>SUM(Rekenvolumes[[#This Row],[Afnameklanten op TRHS (∑)]],Rekenvolumes[[#This Row],[Afnameklanten op MS (∑)]],Rekenvolumes[[#This Row],[Afnameklanten op TRLS (∑)]],Rekenvolumes[[#This Row],[Afnameklanten op LS (∑)]])</f>
        <v>0</v>
      </c>
      <c r="E24" s="665">
        <f>SUM(Rekenvolumes[[#This Row],[Afnameklanten op TRHS]:[Afnameklanten op &gt;26-36 kV met AV ≥ 5MVA]])</f>
        <v>0</v>
      </c>
      <c r="F24" s="706"/>
      <c r="G24" s="707"/>
      <c r="H24" s="665">
        <f>SUM(Rekenvolumes[[#This Row],[Afnameklanten op &gt;26-36 kV met AV &lt; 5MVA]:[Doorvoer op 26-1kV]])</f>
        <v>0</v>
      </c>
      <c r="I24" s="706"/>
      <c r="J24" s="706"/>
      <c r="K24" s="707"/>
      <c r="L24" s="665">
        <f>SUM(Rekenvolumes[[#This Row],[Afnameklanten op TRLS]])</f>
        <v>0</v>
      </c>
      <c r="M24" s="706"/>
      <c r="N24" s="666"/>
      <c r="O24" s="708"/>
      <c r="P24" s="708"/>
      <c r="Q24" s="708"/>
      <c r="R24" s="708"/>
      <c r="S24" s="709"/>
      <c r="T24" s="1098"/>
      <c r="U24" s="718"/>
      <c r="V24" s="718"/>
      <c r="W24" s="718"/>
      <c r="X24" s="718"/>
      <c r="Y24" s="719"/>
    </row>
    <row r="25" spans="1:28" ht="15" customHeight="1">
      <c r="A25" s="667" t="s">
        <v>152</v>
      </c>
      <c r="B25" s="668">
        <v>18</v>
      </c>
      <c r="C25" s="669">
        <f>SUM(Rekenvolumes[[#This Row],[Afnameklanten (∑)]],Rekenvolumes[[#This Row],[Injectieklanten (∑)]])</f>
        <v>0</v>
      </c>
      <c r="D25" s="670">
        <f>SUM(Rekenvolumes[[#This Row],[Afnameklanten op TRHS (∑)]],Rekenvolumes[[#This Row],[Afnameklanten op MS (∑)]],Rekenvolumes[[#This Row],[Afnameklanten op TRLS (∑)]],Rekenvolumes[[#This Row],[Afnameklanten op LS (∑)]])</f>
        <v>0</v>
      </c>
      <c r="E25" s="671"/>
      <c r="F25" s="710"/>
      <c r="G25" s="711"/>
      <c r="H25" s="671"/>
      <c r="I25" s="710"/>
      <c r="J25" s="710"/>
      <c r="K25" s="711"/>
      <c r="L25" s="671"/>
      <c r="M25" s="710"/>
      <c r="N25" s="672">
        <f>SUM(Rekenvolumes[[#This Row],[Afnameklanten op LS met piekmeting]:[Prosumenten met terugdraaiende teller op LS]])</f>
        <v>0</v>
      </c>
      <c r="O25" s="710"/>
      <c r="P25" s="710"/>
      <c r="Q25" s="710"/>
      <c r="R25" s="710"/>
      <c r="S25" s="1094"/>
      <c r="T25" s="1099"/>
      <c r="U25" s="722"/>
      <c r="V25" s="722"/>
      <c r="W25" s="722"/>
      <c r="X25" s="722"/>
      <c r="Y25" s="723"/>
    </row>
    <row r="26" spans="1:28" ht="15" customHeight="1" thickBot="1">
      <c r="C26" s="673"/>
      <c r="D26" s="673"/>
      <c r="E26" s="673"/>
      <c r="F26" s="673"/>
      <c r="G26" s="673"/>
      <c r="H26" s="673"/>
      <c r="I26" s="673"/>
      <c r="J26" s="673"/>
      <c r="K26" s="673"/>
      <c r="L26" s="673"/>
      <c r="M26" s="673"/>
      <c r="N26" s="673"/>
      <c r="O26" s="673"/>
      <c r="P26" s="673"/>
      <c r="Q26" s="673"/>
      <c r="R26" s="673"/>
      <c r="S26" s="673"/>
      <c r="T26" s="673"/>
      <c r="U26" s="673"/>
      <c r="V26" s="673"/>
      <c r="W26" s="673"/>
      <c r="X26" s="673"/>
      <c r="Y26" s="673"/>
      <c r="Z26" s="673"/>
    </row>
    <row r="27" spans="1:28" ht="18" customHeight="1">
      <c r="A27" s="674" t="s">
        <v>529</v>
      </c>
      <c r="B27" s="675"/>
      <c r="C27" s="676">
        <f>SUM($D27,$T27)</f>
        <v>0</v>
      </c>
      <c r="D27" s="676">
        <f>SUM($E27,$H27,$L27,$N27)</f>
        <v>0</v>
      </c>
      <c r="E27" s="1100">
        <f>SUM($F27:$G27)</f>
        <v>0</v>
      </c>
      <c r="F27" s="677">
        <f>(1+FACTOR_MP_TV)*F$15+FACTOR_OST*F$17</f>
        <v>0</v>
      </c>
      <c r="G27" s="678">
        <f>(1+FACTOR_MP_TV)*G$15+FACTOR_OST*G$17</f>
        <v>0</v>
      </c>
      <c r="H27" s="1100">
        <f>SUM($I27:$K27)</f>
        <v>0</v>
      </c>
      <c r="I27" s="677">
        <f>(1+FACTOR_MP_TV)*I$15+FACTOR_OST*I$17</f>
        <v>0</v>
      </c>
      <c r="J27" s="677">
        <f>(1+FACTOR_MP_TV)*J$15+FACTOR_OST*J$17</f>
        <v>0</v>
      </c>
      <c r="K27" s="678">
        <f>(1+FACTOR_MP_TV)*K$15+FACTOR_OST*K$17</f>
        <v>0</v>
      </c>
      <c r="L27" s="1100">
        <f>SUM($M27:$M27)</f>
        <v>0</v>
      </c>
      <c r="M27" s="678">
        <f>(1+FACTOR_MP_TV)*M$15+FACTOR_OST*M$17</f>
        <v>0</v>
      </c>
      <c r="N27" s="1103"/>
      <c r="O27" s="679"/>
      <c r="P27" s="680"/>
      <c r="Q27" s="680"/>
      <c r="R27" s="680"/>
      <c r="S27" s="681"/>
      <c r="T27" s="682"/>
      <c r="U27" s="682"/>
      <c r="V27" s="682"/>
      <c r="W27" s="682"/>
      <c r="X27" s="682"/>
      <c r="Y27" s="683"/>
      <c r="AB27" s="1721" t="s">
        <v>189</v>
      </c>
    </row>
    <row r="28" spans="1:28" ht="18" customHeight="1">
      <c r="A28" s="684" t="s">
        <v>498</v>
      </c>
      <c r="B28" s="685"/>
      <c r="C28" s="686">
        <f>SUM($D28,$T28)</f>
        <v>0</v>
      </c>
      <c r="D28" s="686">
        <f>SUM($E28,$H28,$L28,$N28)</f>
        <v>0</v>
      </c>
      <c r="E28" s="1101">
        <f>SUM($F28:$G28)</f>
        <v>0</v>
      </c>
      <c r="F28" s="687">
        <f>SUM(F$19:F$21)</f>
        <v>0</v>
      </c>
      <c r="G28" s="688">
        <f>SUM(G$19:G$21)</f>
        <v>0</v>
      </c>
      <c r="H28" s="1101">
        <f>SUM($I28:$K28)</f>
        <v>0</v>
      </c>
      <c r="I28" s="687">
        <f>SUM(I$19:I$21)</f>
        <v>0</v>
      </c>
      <c r="J28" s="687">
        <f>SUM(J$19:J$21)</f>
        <v>0</v>
      </c>
      <c r="K28" s="688">
        <f>SUM(K$19:K$21)</f>
        <v>0</v>
      </c>
      <c r="L28" s="1101">
        <f>SUM($M28:$M28)</f>
        <v>0</v>
      </c>
      <c r="M28" s="688">
        <f>SUM(M$19:M$21)</f>
        <v>0</v>
      </c>
      <c r="N28" s="1101">
        <f>SUM($O28:$S28)</f>
        <v>0</v>
      </c>
      <c r="O28" s="689">
        <f t="shared" ref="O28:Q28" si="0">SUM(O$19:O$21)</f>
        <v>0</v>
      </c>
      <c r="P28" s="687">
        <f t="shared" si="0"/>
        <v>0</v>
      </c>
      <c r="Q28" s="687">
        <f t="shared" si="0"/>
        <v>0</v>
      </c>
      <c r="R28" s="687">
        <f>SUM(R$19:R$21)</f>
        <v>0</v>
      </c>
      <c r="S28" s="688">
        <f>SUM(S$19:S$21)</f>
        <v>0</v>
      </c>
      <c r="T28" s="690"/>
      <c r="U28" s="690"/>
      <c r="V28" s="690"/>
      <c r="W28" s="690"/>
      <c r="X28" s="690"/>
      <c r="Y28" s="691"/>
      <c r="AB28" s="1721"/>
    </row>
    <row r="29" spans="1:28" thickBot="1">
      <c r="A29" s="692" t="s">
        <v>188</v>
      </c>
      <c r="B29" s="693"/>
      <c r="C29" s="694">
        <f>SUM($D29,$T29)</f>
        <v>0</v>
      </c>
      <c r="D29" s="694">
        <f>SUM($E29,$H29,$L29,$N29)</f>
        <v>0</v>
      </c>
      <c r="E29" s="1102">
        <f>SUM($F29:$G29)</f>
        <v>0</v>
      </c>
      <c r="F29" s="695">
        <f>0.75*F$8+0.25*SUM(F$19:F$21)</f>
        <v>0</v>
      </c>
      <c r="G29" s="696">
        <f>0.75*G$8+0.25*SUM(G$19:G$21)</f>
        <v>0</v>
      </c>
      <c r="H29" s="1102">
        <f>SUM($I29:$K29)</f>
        <v>0</v>
      </c>
      <c r="I29" s="695">
        <f>0.75*I$8+0.25*SUM(I$19:I$21)</f>
        <v>0</v>
      </c>
      <c r="J29" s="695">
        <f>0.75*J$8+0.25*SUM(J$19:J$21)</f>
        <v>0</v>
      </c>
      <c r="K29" s="696">
        <f>0.75*K$8+0.25*SUM(K$19:K$21)</f>
        <v>0</v>
      </c>
      <c r="L29" s="1102">
        <f>SUM($M29:$M29)</f>
        <v>0</v>
      </c>
      <c r="M29" s="696">
        <f>0.75*M$8+0.25*SUM(M$19:M$21)</f>
        <v>0</v>
      </c>
      <c r="N29" s="1102">
        <f>SUM($O29:$S29)</f>
        <v>0</v>
      </c>
      <c r="O29" s="697">
        <f>0.75*O$8+0.25*SUM(O$19:O$21)</f>
        <v>0</v>
      </c>
      <c r="P29" s="695">
        <f t="shared" ref="P29:R29" si="1">0.75*P$8+0.25*SUM(P$19:P$21)</f>
        <v>0</v>
      </c>
      <c r="Q29" s="695">
        <f t="shared" si="1"/>
        <v>0</v>
      </c>
      <c r="R29" s="695">
        <f t="shared" si="1"/>
        <v>0</v>
      </c>
      <c r="S29" s="696">
        <f>0.75*S$8+0.25*SUM(S$19:S$21)</f>
        <v>0</v>
      </c>
      <c r="T29" s="698"/>
      <c r="U29" s="698"/>
      <c r="V29" s="698"/>
      <c r="W29" s="698"/>
      <c r="X29" s="698"/>
      <c r="Y29" s="699"/>
      <c r="AB29" s="1721"/>
    </row>
  </sheetData>
  <sheetProtection algorithmName="SHA-512" hashValue="OyX1o/3n9GkKCCh7lwUMHiXhIuVvBXvfb9BfRNSe44aQbc5nvKZbTD1kLSiIO9ifuo9ufmHLNKQeQH+o4XpTxQ==" saltValue="vPGv2di/t4ex0GsQ/iI8WA==" spinCount="100000" sheet="1" objects="1" scenarios="1" sort="0" autoFilter="0"/>
  <mergeCells count="3">
    <mergeCell ref="A1:Z1"/>
    <mergeCell ref="AB27:AB29"/>
    <mergeCell ref="D4:H4"/>
  </mergeCells>
  <pageMargins left="0.7" right="0.7" top="0.75" bottom="0.75" header="0.3" footer="0.3"/>
  <pageSetup paperSize="9" orientation="portrait" r:id="rId1"/>
  <ignoredErrors>
    <ignoredError sqref="C21:C25 C10 C12:C19" calculatedColumn="1"/>
  </ignoredErrors>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ublished="0" codeName="Blad19"/>
  <dimension ref="A1:L40"/>
  <sheetViews>
    <sheetView zoomScaleNormal="100" workbookViewId="0">
      <selection activeCell="E4" sqref="E4:F4"/>
    </sheetView>
  </sheetViews>
  <sheetFormatPr defaultColWidth="20.7265625" defaultRowHeight="14.5"/>
  <cols>
    <col min="1" max="1" width="50.7265625" style="1" customWidth="1"/>
    <col min="2" max="16384" width="20.7265625" style="1"/>
  </cols>
  <sheetData>
    <row r="1" spans="1:10" ht="30" customHeight="1" thickBot="1">
      <c r="A1" s="1725" t="s">
        <v>199</v>
      </c>
      <c r="B1" s="1726"/>
      <c r="C1" s="1726"/>
      <c r="D1" s="1714"/>
      <c r="E1" s="1726"/>
      <c r="F1" s="1726"/>
      <c r="G1" s="1726"/>
      <c r="H1" s="1726"/>
      <c r="I1" s="1726"/>
      <c r="J1" s="1727"/>
    </row>
    <row r="3" spans="1:10" ht="15" thickBot="1"/>
    <row r="4" spans="1:10" ht="15" thickBot="1">
      <c r="B4" s="129" t="s">
        <v>6</v>
      </c>
      <c r="E4" s="1706" t="str">
        <f>DNB</f>
        <v>Naam distributienetbeheerder</v>
      </c>
      <c r="F4" s="1708"/>
    </row>
    <row r="6" spans="1:10" ht="15" thickBot="1"/>
    <row r="7" spans="1:10" s="60" customFormat="1" ht="45" customHeight="1">
      <c r="A7" s="1738" t="s">
        <v>102</v>
      </c>
      <c r="B7" s="1742" t="s">
        <v>132</v>
      </c>
      <c r="C7" s="1743"/>
      <c r="D7" s="1746" t="s">
        <v>137</v>
      </c>
      <c r="E7" s="1747"/>
      <c r="F7" s="1742" t="s">
        <v>311</v>
      </c>
      <c r="G7" s="1743"/>
      <c r="H7" s="1744"/>
      <c r="I7" s="1745"/>
      <c r="J7" s="1740" t="s">
        <v>308</v>
      </c>
    </row>
    <row r="8" spans="1:10" ht="15" thickBot="1">
      <c r="A8" s="1739"/>
      <c r="B8" s="170" t="s">
        <v>23</v>
      </c>
      <c r="C8" s="171" t="s">
        <v>129</v>
      </c>
      <c r="D8" s="170" t="s">
        <v>309</v>
      </c>
      <c r="E8" s="171" t="s">
        <v>134</v>
      </c>
      <c r="F8" s="170" t="s">
        <v>136</v>
      </c>
      <c r="G8" s="171" t="s">
        <v>310</v>
      </c>
      <c r="H8" s="170" t="s">
        <v>130</v>
      </c>
      <c r="I8" s="171" t="s">
        <v>138</v>
      </c>
      <c r="J8" s="1741"/>
    </row>
    <row r="9" spans="1:10">
      <c r="A9" s="152" t="s">
        <v>97</v>
      </c>
      <c r="B9" s="1748" t="e">
        <f>Tabel3A[[#Totals],[Afnameklanten  op TRHS (∑)]]</f>
        <v>#VALUE!</v>
      </c>
      <c r="C9" s="1750" t="e">
        <f>INDEX(Tabel3A[Afnameklanten  op TRHS (∑)],1)</f>
        <v>#VALUE!</v>
      </c>
      <c r="D9" s="1755" t="e">
        <f>'Max Afname TRHS'!$Y$41/SUM('Max Afname TRHS'!$N$41:$O$41)</f>
        <v>#VALUE!</v>
      </c>
      <c r="E9" s="1750" t="e">
        <f>$D9*$C9</f>
        <v>#VALUE!</v>
      </c>
      <c r="F9" s="1772">
        <f>PROCENT_VERHOGING_NA_MAX-1</f>
        <v>0</v>
      </c>
      <c r="G9" s="1750" t="e">
        <f>$F9*$C9</f>
        <v>#VALUE!</v>
      </c>
      <c r="H9" s="1748" t="e">
        <f>SUM($C9,-$E9,$G9)</f>
        <v>#VALUE!</v>
      </c>
      <c r="I9" s="1773" t="e">
        <f>$H9/$C9</f>
        <v>#VALUE!</v>
      </c>
      <c r="J9" s="1775" t="s">
        <v>317</v>
      </c>
    </row>
    <row r="10" spans="1:10">
      <c r="A10" s="173" t="s">
        <v>127</v>
      </c>
      <c r="B10" s="1749"/>
      <c r="C10" s="1733"/>
      <c r="D10" s="1756"/>
      <c r="E10" s="1733"/>
      <c r="F10" s="1730"/>
      <c r="G10" s="1733"/>
      <c r="H10" s="1749"/>
      <c r="I10" s="1736"/>
      <c r="J10" s="1778"/>
    </row>
    <row r="11" spans="1:10">
      <c r="A11" s="153" t="s">
        <v>128</v>
      </c>
      <c r="B11" s="1751" t="e">
        <f>Tabel3A[[#Totals],[Afnameklanten op MS (∑)]]</f>
        <v>#VALUE!</v>
      </c>
      <c r="C11" s="1731" t="e">
        <f>INDEX(Tabel3A[Afnameklanten op MS (∑)],1)</f>
        <v>#VALUE!</v>
      </c>
      <c r="D11" s="1757" t="e">
        <f>'Max Afname MS'!$Y$42/('Max Afname MS'!$N$42+'Max Afname MS'!$O$42)</f>
        <v>#VALUE!</v>
      </c>
      <c r="E11" s="1731" t="e">
        <f>$D11*$C11</f>
        <v>#VALUE!</v>
      </c>
      <c r="F11" s="1728">
        <f>PROCENT_VERHOGING_NA_MAX-1</f>
        <v>0</v>
      </c>
      <c r="G11" s="1731" t="e">
        <f>$F11*$C11</f>
        <v>#VALUE!</v>
      </c>
      <c r="H11" s="1751" t="e">
        <f>SUM($C11,-$E11,$G11)</f>
        <v>#VALUE!</v>
      </c>
      <c r="I11" s="1734" t="e">
        <f>$H11/$C11</f>
        <v>#VALUE!</v>
      </c>
      <c r="J11" s="1779" t="s">
        <v>318</v>
      </c>
    </row>
    <row r="12" spans="1:10">
      <c r="A12" s="153" t="s">
        <v>260</v>
      </c>
      <c r="B12" s="1752"/>
      <c r="C12" s="1732"/>
      <c r="D12" s="1758"/>
      <c r="E12" s="1732"/>
      <c r="F12" s="1729"/>
      <c r="G12" s="1732"/>
      <c r="H12" s="1752"/>
      <c r="I12" s="1735"/>
      <c r="J12" s="1776"/>
    </row>
    <row r="13" spans="1:10">
      <c r="A13" s="153" t="s">
        <v>261</v>
      </c>
      <c r="B13" s="1749"/>
      <c r="C13" s="1733"/>
      <c r="D13" s="1756"/>
      <c r="E13" s="1733"/>
      <c r="F13" s="1730"/>
      <c r="G13" s="1733"/>
      <c r="H13" s="1749"/>
      <c r="I13" s="1736"/>
      <c r="J13" s="1778"/>
    </row>
    <row r="14" spans="1:10">
      <c r="A14" s="153" t="s">
        <v>98</v>
      </c>
      <c r="B14" s="93" t="e">
        <f>Tabel3A[[#Totals],[Afnameklanten op TRLS (∑)]]</f>
        <v>#VALUE!</v>
      </c>
      <c r="C14" s="94" t="e">
        <f>INDEX(Tabel3A[Afnameklanten op TRLS (∑)],1)</f>
        <v>#VALUE!</v>
      </c>
      <c r="D14" s="360" t="e">
        <f>'Max Afname TRLS'!$Y$40/('Max Afname TRLS'!$N$40+'Max Afname TRLS'!$O$40)</f>
        <v>#VALUE!</v>
      </c>
      <c r="E14" s="94" t="e">
        <f>$D14*$C14</f>
        <v>#VALUE!</v>
      </c>
      <c r="F14" s="357">
        <f>PROCENT_VERHOGING_NA_MAX-1</f>
        <v>0</v>
      </c>
      <c r="G14" s="94" t="e">
        <f>$F14*$C14</f>
        <v>#VALUE!</v>
      </c>
      <c r="H14" s="93" t="e">
        <f>SUM($C14,-$E14,$G14)</f>
        <v>#VALUE!</v>
      </c>
      <c r="I14" s="559" t="e">
        <f>$H14/$C14</f>
        <v>#VALUE!</v>
      </c>
      <c r="J14" s="364" t="s">
        <v>319</v>
      </c>
    </row>
    <row r="15" spans="1:10">
      <c r="A15" s="153" t="s">
        <v>114</v>
      </c>
      <c r="B15" s="1751" t="e">
        <f>Tabel3A[[#Totals],[Afnameklanten op LS met piekmeting (∑)]]</f>
        <v>#DIV/0!</v>
      </c>
      <c r="C15" s="1731" t="e">
        <f>INDEX(Tabel3A[Afnameklanten op LS met piekmeting (∑)],1)</f>
        <v>#DIV/0!</v>
      </c>
      <c r="D15" s="1757" t="e">
        <f>'Max Afname LS'!$S$40/('Max Afname LS'!$K$40+'Max Afname LS'!$L$40)</f>
        <v>#DIV/0!</v>
      </c>
      <c r="E15" s="1731" t="e">
        <f>$D15*$C15</f>
        <v>#DIV/0!</v>
      </c>
      <c r="F15" s="1728">
        <f>PROCENT_VERHOGING_NA_MAX-1</f>
        <v>0</v>
      </c>
      <c r="G15" s="1731" t="e">
        <f>$F15*$C15</f>
        <v>#DIV/0!</v>
      </c>
      <c r="H15" s="1751" t="e">
        <f>SUM($C15,-$E15,$G15)</f>
        <v>#DIV/0!</v>
      </c>
      <c r="I15" s="1734" t="e">
        <f>$H15/$C15</f>
        <v>#DIV/0!</v>
      </c>
      <c r="J15" s="1779" t="s">
        <v>320</v>
      </c>
    </row>
    <row r="16" spans="1:10">
      <c r="A16" s="154" t="s">
        <v>494</v>
      </c>
      <c r="B16" s="1749"/>
      <c r="C16" s="1733"/>
      <c r="D16" s="1756"/>
      <c r="E16" s="1733">
        <f t="shared" ref="E16" si="0">$D16*$C16</f>
        <v>0</v>
      </c>
      <c r="F16" s="1730"/>
      <c r="G16" s="1733"/>
      <c r="H16" s="1749"/>
      <c r="I16" s="1736"/>
      <c r="J16" s="1778"/>
    </row>
    <row r="17" spans="1:12">
      <c r="A17" s="153" t="s">
        <v>115</v>
      </c>
      <c r="B17" s="1751" t="e">
        <f>Tabel3A[[#Totals],[Afnameklanten met klassieke/terugdraaiende meter (∑)]]</f>
        <v>#DIV/0!</v>
      </c>
      <c r="C17" s="1731" t="e">
        <f>INDEX(Tabel3A[Afnameklanten met klassieke/terugdraaiende meter (∑)],1)</f>
        <v>#DIV/0!</v>
      </c>
      <c r="D17" s="1759"/>
      <c r="E17" s="1762"/>
      <c r="F17" s="1728">
        <f>PROCENT_VERHOGING_NA_MAX-1</f>
        <v>0</v>
      </c>
      <c r="G17" s="1731" t="e">
        <f>$F17*$C17</f>
        <v>#DIV/0!</v>
      </c>
      <c r="H17" s="1751" t="e">
        <f>SUM($C17,-$E17,$G17)</f>
        <v>#DIV/0!</v>
      </c>
      <c r="I17" s="1734" t="e">
        <f>$H17/$C17</f>
        <v>#DIV/0!</v>
      </c>
      <c r="J17" s="365"/>
    </row>
    <row r="18" spans="1:12">
      <c r="A18" s="153" t="s">
        <v>495</v>
      </c>
      <c r="B18" s="1752"/>
      <c r="C18" s="1732"/>
      <c r="D18" s="1760"/>
      <c r="E18" s="1763"/>
      <c r="F18" s="1729"/>
      <c r="G18" s="1732"/>
      <c r="H18" s="1752"/>
      <c r="I18" s="1735"/>
      <c r="J18" s="365"/>
    </row>
    <row r="19" spans="1:12" ht="15" thickBot="1">
      <c r="A19" s="153" t="s">
        <v>116</v>
      </c>
      <c r="B19" s="1749"/>
      <c r="C19" s="1733"/>
      <c r="D19" s="1761"/>
      <c r="E19" s="1764"/>
      <c r="F19" s="1730"/>
      <c r="G19" s="1733"/>
      <c r="H19" s="1749"/>
      <c r="I19" s="1736"/>
      <c r="J19" s="365"/>
    </row>
    <row r="20" spans="1:12" ht="15" thickBot="1">
      <c r="A20" s="169" t="s">
        <v>201</v>
      </c>
      <c r="B20" s="100" t="e">
        <f>SUM(B$9:B$19)</f>
        <v>#VALUE!</v>
      </c>
      <c r="C20" s="102" t="e">
        <f>SUM(C$9:C$19)</f>
        <v>#VALUE!</v>
      </c>
      <c r="D20" s="361"/>
      <c r="E20" s="102" t="e">
        <f>SUM(E$9:E$19)</f>
        <v>#VALUE!</v>
      </c>
      <c r="F20" s="358">
        <f>PROCENT_VERHOGING_NA_MAX-1</f>
        <v>0</v>
      </c>
      <c r="G20" s="102" t="e">
        <f>SUM(G$9:G$19)</f>
        <v>#VALUE!</v>
      </c>
      <c r="H20" s="100" t="e">
        <f>SUM(H$9:H$19)</f>
        <v>#VALUE!</v>
      </c>
      <c r="I20" s="560" t="e">
        <f>$H20/$C20</f>
        <v>#VALUE!</v>
      </c>
      <c r="J20" s="366"/>
      <c r="K20" s="136"/>
      <c r="L20" s="136"/>
    </row>
    <row r="21" spans="1:12">
      <c r="A21" s="177" t="s">
        <v>203</v>
      </c>
      <c r="B21" s="1748" t="e">
        <f>Tabel3A[[#Totals],[Injectieklanten (∑)]]</f>
        <v>#VALUE!</v>
      </c>
      <c r="C21" s="1750" t="e">
        <f>INDEX(Tabel3A[Injectieklanten (∑)],1)</f>
        <v>#VALUE!</v>
      </c>
      <c r="D21" s="1755" t="e">
        <f>'Max Injectie'!$J$38/'Max Injectie'!$F$38</f>
        <v>#VALUE!</v>
      </c>
      <c r="E21" s="1750" t="e">
        <f>$D21*$C21</f>
        <v>#VALUE!</v>
      </c>
      <c r="F21" s="1766"/>
      <c r="G21" s="1769"/>
      <c r="H21" s="1748" t="e">
        <f>SUM($C21,-$E21)</f>
        <v>#VALUE!</v>
      </c>
      <c r="I21" s="1773" t="e">
        <f>$H21/$C21</f>
        <v>#VALUE!</v>
      </c>
      <c r="J21" s="1775" t="s">
        <v>140</v>
      </c>
      <c r="K21" s="136"/>
      <c r="L21" s="136"/>
    </row>
    <row r="22" spans="1:12">
      <c r="A22" s="177" t="s">
        <v>258</v>
      </c>
      <c r="B22" s="1752"/>
      <c r="C22" s="1732"/>
      <c r="D22" s="1758"/>
      <c r="E22" s="1732"/>
      <c r="F22" s="1767"/>
      <c r="G22" s="1770"/>
      <c r="H22" s="1752"/>
      <c r="I22" s="1735"/>
      <c r="J22" s="1776"/>
      <c r="K22" s="136"/>
      <c r="L22" s="136"/>
    </row>
    <row r="23" spans="1:12">
      <c r="A23" s="153" t="s">
        <v>262</v>
      </c>
      <c r="B23" s="1752"/>
      <c r="C23" s="1732"/>
      <c r="D23" s="1758"/>
      <c r="E23" s="1732"/>
      <c r="F23" s="1767"/>
      <c r="G23" s="1770"/>
      <c r="H23" s="1752"/>
      <c r="I23" s="1735"/>
      <c r="J23" s="1776"/>
      <c r="K23" s="136"/>
      <c r="L23" s="136"/>
    </row>
    <row r="24" spans="1:12">
      <c r="A24" s="153" t="s">
        <v>99</v>
      </c>
      <c r="B24" s="1752"/>
      <c r="C24" s="1732"/>
      <c r="D24" s="1758"/>
      <c r="E24" s="1732"/>
      <c r="F24" s="1767"/>
      <c r="G24" s="1770"/>
      <c r="H24" s="1752"/>
      <c r="I24" s="1735"/>
      <c r="J24" s="1776"/>
      <c r="K24" s="136"/>
      <c r="L24" s="136"/>
    </row>
    <row r="25" spans="1:12" ht="15" thickBot="1">
      <c r="A25" s="154" t="s">
        <v>100</v>
      </c>
      <c r="B25" s="1753"/>
      <c r="C25" s="1754"/>
      <c r="D25" s="1765"/>
      <c r="E25" s="1754"/>
      <c r="F25" s="1768"/>
      <c r="G25" s="1771"/>
      <c r="H25" s="1753"/>
      <c r="I25" s="1774"/>
      <c r="J25" s="1777"/>
      <c r="K25" s="136"/>
      <c r="L25" s="136"/>
    </row>
    <row r="26" spans="1:12" ht="15" thickBot="1">
      <c r="A26" s="169" t="s">
        <v>200</v>
      </c>
      <c r="B26" s="100" t="e">
        <f>SUM(B$21:B$25)</f>
        <v>#VALUE!</v>
      </c>
      <c r="C26" s="102" t="e">
        <f>SUM(C$21:C$25)</f>
        <v>#VALUE!</v>
      </c>
      <c r="D26" s="361"/>
      <c r="E26" s="102" t="e">
        <f>SUM(E$21:E$25)</f>
        <v>#VALUE!</v>
      </c>
      <c r="F26" s="359"/>
      <c r="G26" s="363"/>
      <c r="H26" s="100" t="e">
        <f>SUM(H$21:H$25)</f>
        <v>#VALUE!</v>
      </c>
      <c r="I26" s="560" t="e">
        <f>$H26/$C26</f>
        <v>#VALUE!</v>
      </c>
      <c r="J26" s="366"/>
      <c r="K26" s="136"/>
      <c r="L26" s="136"/>
    </row>
    <row r="27" spans="1:12" ht="15" thickBot="1">
      <c r="A27" s="178" t="s">
        <v>202</v>
      </c>
      <c r="B27" s="1211" t="e">
        <f>SUM(B$20,B$26)</f>
        <v>#VALUE!</v>
      </c>
      <c r="C27" s="1212" t="e">
        <f>SUM(C$20,C$26)</f>
        <v>#VALUE!</v>
      </c>
      <c r="D27" s="569"/>
      <c r="E27" s="1212" t="e">
        <f>SUM(E$20,E$26)</f>
        <v>#VALUE!</v>
      </c>
      <c r="F27" s="362"/>
      <c r="G27" s="1212" t="e">
        <f>SUM(G$20,G$26)</f>
        <v>#VALUE!</v>
      </c>
      <c r="H27" s="1211" t="e">
        <f>SUM(H$20,H$26)</f>
        <v>#VALUE!</v>
      </c>
      <c r="I27" s="561" t="e">
        <f>$H27/$C27</f>
        <v>#VALUE!</v>
      </c>
      <c r="J27" s="367"/>
      <c r="K27" s="136"/>
      <c r="L27" s="136"/>
    </row>
    <row r="28" spans="1:12">
      <c r="K28" s="136"/>
      <c r="L28" s="136"/>
    </row>
    <row r="29" spans="1:12">
      <c r="B29" s="255"/>
      <c r="K29" s="136"/>
      <c r="L29" s="136"/>
    </row>
    <row r="30" spans="1:12" ht="20.25" customHeight="1">
      <c r="K30" s="136"/>
      <c r="L30" s="136"/>
    </row>
    <row r="31" spans="1:12">
      <c r="E31" s="158"/>
      <c r="F31" s="133"/>
      <c r="G31" s="133"/>
      <c r="H31" s="159"/>
      <c r="K31" s="136"/>
      <c r="L31" s="136"/>
    </row>
    <row r="32" spans="1:12" ht="19" thickBot="1">
      <c r="E32" s="160"/>
      <c r="F32" s="1737" t="s">
        <v>139</v>
      </c>
      <c r="G32" s="1737"/>
      <c r="H32" s="162"/>
      <c r="K32" s="136"/>
      <c r="L32" s="136"/>
    </row>
    <row r="33" spans="5:12" ht="15" thickBot="1">
      <c r="E33" s="160"/>
      <c r="F33" s="161"/>
      <c r="G33" s="161"/>
      <c r="H33" s="162"/>
      <c r="K33" s="136"/>
      <c r="L33" s="136"/>
    </row>
    <row r="34" spans="5:12" ht="15" thickBot="1">
      <c r="E34" s="160"/>
      <c r="F34" s="161" t="s">
        <v>206</v>
      </c>
      <c r="G34" s="727">
        <v>1</v>
      </c>
      <c r="H34" s="162"/>
      <c r="K34" s="136"/>
      <c r="L34" s="136"/>
    </row>
    <row r="35" spans="5:12" ht="15" thickBot="1">
      <c r="E35" s="160"/>
      <c r="F35" s="161"/>
      <c r="G35" s="161"/>
      <c r="H35" s="162"/>
      <c r="K35" s="136"/>
      <c r="L35" s="136"/>
    </row>
    <row r="36" spans="5:12" ht="15" thickBot="1">
      <c r="E36" s="160"/>
      <c r="F36" s="161" t="s">
        <v>204</v>
      </c>
      <c r="G36" s="726" t="e">
        <f>$I$27</f>
        <v>#VALUE!</v>
      </c>
      <c r="H36" s="162" t="s">
        <v>205</v>
      </c>
      <c r="K36" s="136"/>
      <c r="L36" s="136"/>
    </row>
    <row r="37" spans="5:12">
      <c r="E37" s="165"/>
      <c r="F37" s="166"/>
      <c r="G37" s="166"/>
      <c r="H37" s="167"/>
      <c r="L37" s="136"/>
    </row>
    <row r="38" spans="5:12">
      <c r="L38" s="136"/>
    </row>
    <row r="39" spans="5:12">
      <c r="L39" s="136"/>
    </row>
    <row r="40" spans="5:12">
      <c r="L40" s="136"/>
    </row>
  </sheetData>
  <sheetProtection algorithmName="SHA-512" hashValue="TcR4c03PdXJK943RahCn1NgrTPl3NZBno5qke8vYQVppzceIyUZxkX3dl0VAjAJjblsNfgPM0mLp+0cT0TooYw==" saltValue="HZcBGFZaq77Yw5ei1AAWPw==" spinCount="100000" sheet="1" objects="1" scenarios="1"/>
  <mergeCells count="53">
    <mergeCell ref="I21:I25"/>
    <mergeCell ref="J21:J25"/>
    <mergeCell ref="J9:J10"/>
    <mergeCell ref="J11:J13"/>
    <mergeCell ref="J15:J16"/>
    <mergeCell ref="I9:I10"/>
    <mergeCell ref="I11:I13"/>
    <mergeCell ref="I15:I16"/>
    <mergeCell ref="F21:F25"/>
    <mergeCell ref="G21:G25"/>
    <mergeCell ref="H9:H10"/>
    <mergeCell ref="H17:H19"/>
    <mergeCell ref="F9:F10"/>
    <mergeCell ref="G9:G10"/>
    <mergeCell ref="F11:F13"/>
    <mergeCell ref="G11:G13"/>
    <mergeCell ref="F15:F16"/>
    <mergeCell ref="G15:G16"/>
    <mergeCell ref="H21:H25"/>
    <mergeCell ref="H11:H13"/>
    <mergeCell ref="H15:H16"/>
    <mergeCell ref="C21:C25"/>
    <mergeCell ref="D9:D10"/>
    <mergeCell ref="E9:E10"/>
    <mergeCell ref="D11:D13"/>
    <mergeCell ref="E11:E13"/>
    <mergeCell ref="D15:D16"/>
    <mergeCell ref="E15:E16"/>
    <mergeCell ref="D17:D19"/>
    <mergeCell ref="E17:E19"/>
    <mergeCell ref="D21:D25"/>
    <mergeCell ref="E21:E25"/>
    <mergeCell ref="F32:G32"/>
    <mergeCell ref="A7:A8"/>
    <mergeCell ref="J7:J8"/>
    <mergeCell ref="B7:C7"/>
    <mergeCell ref="F7:G7"/>
    <mergeCell ref="H7:I7"/>
    <mergeCell ref="D7:E7"/>
    <mergeCell ref="B9:B10"/>
    <mergeCell ref="C9:C10"/>
    <mergeCell ref="B11:B13"/>
    <mergeCell ref="C11:C13"/>
    <mergeCell ref="B15:B16"/>
    <mergeCell ref="C15:C16"/>
    <mergeCell ref="B17:B19"/>
    <mergeCell ref="C17:C19"/>
    <mergeCell ref="B21:B25"/>
    <mergeCell ref="A1:J1"/>
    <mergeCell ref="E4:F4"/>
    <mergeCell ref="F17:F19"/>
    <mergeCell ref="G17:G19"/>
    <mergeCell ref="I17:I19"/>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ublished="0" codeName="Blad20"/>
  <dimension ref="A1:Y41"/>
  <sheetViews>
    <sheetView workbookViewId="0">
      <selection activeCell="D4" sqref="D4:E4"/>
    </sheetView>
  </sheetViews>
  <sheetFormatPr defaultColWidth="20.7265625" defaultRowHeight="14.5"/>
  <cols>
    <col min="1" max="1" width="20.7265625" style="563"/>
    <col min="2" max="2" width="25.81640625" style="563" customWidth="1"/>
    <col min="3" max="22" width="20.7265625" style="563"/>
    <col min="23" max="23" width="5.7265625" style="563" customWidth="1"/>
    <col min="24" max="16384" width="20.7265625" style="563"/>
  </cols>
  <sheetData>
    <row r="1" spans="1:22" ht="30" customHeight="1" thickBot="1">
      <c r="A1" s="1713" t="s">
        <v>328</v>
      </c>
      <c r="B1" s="1714"/>
      <c r="C1" s="1714"/>
      <c r="D1" s="1714"/>
      <c r="E1" s="1714"/>
      <c r="F1" s="1714"/>
      <c r="G1" s="1714"/>
      <c r="H1" s="1714"/>
      <c r="I1" s="1714"/>
      <c r="J1" s="1714"/>
      <c r="K1" s="1714"/>
      <c r="L1" s="1714"/>
      <c r="M1" s="1714"/>
      <c r="N1" s="1714"/>
      <c r="O1" s="1714"/>
      <c r="P1" s="1714"/>
      <c r="Q1" s="1714"/>
      <c r="R1" s="1714"/>
      <c r="S1" s="1714"/>
      <c r="T1" s="1714"/>
      <c r="U1" s="1714"/>
      <c r="V1" s="1780"/>
    </row>
    <row r="2" spans="1:22">
      <c r="B2" s="1"/>
      <c r="C2" s="1"/>
      <c r="D2" s="1"/>
      <c r="E2" s="1"/>
      <c r="F2" s="1"/>
      <c r="G2" s="1"/>
      <c r="H2" s="1"/>
      <c r="I2" s="1"/>
      <c r="J2" s="1"/>
      <c r="K2" s="1"/>
      <c r="L2" s="1"/>
      <c r="M2" s="1"/>
      <c r="N2" s="1"/>
      <c r="O2" s="1"/>
    </row>
    <row r="3" spans="1:22" ht="15" thickBot="1">
      <c r="B3" s="1"/>
      <c r="C3" s="1"/>
      <c r="D3" s="1"/>
      <c r="E3" s="1"/>
      <c r="F3" s="1"/>
      <c r="G3" s="1"/>
      <c r="H3" s="1"/>
      <c r="I3" s="1"/>
      <c r="J3" s="1"/>
      <c r="K3" s="1"/>
      <c r="L3" s="1"/>
      <c r="M3" s="1"/>
      <c r="N3" s="1"/>
      <c r="O3" s="1"/>
    </row>
    <row r="4" spans="1:22" ht="15" thickBot="1">
      <c r="B4" s="129" t="s">
        <v>6</v>
      </c>
      <c r="C4" s="168"/>
      <c r="D4" s="1706" t="str">
        <f>DNB</f>
        <v>Naam distributienetbeheerder</v>
      </c>
      <c r="E4" s="1708"/>
      <c r="J4" s="168"/>
      <c r="K4" s="168"/>
      <c r="N4" s="1"/>
      <c r="O4" s="1"/>
    </row>
    <row r="6" spans="1:22" ht="15" thickBot="1"/>
    <row r="7" spans="1:22" ht="16.5">
      <c r="L7" s="1793" t="s">
        <v>147</v>
      </c>
      <c r="M7" s="210" t="s">
        <v>143</v>
      </c>
      <c r="N7" s="386" t="e">
        <f>INDEX(Tabel3B[Afnameklanten op TRHS (∑)],1)</f>
        <v>#VALUE!</v>
      </c>
      <c r="O7" s="387"/>
      <c r="P7" s="388" t="e">
        <f>$N$7*$P$16</f>
        <v>#VALUE!</v>
      </c>
      <c r="Q7" s="387"/>
      <c r="R7" s="387"/>
      <c r="S7" s="387"/>
      <c r="T7" s="389"/>
      <c r="U7" s="390"/>
      <c r="V7" s="391"/>
    </row>
    <row r="8" spans="1:22" ht="16.5">
      <c r="L8" s="1794"/>
      <c r="M8" s="211" t="s">
        <v>144</v>
      </c>
      <c r="N8" s="392" t="e">
        <f>INDEX(Tabel3B[Afnameklanten op TRHS (∑)],2)</f>
        <v>#VALUE!</v>
      </c>
      <c r="O8" s="393"/>
      <c r="P8" s="394" t="e">
        <f>$N$8*$P$16</f>
        <v>#VALUE!</v>
      </c>
      <c r="Q8" s="393"/>
      <c r="R8" s="393"/>
      <c r="S8" s="393"/>
      <c r="T8" s="395"/>
      <c r="U8" s="396"/>
      <c r="V8" s="397"/>
    </row>
    <row r="9" spans="1:22" ht="16.5">
      <c r="L9" s="1794"/>
      <c r="M9" s="211" t="s">
        <v>145</v>
      </c>
      <c r="N9" s="396"/>
      <c r="O9" s="394" t="e">
        <f>INDEX(Tabel3B[Afnameklanten op TRHS (∑)],3)</f>
        <v>#VALUE!</v>
      </c>
      <c r="P9" s="393"/>
      <c r="Q9" s="394" t="e">
        <f>$O$9*$P$16</f>
        <v>#VALUE!</v>
      </c>
      <c r="R9" s="393"/>
      <c r="S9" s="393"/>
      <c r="T9" s="395"/>
      <c r="U9" s="396"/>
      <c r="V9" s="397"/>
    </row>
    <row r="10" spans="1:22" ht="16.5">
      <c r="L10" s="1794"/>
      <c r="M10" s="211" t="s">
        <v>146</v>
      </c>
      <c r="N10" s="398"/>
      <c r="O10" s="399"/>
      <c r="P10" s="399"/>
      <c r="Q10" s="399"/>
      <c r="R10" s="400" t="e">
        <f>INDEX(Tabel3B[Afnameklanten op TRHS (∑)],15)</f>
        <v>#VALUE!</v>
      </c>
      <c r="S10" s="400" t="e">
        <f>INDEX(Tabel3B[Afnameklanten op TRHS (∑)],17)</f>
        <v>#VALUE!</v>
      </c>
      <c r="T10" s="401" t="e">
        <f>INDEX(Tabel3B[Afnameklanten op TRHS (∑)],18)</f>
        <v>#DIV/0!</v>
      </c>
      <c r="U10" s="396"/>
      <c r="V10" s="397"/>
    </row>
    <row r="11" spans="1:22" ht="16.5">
      <c r="L11" s="1794"/>
      <c r="M11" s="211" t="s">
        <v>212</v>
      </c>
      <c r="N11" s="398"/>
      <c r="O11" s="399"/>
      <c r="P11" s="399"/>
      <c r="Q11" s="399"/>
      <c r="R11" s="400">
        <f>INDEX(Tabel3B[Afnameklanten op TRHS (∑)],16)</f>
        <v>0</v>
      </c>
      <c r="S11" s="399"/>
      <c r="T11" s="402"/>
      <c r="U11" s="396"/>
      <c r="V11" s="397"/>
    </row>
    <row r="12" spans="1:22">
      <c r="L12" s="1794"/>
      <c r="M12" s="381" t="s">
        <v>7</v>
      </c>
      <c r="N12" s="396"/>
      <c r="O12" s="393"/>
      <c r="P12" s="393"/>
      <c r="Q12" s="393"/>
      <c r="R12" s="393"/>
      <c r="S12" s="393"/>
      <c r="T12" s="395"/>
      <c r="U12" s="93" t="e">
        <f>INDEX(Tabel3B[Afnameklanten op TRHS (∑)],9)</f>
        <v>#DIV/0!</v>
      </c>
      <c r="V12" s="397"/>
    </row>
    <row r="13" spans="1:22">
      <c r="L13" s="1794"/>
      <c r="M13" s="382" t="s">
        <v>8</v>
      </c>
      <c r="N13" s="396"/>
      <c r="O13" s="393"/>
      <c r="P13" s="393"/>
      <c r="Q13" s="393"/>
      <c r="R13" s="393"/>
      <c r="S13" s="393"/>
      <c r="T13" s="395"/>
      <c r="U13" s="93" t="e">
        <f>INDEX(Tabel3B[Afnameklanten op TRHS (∑)],10)</f>
        <v>#DIV/0!</v>
      </c>
      <c r="V13" s="397"/>
    </row>
    <row r="14" spans="1:22" ht="15" thickBot="1">
      <c r="L14" s="1794"/>
      <c r="M14" s="383" t="s">
        <v>191</v>
      </c>
      <c r="N14" s="396"/>
      <c r="O14" s="393"/>
      <c r="P14" s="393"/>
      <c r="Q14" s="393"/>
      <c r="R14" s="393"/>
      <c r="S14" s="393"/>
      <c r="T14" s="395"/>
      <c r="U14" s="396"/>
      <c r="V14" s="403" t="e">
        <f>INDEX(Tabel3B[Afnameklanten op TRHS (∑)],8)</f>
        <v>#VALUE!</v>
      </c>
    </row>
    <row r="15" spans="1:22" ht="30" customHeight="1" thickBot="1">
      <c r="L15" s="1794"/>
      <c r="M15" s="212" t="s">
        <v>125</v>
      </c>
      <c r="N15" s="1786"/>
      <c r="O15" s="1787"/>
      <c r="P15" s="1787"/>
      <c r="Q15" s="1787"/>
      <c r="R15" s="1787"/>
      <c r="S15" s="1787"/>
      <c r="T15" s="1788"/>
      <c r="U15" s="384"/>
      <c r="V15" s="385"/>
    </row>
    <row r="16" spans="1:22" ht="30" customHeight="1" thickBot="1">
      <c r="L16" s="1795"/>
      <c r="M16" s="213" t="s">
        <v>131</v>
      </c>
      <c r="N16" s="206"/>
      <c r="O16" s="207"/>
      <c r="P16" s="1785">
        <f>PROCENT_VERHOGING_NA_MAX</f>
        <v>1</v>
      </c>
      <c r="Q16" s="1785"/>
      <c r="R16" s="207"/>
      <c r="S16" s="207"/>
      <c r="T16" s="378"/>
      <c r="U16" s="208"/>
      <c r="V16" s="209"/>
    </row>
    <row r="17" spans="1:25" ht="15" thickBot="1"/>
    <row r="18" spans="1:25" ht="30" customHeight="1" thickBot="1">
      <c r="N18" s="1784" t="s">
        <v>132</v>
      </c>
      <c r="O18" s="1796"/>
      <c r="P18" s="1744" t="s">
        <v>135</v>
      </c>
      <c r="Q18" s="1745"/>
      <c r="R18" s="1789" t="s">
        <v>80</v>
      </c>
      <c r="S18" s="1791" t="s">
        <v>9</v>
      </c>
      <c r="T18" s="1801" t="s">
        <v>81</v>
      </c>
      <c r="U18" s="1797" t="s">
        <v>79</v>
      </c>
      <c r="V18" s="1799" t="s">
        <v>13</v>
      </c>
      <c r="X18" s="1784" t="s">
        <v>133</v>
      </c>
      <c r="Y18" s="1740"/>
    </row>
    <row r="19" spans="1:25" ht="17" thickBot="1">
      <c r="A19" s="572" t="s">
        <v>141</v>
      </c>
      <c r="B19" s="183" t="s">
        <v>102</v>
      </c>
      <c r="C19" s="553" t="s">
        <v>208</v>
      </c>
      <c r="D19" s="185" t="s">
        <v>24</v>
      </c>
      <c r="E19" s="186" t="s">
        <v>207</v>
      </c>
      <c r="F19" s="186" t="s">
        <v>144</v>
      </c>
      <c r="G19" s="186" t="s">
        <v>145</v>
      </c>
      <c r="H19" s="186" t="s">
        <v>323</v>
      </c>
      <c r="I19" s="372" t="s">
        <v>324</v>
      </c>
      <c r="J19" s="372" t="s">
        <v>325</v>
      </c>
      <c r="K19" s="372" t="s">
        <v>326</v>
      </c>
      <c r="L19" s="187" t="s">
        <v>327</v>
      </c>
      <c r="N19" s="188" t="s">
        <v>209</v>
      </c>
      <c r="O19" s="87" t="s">
        <v>142</v>
      </c>
      <c r="P19" s="188" t="s">
        <v>209</v>
      </c>
      <c r="Q19" s="87" t="s">
        <v>142</v>
      </c>
      <c r="R19" s="1790"/>
      <c r="S19" s="1792"/>
      <c r="T19" s="1802"/>
      <c r="U19" s="1798"/>
      <c r="V19" s="1800"/>
      <c r="X19" s="188" t="s">
        <v>125</v>
      </c>
      <c r="Y19" s="189" t="s">
        <v>126</v>
      </c>
    </row>
    <row r="20" spans="1:25">
      <c r="A20" s="728"/>
      <c r="B20" s="729"/>
      <c r="C20" s="730"/>
      <c r="D20" s="732"/>
      <c r="E20" s="733"/>
      <c r="F20" s="733"/>
      <c r="G20" s="733"/>
      <c r="H20" s="733"/>
      <c r="I20" s="734"/>
      <c r="J20" s="734"/>
      <c r="K20" s="734"/>
      <c r="L20" s="735"/>
      <c r="N20" s="765" t="e">
        <f>$N$7*$E20+$N$8*$F20</f>
        <v>#VALUE!</v>
      </c>
      <c r="O20" s="1086" t="e">
        <f>$O$9*$G20</f>
        <v>#VALUE!</v>
      </c>
      <c r="P20" s="749" t="e">
        <f>$P$7*$E20+$P$8*$F20</f>
        <v>#VALUE!</v>
      </c>
      <c r="Q20" s="1087" t="e">
        <f>$Q$9*$G20</f>
        <v>#VALUE!</v>
      </c>
      <c r="R20" s="750" t="e">
        <f>$R$10*($H20+$I20)+$R$11*$J20</f>
        <v>#VALUE!</v>
      </c>
      <c r="S20" s="766" t="e">
        <f>$S$10*($H20+$I20+$J20)</f>
        <v>#VALUE!</v>
      </c>
      <c r="T20" s="1214" t="e">
        <f>$T$10*($H20+$I20+$J20)</f>
        <v>#DIV/0!</v>
      </c>
      <c r="U20" s="749" t="e">
        <f>INDEX($U$12:$U$13,MATCH($D20,$M$12:$M$13,0))/12</f>
        <v>#N/A</v>
      </c>
      <c r="V20" s="751" t="e">
        <f>$V$14*($K20+$L20)</f>
        <v>#VALUE!</v>
      </c>
      <c r="X20" s="762">
        <f>$N$15*($H20+$I20+$J20)</f>
        <v>0</v>
      </c>
      <c r="Y20" s="763" t="e">
        <f t="shared" ref="Y20:Y38" si="0">IF($C20="x",0,MAX(SUM($P20,$R20:$T20)-$X20,0))</f>
        <v>#VALUE!</v>
      </c>
    </row>
    <row r="21" spans="1:25">
      <c r="A21" s="736"/>
      <c r="B21" s="616"/>
      <c r="C21" s="737"/>
      <c r="D21" s="738"/>
      <c r="E21" s="739"/>
      <c r="F21" s="739"/>
      <c r="G21" s="739"/>
      <c r="H21" s="739"/>
      <c r="I21" s="740"/>
      <c r="J21" s="740"/>
      <c r="K21" s="740"/>
      <c r="L21" s="741"/>
      <c r="N21" s="752" t="e">
        <f>$N$7*$E21+$N$8*$F21</f>
        <v>#VALUE!</v>
      </c>
      <c r="O21" s="753" t="e">
        <f t="shared" ref="O21:O37" si="1">$O$9*$G21</f>
        <v>#VALUE!</v>
      </c>
      <c r="P21" s="754" t="e">
        <f t="shared" ref="P21:P37" si="2">$P$7*$E21+$P$8*$F21</f>
        <v>#VALUE!</v>
      </c>
      <c r="Q21" s="755" t="e">
        <f t="shared" ref="Q21:Q37" si="3">$Q$9*$G21</f>
        <v>#VALUE!</v>
      </c>
      <c r="R21" s="754" t="e">
        <f t="shared" ref="R21:R37" si="4">$R$10*($H21+$I21)+$R$11*$J21</f>
        <v>#VALUE!</v>
      </c>
      <c r="S21" s="756" t="e">
        <f t="shared" ref="S21:S37" si="5">$S$10*($H21+$I21+$J21)</f>
        <v>#VALUE!</v>
      </c>
      <c r="T21" s="753" t="e">
        <f t="shared" ref="T21:T37" si="6">$T$10*($H21+$I21+$J21)</f>
        <v>#DIV/0!</v>
      </c>
      <c r="U21" s="754" t="e">
        <f t="shared" ref="U21:U38" si="7">INDEX($U$12:$U$13,MATCH($D21,$M$12:$M$13,0))/12</f>
        <v>#N/A</v>
      </c>
      <c r="V21" s="757" t="e">
        <f>$V$14*($K21+$L21)</f>
        <v>#VALUE!</v>
      </c>
      <c r="X21" s="758">
        <f t="shared" ref="X21:X37" si="8">$N$15*($H21+$I21+$J21)</f>
        <v>0</v>
      </c>
      <c r="Y21" s="757" t="e">
        <f t="shared" si="0"/>
        <v>#VALUE!</v>
      </c>
    </row>
    <row r="22" spans="1:25">
      <c r="A22" s="736"/>
      <c r="B22" s="616"/>
      <c r="C22" s="737"/>
      <c r="D22" s="738"/>
      <c r="E22" s="739"/>
      <c r="F22" s="739"/>
      <c r="G22" s="739"/>
      <c r="H22" s="739"/>
      <c r="I22" s="740"/>
      <c r="J22" s="740"/>
      <c r="K22" s="740"/>
      <c r="L22" s="741"/>
      <c r="N22" s="752" t="e">
        <f>$N$7*$E22+$N$8*$F22</f>
        <v>#VALUE!</v>
      </c>
      <c r="O22" s="753" t="e">
        <f t="shared" si="1"/>
        <v>#VALUE!</v>
      </c>
      <c r="P22" s="754" t="e">
        <f t="shared" si="2"/>
        <v>#VALUE!</v>
      </c>
      <c r="Q22" s="755" t="e">
        <f t="shared" si="3"/>
        <v>#VALUE!</v>
      </c>
      <c r="R22" s="754" t="e">
        <f t="shared" si="4"/>
        <v>#VALUE!</v>
      </c>
      <c r="S22" s="756" t="e">
        <f t="shared" si="5"/>
        <v>#VALUE!</v>
      </c>
      <c r="T22" s="753" t="e">
        <f t="shared" si="6"/>
        <v>#DIV/0!</v>
      </c>
      <c r="U22" s="754" t="e">
        <f t="shared" si="7"/>
        <v>#N/A</v>
      </c>
      <c r="V22" s="757" t="e">
        <f t="shared" ref="V22:V38" si="9">$V$14*($K22+$L22)</f>
        <v>#VALUE!</v>
      </c>
      <c r="X22" s="758">
        <f t="shared" si="8"/>
        <v>0</v>
      </c>
      <c r="Y22" s="757" t="e">
        <f t="shared" si="0"/>
        <v>#VALUE!</v>
      </c>
    </row>
    <row r="23" spans="1:25">
      <c r="A23" s="736"/>
      <c r="B23" s="616"/>
      <c r="C23" s="737"/>
      <c r="D23" s="738"/>
      <c r="E23" s="739"/>
      <c r="F23" s="739"/>
      <c r="G23" s="739"/>
      <c r="H23" s="739"/>
      <c r="I23" s="740"/>
      <c r="J23" s="740"/>
      <c r="K23" s="740"/>
      <c r="L23" s="741"/>
      <c r="N23" s="752" t="e">
        <f>$N$7*$E23+$N$8*$F23</f>
        <v>#VALUE!</v>
      </c>
      <c r="O23" s="753" t="e">
        <f t="shared" si="1"/>
        <v>#VALUE!</v>
      </c>
      <c r="P23" s="754" t="e">
        <f t="shared" si="2"/>
        <v>#VALUE!</v>
      </c>
      <c r="Q23" s="755" t="e">
        <f t="shared" si="3"/>
        <v>#VALUE!</v>
      </c>
      <c r="R23" s="754" t="e">
        <f t="shared" si="4"/>
        <v>#VALUE!</v>
      </c>
      <c r="S23" s="756" t="e">
        <f t="shared" si="5"/>
        <v>#VALUE!</v>
      </c>
      <c r="T23" s="753" t="e">
        <f t="shared" si="6"/>
        <v>#DIV/0!</v>
      </c>
      <c r="U23" s="754" t="e">
        <f t="shared" si="7"/>
        <v>#N/A</v>
      </c>
      <c r="V23" s="757" t="e">
        <f t="shared" si="9"/>
        <v>#VALUE!</v>
      </c>
      <c r="X23" s="758">
        <f t="shared" si="8"/>
        <v>0</v>
      </c>
      <c r="Y23" s="757" t="e">
        <f t="shared" si="0"/>
        <v>#VALUE!</v>
      </c>
    </row>
    <row r="24" spans="1:25">
      <c r="A24" s="736"/>
      <c r="B24" s="616"/>
      <c r="C24" s="737"/>
      <c r="D24" s="738"/>
      <c r="E24" s="739"/>
      <c r="F24" s="739"/>
      <c r="G24" s="739"/>
      <c r="H24" s="739"/>
      <c r="I24" s="740"/>
      <c r="J24" s="740"/>
      <c r="K24" s="740"/>
      <c r="L24" s="741"/>
      <c r="N24" s="758" t="e">
        <f>$N$7*$E24+$N$8*$F24</f>
        <v>#VALUE!</v>
      </c>
      <c r="O24" s="753" t="e">
        <f t="shared" si="1"/>
        <v>#VALUE!</v>
      </c>
      <c r="P24" s="754" t="e">
        <f t="shared" si="2"/>
        <v>#VALUE!</v>
      </c>
      <c r="Q24" s="755" t="e">
        <f t="shared" si="3"/>
        <v>#VALUE!</v>
      </c>
      <c r="R24" s="754" t="e">
        <f t="shared" si="4"/>
        <v>#VALUE!</v>
      </c>
      <c r="S24" s="756" t="e">
        <f t="shared" si="5"/>
        <v>#VALUE!</v>
      </c>
      <c r="T24" s="753" t="e">
        <f t="shared" si="6"/>
        <v>#DIV/0!</v>
      </c>
      <c r="U24" s="754" t="e">
        <f t="shared" si="7"/>
        <v>#N/A</v>
      </c>
      <c r="V24" s="757" t="e">
        <f t="shared" si="9"/>
        <v>#VALUE!</v>
      </c>
      <c r="X24" s="758">
        <f t="shared" si="8"/>
        <v>0</v>
      </c>
      <c r="Y24" s="757" t="e">
        <f t="shared" si="0"/>
        <v>#VALUE!</v>
      </c>
    </row>
    <row r="25" spans="1:25">
      <c r="A25" s="736"/>
      <c r="B25" s="616"/>
      <c r="C25" s="737"/>
      <c r="D25" s="738"/>
      <c r="E25" s="739"/>
      <c r="F25" s="739"/>
      <c r="G25" s="739"/>
      <c r="H25" s="739"/>
      <c r="I25" s="740"/>
      <c r="J25" s="740"/>
      <c r="K25" s="740"/>
      <c r="L25" s="741"/>
      <c r="N25" s="758" t="e">
        <f t="shared" ref="N25:N37" si="10">$N$7*$E25+$N$8*$F25</f>
        <v>#VALUE!</v>
      </c>
      <c r="O25" s="753" t="e">
        <f t="shared" si="1"/>
        <v>#VALUE!</v>
      </c>
      <c r="P25" s="754" t="e">
        <f t="shared" si="2"/>
        <v>#VALUE!</v>
      </c>
      <c r="Q25" s="755" t="e">
        <f t="shared" si="3"/>
        <v>#VALUE!</v>
      </c>
      <c r="R25" s="754" t="e">
        <f t="shared" si="4"/>
        <v>#VALUE!</v>
      </c>
      <c r="S25" s="756" t="e">
        <f t="shared" si="5"/>
        <v>#VALUE!</v>
      </c>
      <c r="T25" s="753" t="e">
        <f t="shared" si="6"/>
        <v>#DIV/0!</v>
      </c>
      <c r="U25" s="754" t="e">
        <f t="shared" si="7"/>
        <v>#N/A</v>
      </c>
      <c r="V25" s="757" t="e">
        <f t="shared" si="9"/>
        <v>#VALUE!</v>
      </c>
      <c r="X25" s="758">
        <f t="shared" si="8"/>
        <v>0</v>
      </c>
      <c r="Y25" s="757" t="e">
        <f t="shared" si="0"/>
        <v>#VALUE!</v>
      </c>
    </row>
    <row r="26" spans="1:25">
      <c r="A26" s="736"/>
      <c r="B26" s="616"/>
      <c r="C26" s="737"/>
      <c r="D26" s="738"/>
      <c r="E26" s="739"/>
      <c r="F26" s="739"/>
      <c r="G26" s="739"/>
      <c r="H26" s="739"/>
      <c r="I26" s="740"/>
      <c r="J26" s="740"/>
      <c r="K26" s="740"/>
      <c r="L26" s="741"/>
      <c r="N26" s="758" t="e">
        <f t="shared" si="10"/>
        <v>#VALUE!</v>
      </c>
      <c r="O26" s="753" t="e">
        <f t="shared" si="1"/>
        <v>#VALUE!</v>
      </c>
      <c r="P26" s="754" t="e">
        <f t="shared" si="2"/>
        <v>#VALUE!</v>
      </c>
      <c r="Q26" s="755" t="e">
        <f t="shared" si="3"/>
        <v>#VALUE!</v>
      </c>
      <c r="R26" s="754" t="e">
        <f t="shared" si="4"/>
        <v>#VALUE!</v>
      </c>
      <c r="S26" s="756" t="e">
        <f t="shared" si="5"/>
        <v>#VALUE!</v>
      </c>
      <c r="T26" s="753" t="e">
        <f t="shared" si="6"/>
        <v>#DIV/0!</v>
      </c>
      <c r="U26" s="754" t="e">
        <f t="shared" si="7"/>
        <v>#N/A</v>
      </c>
      <c r="V26" s="757" t="e">
        <f t="shared" si="9"/>
        <v>#VALUE!</v>
      </c>
      <c r="X26" s="758">
        <f t="shared" si="8"/>
        <v>0</v>
      </c>
      <c r="Y26" s="757" t="e">
        <f t="shared" si="0"/>
        <v>#VALUE!</v>
      </c>
    </row>
    <row r="27" spans="1:25">
      <c r="A27" s="736"/>
      <c r="B27" s="616"/>
      <c r="C27" s="737"/>
      <c r="D27" s="738"/>
      <c r="E27" s="739"/>
      <c r="F27" s="739"/>
      <c r="G27" s="739"/>
      <c r="H27" s="739"/>
      <c r="I27" s="740"/>
      <c r="J27" s="740"/>
      <c r="K27" s="740"/>
      <c r="L27" s="741"/>
      <c r="N27" s="758" t="e">
        <f t="shared" si="10"/>
        <v>#VALUE!</v>
      </c>
      <c r="O27" s="753" t="e">
        <f t="shared" si="1"/>
        <v>#VALUE!</v>
      </c>
      <c r="P27" s="754" t="e">
        <f t="shared" si="2"/>
        <v>#VALUE!</v>
      </c>
      <c r="Q27" s="755" t="e">
        <f t="shared" si="3"/>
        <v>#VALUE!</v>
      </c>
      <c r="R27" s="754" t="e">
        <f t="shared" si="4"/>
        <v>#VALUE!</v>
      </c>
      <c r="S27" s="756" t="e">
        <f t="shared" si="5"/>
        <v>#VALUE!</v>
      </c>
      <c r="T27" s="753" t="e">
        <f t="shared" si="6"/>
        <v>#DIV/0!</v>
      </c>
      <c r="U27" s="754" t="e">
        <f t="shared" si="7"/>
        <v>#N/A</v>
      </c>
      <c r="V27" s="757" t="e">
        <f t="shared" si="9"/>
        <v>#VALUE!</v>
      </c>
      <c r="X27" s="758">
        <f t="shared" si="8"/>
        <v>0</v>
      </c>
      <c r="Y27" s="757" t="e">
        <f t="shared" si="0"/>
        <v>#VALUE!</v>
      </c>
    </row>
    <row r="28" spans="1:25">
      <c r="A28" s="736"/>
      <c r="B28" s="616"/>
      <c r="C28" s="737"/>
      <c r="D28" s="738"/>
      <c r="E28" s="739"/>
      <c r="F28" s="739"/>
      <c r="G28" s="739"/>
      <c r="H28" s="739"/>
      <c r="I28" s="740"/>
      <c r="J28" s="740"/>
      <c r="K28" s="740"/>
      <c r="L28" s="741"/>
      <c r="N28" s="758" t="e">
        <f t="shared" si="10"/>
        <v>#VALUE!</v>
      </c>
      <c r="O28" s="753" t="e">
        <f t="shared" si="1"/>
        <v>#VALUE!</v>
      </c>
      <c r="P28" s="754" t="e">
        <f t="shared" si="2"/>
        <v>#VALUE!</v>
      </c>
      <c r="Q28" s="755" t="e">
        <f t="shared" si="3"/>
        <v>#VALUE!</v>
      </c>
      <c r="R28" s="754" t="e">
        <f t="shared" si="4"/>
        <v>#VALUE!</v>
      </c>
      <c r="S28" s="756" t="e">
        <f t="shared" si="5"/>
        <v>#VALUE!</v>
      </c>
      <c r="T28" s="753" t="e">
        <f t="shared" si="6"/>
        <v>#DIV/0!</v>
      </c>
      <c r="U28" s="754" t="e">
        <f t="shared" si="7"/>
        <v>#N/A</v>
      </c>
      <c r="V28" s="757" t="e">
        <f t="shared" si="9"/>
        <v>#VALUE!</v>
      </c>
      <c r="X28" s="758">
        <f t="shared" si="8"/>
        <v>0</v>
      </c>
      <c r="Y28" s="757" t="e">
        <f t="shared" si="0"/>
        <v>#VALUE!</v>
      </c>
    </row>
    <row r="29" spans="1:25">
      <c r="A29" s="736"/>
      <c r="B29" s="616"/>
      <c r="C29" s="737"/>
      <c r="D29" s="738"/>
      <c r="E29" s="739"/>
      <c r="F29" s="739"/>
      <c r="G29" s="739"/>
      <c r="H29" s="739"/>
      <c r="I29" s="740"/>
      <c r="J29" s="740"/>
      <c r="K29" s="740"/>
      <c r="L29" s="741"/>
      <c r="N29" s="758" t="e">
        <f t="shared" si="10"/>
        <v>#VALUE!</v>
      </c>
      <c r="O29" s="753" t="e">
        <f t="shared" si="1"/>
        <v>#VALUE!</v>
      </c>
      <c r="P29" s="754" t="e">
        <f t="shared" si="2"/>
        <v>#VALUE!</v>
      </c>
      <c r="Q29" s="755" t="e">
        <f t="shared" si="3"/>
        <v>#VALUE!</v>
      </c>
      <c r="R29" s="754" t="e">
        <f t="shared" si="4"/>
        <v>#VALUE!</v>
      </c>
      <c r="S29" s="756" t="e">
        <f t="shared" si="5"/>
        <v>#VALUE!</v>
      </c>
      <c r="T29" s="753" t="e">
        <f t="shared" si="6"/>
        <v>#DIV/0!</v>
      </c>
      <c r="U29" s="754" t="e">
        <f t="shared" si="7"/>
        <v>#N/A</v>
      </c>
      <c r="V29" s="757" t="e">
        <f t="shared" si="9"/>
        <v>#VALUE!</v>
      </c>
      <c r="X29" s="758">
        <f t="shared" si="8"/>
        <v>0</v>
      </c>
      <c r="Y29" s="757" t="e">
        <f t="shared" si="0"/>
        <v>#VALUE!</v>
      </c>
    </row>
    <row r="30" spans="1:25">
      <c r="A30" s="736"/>
      <c r="B30" s="616"/>
      <c r="C30" s="737"/>
      <c r="D30" s="738"/>
      <c r="E30" s="739"/>
      <c r="F30" s="739"/>
      <c r="G30" s="739"/>
      <c r="H30" s="739"/>
      <c r="I30" s="740"/>
      <c r="J30" s="740"/>
      <c r="K30" s="740"/>
      <c r="L30" s="741"/>
      <c r="N30" s="758" t="e">
        <f t="shared" si="10"/>
        <v>#VALUE!</v>
      </c>
      <c r="O30" s="753" t="e">
        <f t="shared" si="1"/>
        <v>#VALUE!</v>
      </c>
      <c r="P30" s="754" t="e">
        <f t="shared" si="2"/>
        <v>#VALUE!</v>
      </c>
      <c r="Q30" s="755" t="e">
        <f t="shared" si="3"/>
        <v>#VALUE!</v>
      </c>
      <c r="R30" s="754" t="e">
        <f t="shared" si="4"/>
        <v>#VALUE!</v>
      </c>
      <c r="S30" s="756" t="e">
        <f t="shared" si="5"/>
        <v>#VALUE!</v>
      </c>
      <c r="T30" s="753" t="e">
        <f t="shared" si="6"/>
        <v>#DIV/0!</v>
      </c>
      <c r="U30" s="754" t="e">
        <f t="shared" si="7"/>
        <v>#N/A</v>
      </c>
      <c r="V30" s="757" t="e">
        <f t="shared" si="9"/>
        <v>#VALUE!</v>
      </c>
      <c r="X30" s="758">
        <f t="shared" si="8"/>
        <v>0</v>
      </c>
      <c r="Y30" s="757" t="e">
        <f t="shared" si="0"/>
        <v>#VALUE!</v>
      </c>
    </row>
    <row r="31" spans="1:25">
      <c r="A31" s="736"/>
      <c r="B31" s="616"/>
      <c r="C31" s="737"/>
      <c r="D31" s="738"/>
      <c r="E31" s="739"/>
      <c r="F31" s="739"/>
      <c r="G31" s="739"/>
      <c r="H31" s="739"/>
      <c r="I31" s="740"/>
      <c r="J31" s="740"/>
      <c r="K31" s="740"/>
      <c r="L31" s="741"/>
      <c r="N31" s="758" t="e">
        <f t="shared" si="10"/>
        <v>#VALUE!</v>
      </c>
      <c r="O31" s="753" t="e">
        <f t="shared" si="1"/>
        <v>#VALUE!</v>
      </c>
      <c r="P31" s="754" t="e">
        <f t="shared" si="2"/>
        <v>#VALUE!</v>
      </c>
      <c r="Q31" s="755" t="e">
        <f t="shared" si="3"/>
        <v>#VALUE!</v>
      </c>
      <c r="R31" s="754" t="e">
        <f t="shared" si="4"/>
        <v>#VALUE!</v>
      </c>
      <c r="S31" s="756" t="e">
        <f t="shared" si="5"/>
        <v>#VALUE!</v>
      </c>
      <c r="T31" s="753" t="e">
        <f t="shared" si="6"/>
        <v>#DIV/0!</v>
      </c>
      <c r="U31" s="754" t="e">
        <f t="shared" si="7"/>
        <v>#N/A</v>
      </c>
      <c r="V31" s="757" t="e">
        <f t="shared" si="9"/>
        <v>#VALUE!</v>
      </c>
      <c r="X31" s="758">
        <f t="shared" si="8"/>
        <v>0</v>
      </c>
      <c r="Y31" s="757" t="e">
        <f t="shared" si="0"/>
        <v>#VALUE!</v>
      </c>
    </row>
    <row r="32" spans="1:25">
      <c r="A32" s="736"/>
      <c r="B32" s="616"/>
      <c r="C32" s="737"/>
      <c r="D32" s="738"/>
      <c r="E32" s="739"/>
      <c r="F32" s="739"/>
      <c r="G32" s="739"/>
      <c r="H32" s="739"/>
      <c r="I32" s="740"/>
      <c r="J32" s="740"/>
      <c r="K32" s="740"/>
      <c r="L32" s="741"/>
      <c r="N32" s="758" t="e">
        <f t="shared" si="10"/>
        <v>#VALUE!</v>
      </c>
      <c r="O32" s="753" t="e">
        <f t="shared" si="1"/>
        <v>#VALUE!</v>
      </c>
      <c r="P32" s="754" t="e">
        <f t="shared" si="2"/>
        <v>#VALUE!</v>
      </c>
      <c r="Q32" s="755" t="e">
        <f t="shared" si="3"/>
        <v>#VALUE!</v>
      </c>
      <c r="R32" s="754" t="e">
        <f t="shared" si="4"/>
        <v>#VALUE!</v>
      </c>
      <c r="S32" s="756" t="e">
        <f t="shared" si="5"/>
        <v>#VALUE!</v>
      </c>
      <c r="T32" s="753" t="e">
        <f t="shared" si="6"/>
        <v>#DIV/0!</v>
      </c>
      <c r="U32" s="754" t="e">
        <f t="shared" si="7"/>
        <v>#N/A</v>
      </c>
      <c r="V32" s="757" t="e">
        <f t="shared" si="9"/>
        <v>#VALUE!</v>
      </c>
      <c r="X32" s="758">
        <f t="shared" si="8"/>
        <v>0</v>
      </c>
      <c r="Y32" s="757" t="e">
        <f t="shared" si="0"/>
        <v>#VALUE!</v>
      </c>
    </row>
    <row r="33" spans="1:25">
      <c r="A33" s="736"/>
      <c r="B33" s="616"/>
      <c r="C33" s="737"/>
      <c r="D33" s="738"/>
      <c r="E33" s="739"/>
      <c r="F33" s="739"/>
      <c r="G33" s="739"/>
      <c r="H33" s="739"/>
      <c r="I33" s="740"/>
      <c r="J33" s="740"/>
      <c r="K33" s="740"/>
      <c r="L33" s="741"/>
      <c r="N33" s="758" t="e">
        <f t="shared" si="10"/>
        <v>#VALUE!</v>
      </c>
      <c r="O33" s="753" t="e">
        <f t="shared" si="1"/>
        <v>#VALUE!</v>
      </c>
      <c r="P33" s="754" t="e">
        <f t="shared" si="2"/>
        <v>#VALUE!</v>
      </c>
      <c r="Q33" s="755" t="e">
        <f t="shared" si="3"/>
        <v>#VALUE!</v>
      </c>
      <c r="R33" s="754" t="e">
        <f t="shared" si="4"/>
        <v>#VALUE!</v>
      </c>
      <c r="S33" s="756" t="e">
        <f t="shared" si="5"/>
        <v>#VALUE!</v>
      </c>
      <c r="T33" s="753" t="e">
        <f t="shared" si="6"/>
        <v>#DIV/0!</v>
      </c>
      <c r="U33" s="754" t="e">
        <f t="shared" si="7"/>
        <v>#N/A</v>
      </c>
      <c r="V33" s="757" t="e">
        <f t="shared" si="9"/>
        <v>#VALUE!</v>
      </c>
      <c r="X33" s="758">
        <f t="shared" si="8"/>
        <v>0</v>
      </c>
      <c r="Y33" s="757" t="e">
        <f t="shared" si="0"/>
        <v>#VALUE!</v>
      </c>
    </row>
    <row r="34" spans="1:25">
      <c r="A34" s="736"/>
      <c r="B34" s="616"/>
      <c r="C34" s="737"/>
      <c r="D34" s="738"/>
      <c r="E34" s="739"/>
      <c r="F34" s="739"/>
      <c r="G34" s="739"/>
      <c r="H34" s="739"/>
      <c r="I34" s="740"/>
      <c r="J34" s="740"/>
      <c r="K34" s="740"/>
      <c r="L34" s="741"/>
      <c r="N34" s="758" t="e">
        <f t="shared" si="10"/>
        <v>#VALUE!</v>
      </c>
      <c r="O34" s="753" t="e">
        <f t="shared" si="1"/>
        <v>#VALUE!</v>
      </c>
      <c r="P34" s="754" t="e">
        <f t="shared" si="2"/>
        <v>#VALUE!</v>
      </c>
      <c r="Q34" s="755" t="e">
        <f t="shared" si="3"/>
        <v>#VALUE!</v>
      </c>
      <c r="R34" s="754" t="e">
        <f t="shared" si="4"/>
        <v>#VALUE!</v>
      </c>
      <c r="S34" s="756" t="e">
        <f t="shared" si="5"/>
        <v>#VALUE!</v>
      </c>
      <c r="T34" s="753" t="e">
        <f t="shared" si="6"/>
        <v>#DIV/0!</v>
      </c>
      <c r="U34" s="754" t="e">
        <f t="shared" si="7"/>
        <v>#N/A</v>
      </c>
      <c r="V34" s="757" t="e">
        <f t="shared" si="9"/>
        <v>#VALUE!</v>
      </c>
      <c r="X34" s="758">
        <f t="shared" si="8"/>
        <v>0</v>
      </c>
      <c r="Y34" s="757" t="e">
        <f t="shared" si="0"/>
        <v>#VALUE!</v>
      </c>
    </row>
    <row r="35" spans="1:25" s="1213" customFormat="1">
      <c r="A35" s="736"/>
      <c r="B35" s="616"/>
      <c r="C35" s="737"/>
      <c r="D35" s="738"/>
      <c r="E35" s="739"/>
      <c r="F35" s="739"/>
      <c r="G35" s="739"/>
      <c r="H35" s="739"/>
      <c r="I35" s="740"/>
      <c r="J35" s="740"/>
      <c r="K35" s="740"/>
      <c r="L35" s="741"/>
      <c r="N35" s="758" t="e">
        <f t="shared" si="10"/>
        <v>#VALUE!</v>
      </c>
      <c r="O35" s="753" t="e">
        <f t="shared" si="1"/>
        <v>#VALUE!</v>
      </c>
      <c r="P35" s="754" t="e">
        <f t="shared" si="2"/>
        <v>#VALUE!</v>
      </c>
      <c r="Q35" s="755" t="e">
        <f t="shared" si="3"/>
        <v>#VALUE!</v>
      </c>
      <c r="R35" s="754" t="e">
        <f t="shared" si="4"/>
        <v>#VALUE!</v>
      </c>
      <c r="S35" s="756" t="e">
        <f t="shared" si="5"/>
        <v>#VALUE!</v>
      </c>
      <c r="T35" s="753" t="e">
        <f t="shared" si="6"/>
        <v>#DIV/0!</v>
      </c>
      <c r="U35" s="754" t="e">
        <f t="shared" si="7"/>
        <v>#N/A</v>
      </c>
      <c r="V35" s="757" t="e">
        <f t="shared" si="9"/>
        <v>#VALUE!</v>
      </c>
      <c r="X35" s="758">
        <f t="shared" si="8"/>
        <v>0</v>
      </c>
      <c r="Y35" s="757" t="e">
        <f t="shared" si="0"/>
        <v>#VALUE!</v>
      </c>
    </row>
    <row r="36" spans="1:25">
      <c r="A36" s="736"/>
      <c r="B36" s="616"/>
      <c r="C36" s="737"/>
      <c r="D36" s="738"/>
      <c r="E36" s="739"/>
      <c r="F36" s="739"/>
      <c r="G36" s="739"/>
      <c r="H36" s="739"/>
      <c r="I36" s="740"/>
      <c r="J36" s="740"/>
      <c r="K36" s="740"/>
      <c r="L36" s="741"/>
      <c r="N36" s="758" t="e">
        <f t="shared" si="10"/>
        <v>#VALUE!</v>
      </c>
      <c r="O36" s="753" t="e">
        <f t="shared" si="1"/>
        <v>#VALUE!</v>
      </c>
      <c r="P36" s="754" t="e">
        <f t="shared" si="2"/>
        <v>#VALUE!</v>
      </c>
      <c r="Q36" s="755" t="e">
        <f t="shared" si="3"/>
        <v>#VALUE!</v>
      </c>
      <c r="R36" s="759" t="e">
        <f t="shared" si="4"/>
        <v>#VALUE!</v>
      </c>
      <c r="S36" s="756" t="e">
        <f t="shared" si="5"/>
        <v>#VALUE!</v>
      </c>
      <c r="T36" s="753" t="e">
        <f t="shared" si="6"/>
        <v>#DIV/0!</v>
      </c>
      <c r="U36" s="754" t="e">
        <f t="shared" si="7"/>
        <v>#N/A</v>
      </c>
      <c r="V36" s="757" t="e">
        <f t="shared" si="9"/>
        <v>#VALUE!</v>
      </c>
      <c r="X36" s="758">
        <f t="shared" si="8"/>
        <v>0</v>
      </c>
      <c r="Y36" s="757" t="e">
        <f t="shared" si="0"/>
        <v>#VALUE!</v>
      </c>
    </row>
    <row r="37" spans="1:25">
      <c r="A37" s="736"/>
      <c r="B37" s="616"/>
      <c r="C37" s="737"/>
      <c r="D37" s="738"/>
      <c r="E37" s="739"/>
      <c r="F37" s="739"/>
      <c r="G37" s="739"/>
      <c r="H37" s="739"/>
      <c r="I37" s="740"/>
      <c r="J37" s="740"/>
      <c r="K37" s="740"/>
      <c r="L37" s="741"/>
      <c r="N37" s="758" t="e">
        <f t="shared" si="10"/>
        <v>#VALUE!</v>
      </c>
      <c r="O37" s="753" t="e">
        <f t="shared" si="1"/>
        <v>#VALUE!</v>
      </c>
      <c r="P37" s="754" t="e">
        <f t="shared" si="2"/>
        <v>#VALUE!</v>
      </c>
      <c r="Q37" s="755" t="e">
        <f t="shared" si="3"/>
        <v>#VALUE!</v>
      </c>
      <c r="R37" s="754" t="e">
        <f t="shared" si="4"/>
        <v>#VALUE!</v>
      </c>
      <c r="S37" s="756" t="e">
        <f t="shared" si="5"/>
        <v>#VALUE!</v>
      </c>
      <c r="T37" s="753" t="e">
        <f t="shared" si="6"/>
        <v>#DIV/0!</v>
      </c>
      <c r="U37" s="754" t="e">
        <f t="shared" si="7"/>
        <v>#N/A</v>
      </c>
      <c r="V37" s="757" t="e">
        <f t="shared" si="9"/>
        <v>#VALUE!</v>
      </c>
      <c r="X37" s="758">
        <f t="shared" si="8"/>
        <v>0</v>
      </c>
      <c r="Y37" s="757" t="e">
        <f t="shared" si="0"/>
        <v>#VALUE!</v>
      </c>
    </row>
    <row r="38" spans="1:25" ht="15" thickBot="1">
      <c r="A38" s="742"/>
      <c r="B38" s="619"/>
      <c r="C38" s="743"/>
      <c r="D38" s="744"/>
      <c r="E38" s="745"/>
      <c r="F38" s="745"/>
      <c r="G38" s="745"/>
      <c r="H38" s="745"/>
      <c r="I38" s="746"/>
      <c r="J38" s="746"/>
      <c r="K38" s="746"/>
      <c r="L38" s="747"/>
      <c r="N38" s="760" t="e">
        <f>$N$7*$E38+$N$8*$F38</f>
        <v>#VALUE!</v>
      </c>
      <c r="O38" s="767" t="e">
        <f>$O$9*$G38</f>
        <v>#VALUE!</v>
      </c>
      <c r="P38" s="761" t="e">
        <f>$P$7*$E38+$P$8*$F38</f>
        <v>#VALUE!</v>
      </c>
      <c r="Q38" s="835" t="e">
        <f>$Q$9*$G38</f>
        <v>#VALUE!</v>
      </c>
      <c r="R38" s="761" t="e">
        <f>$R$10*($H38+$I38)+$R$11*$J38</f>
        <v>#VALUE!</v>
      </c>
      <c r="S38" s="836" t="e">
        <f>$S$10*($H38+$I38+$J38)</f>
        <v>#VALUE!</v>
      </c>
      <c r="T38" s="767" t="e">
        <f>$T$10*($H38+$I38+$J38)</f>
        <v>#DIV/0!</v>
      </c>
      <c r="U38" s="761" t="e">
        <f t="shared" si="7"/>
        <v>#N/A</v>
      </c>
      <c r="V38" s="764" t="e">
        <f t="shared" si="9"/>
        <v>#VALUE!</v>
      </c>
      <c r="X38" s="760">
        <f>$N$15*($H38+$I38+$J38)</f>
        <v>0</v>
      </c>
      <c r="Y38" s="764" t="e">
        <f t="shared" si="0"/>
        <v>#VALUE!</v>
      </c>
    </row>
    <row r="39" spans="1:25">
      <c r="A39" s="220"/>
      <c r="B39" s="566" t="s">
        <v>97</v>
      </c>
      <c r="C39" s="131"/>
      <c r="D39" s="231">
        <f>COUNTIFS($B$20:$B$38,$B39)</f>
        <v>0</v>
      </c>
      <c r="E39" s="232">
        <f t="shared" ref="E39:L40" si="11">SUMIFS(E$20:E$38,$B$20:$B$38,$B39)</f>
        <v>0</v>
      </c>
      <c r="F39" s="232">
        <f t="shared" si="11"/>
        <v>0</v>
      </c>
      <c r="G39" s="232">
        <f t="shared" si="11"/>
        <v>0</v>
      </c>
      <c r="H39" s="232">
        <f t="shared" si="11"/>
        <v>0</v>
      </c>
      <c r="I39" s="414">
        <f t="shared" si="11"/>
        <v>0</v>
      </c>
      <c r="J39" s="414">
        <f t="shared" si="11"/>
        <v>0</v>
      </c>
      <c r="K39" s="414">
        <f t="shared" si="11"/>
        <v>0</v>
      </c>
      <c r="L39" s="292">
        <f t="shared" si="11"/>
        <v>0</v>
      </c>
      <c r="N39" s="214">
        <f t="shared" ref="N39:V40" si="12">SUMIFS(N$20:N$38,$B$20:$B$38,$B39)</f>
        <v>0</v>
      </c>
      <c r="O39" s="215">
        <f t="shared" si="12"/>
        <v>0</v>
      </c>
      <c r="P39" s="89">
        <f t="shared" si="12"/>
        <v>0</v>
      </c>
      <c r="Q39" s="91">
        <f t="shared" si="12"/>
        <v>0</v>
      </c>
      <c r="R39" s="89">
        <f t="shared" si="12"/>
        <v>0</v>
      </c>
      <c r="S39" s="90">
        <f t="shared" si="12"/>
        <v>0</v>
      </c>
      <c r="T39" s="90">
        <f t="shared" si="12"/>
        <v>0</v>
      </c>
      <c r="U39" s="89">
        <f t="shared" si="12"/>
        <v>0</v>
      </c>
      <c r="V39" s="194">
        <f t="shared" si="12"/>
        <v>0</v>
      </c>
      <c r="X39" s="214"/>
      <c r="Y39" s="194">
        <f>SUMIFS(Y$20:Y$38,$B$20:$B$38,$B39)</f>
        <v>0</v>
      </c>
    </row>
    <row r="40" spans="1:25" ht="15" thickBot="1">
      <c r="A40" s="219"/>
      <c r="B40" s="218" t="s">
        <v>128</v>
      </c>
      <c r="C40" s="552"/>
      <c r="D40" s="421">
        <f>COUNTIFS($B$20:$B$38,$B40)</f>
        <v>0</v>
      </c>
      <c r="E40" s="415">
        <f t="shared" si="11"/>
        <v>0</v>
      </c>
      <c r="F40" s="415">
        <f t="shared" si="11"/>
        <v>0</v>
      </c>
      <c r="G40" s="415">
        <f t="shared" si="11"/>
        <v>0</v>
      </c>
      <c r="H40" s="415">
        <f t="shared" si="11"/>
        <v>0</v>
      </c>
      <c r="I40" s="416">
        <f t="shared" si="11"/>
        <v>0</v>
      </c>
      <c r="J40" s="416">
        <f t="shared" si="11"/>
        <v>0</v>
      </c>
      <c r="K40" s="416">
        <f t="shared" si="11"/>
        <v>0</v>
      </c>
      <c r="L40" s="417">
        <f t="shared" si="11"/>
        <v>0</v>
      </c>
      <c r="N40" s="200">
        <f t="shared" si="12"/>
        <v>0</v>
      </c>
      <c r="O40" s="201">
        <f t="shared" si="12"/>
        <v>0</v>
      </c>
      <c r="P40" s="96">
        <f t="shared" si="12"/>
        <v>0</v>
      </c>
      <c r="Q40" s="98">
        <f t="shared" si="12"/>
        <v>0</v>
      </c>
      <c r="R40" s="96">
        <f t="shared" si="12"/>
        <v>0</v>
      </c>
      <c r="S40" s="97">
        <f t="shared" si="12"/>
        <v>0</v>
      </c>
      <c r="T40" s="97">
        <f t="shared" si="12"/>
        <v>0</v>
      </c>
      <c r="U40" s="96">
        <f t="shared" si="12"/>
        <v>0</v>
      </c>
      <c r="V40" s="202">
        <f t="shared" si="12"/>
        <v>0</v>
      </c>
      <c r="X40" s="200"/>
      <c r="Y40" s="202">
        <f>SUMIFS(Y$20:Y$38,$B$20:$B$38,$B40)</f>
        <v>0</v>
      </c>
    </row>
    <row r="41" spans="1:25" ht="15" thickBot="1">
      <c r="A41" s="1781" t="s">
        <v>11</v>
      </c>
      <c r="B41" s="1782"/>
      <c r="C41" s="1783"/>
      <c r="D41" s="422">
        <f>COUNT(D$20:D$38)</f>
        <v>0</v>
      </c>
      <c r="E41" s="418">
        <f t="shared" ref="E41:L41" si="13">SUM(E$20:E$38)</f>
        <v>0</v>
      </c>
      <c r="F41" s="418">
        <f t="shared" si="13"/>
        <v>0</v>
      </c>
      <c r="G41" s="418">
        <f t="shared" si="13"/>
        <v>0</v>
      </c>
      <c r="H41" s="418">
        <f t="shared" si="13"/>
        <v>0</v>
      </c>
      <c r="I41" s="419">
        <f t="shared" si="13"/>
        <v>0</v>
      </c>
      <c r="J41" s="419">
        <f t="shared" si="13"/>
        <v>0</v>
      </c>
      <c r="K41" s="419">
        <f t="shared" si="13"/>
        <v>0</v>
      </c>
      <c r="L41" s="420">
        <f t="shared" si="13"/>
        <v>0</v>
      </c>
      <c r="N41" s="204" t="e">
        <f t="shared" ref="N41:V41" si="14">SUBTOTAL(109,N$20:N$38)</f>
        <v>#VALUE!</v>
      </c>
      <c r="O41" s="99" t="e">
        <f t="shared" si="14"/>
        <v>#VALUE!</v>
      </c>
      <c r="P41" s="100" t="e">
        <f t="shared" si="14"/>
        <v>#VALUE!</v>
      </c>
      <c r="Q41" s="102" t="e">
        <f t="shared" si="14"/>
        <v>#VALUE!</v>
      </c>
      <c r="R41" s="371" t="e">
        <f t="shared" si="14"/>
        <v>#VALUE!</v>
      </c>
      <c r="S41" s="101" t="e">
        <f t="shared" si="14"/>
        <v>#VALUE!</v>
      </c>
      <c r="T41" s="101" t="e">
        <f t="shared" si="14"/>
        <v>#DIV/0!</v>
      </c>
      <c r="U41" s="371" t="e">
        <f t="shared" si="14"/>
        <v>#N/A</v>
      </c>
      <c r="V41" s="205" t="e">
        <f t="shared" si="14"/>
        <v>#VALUE!</v>
      </c>
      <c r="X41" s="204"/>
      <c r="Y41" s="205" t="e">
        <f>SUBTOTAL(109,Y$20:Y$38)</f>
        <v>#VALUE!</v>
      </c>
    </row>
  </sheetData>
  <sheetProtection algorithmName="SHA-512" hashValue="tA1J38y2ccDEEIF2VAu0z9kczu69w4fUR9etHjRmjqV97ziE3kSzhr7tRn2QFhVKHMLFiB4Xcn0PpU2AL66vUA==" saltValue="TjZ80tnMe+zmAw0n71Re2w==" spinCount="100000" sheet="1" objects="1" scenarios="1" insertRows="0" deleteRows="0" sort="0" autoFilter="0"/>
  <autoFilter ref="A19:Y19" xr:uid="{23B61287-16F6-4880-A209-D67001E5335E}"/>
  <mergeCells count="14">
    <mergeCell ref="A1:V1"/>
    <mergeCell ref="A41:C41"/>
    <mergeCell ref="X18:Y18"/>
    <mergeCell ref="P16:Q16"/>
    <mergeCell ref="N15:T15"/>
    <mergeCell ref="D4:E4"/>
    <mergeCell ref="R18:R19"/>
    <mergeCell ref="S18:S19"/>
    <mergeCell ref="L7:L16"/>
    <mergeCell ref="N18:O18"/>
    <mergeCell ref="P18:Q18"/>
    <mergeCell ref="U18:U19"/>
    <mergeCell ref="V18:V19"/>
    <mergeCell ref="T18:T19"/>
  </mergeCells>
  <dataValidations count="3">
    <dataValidation type="list" allowBlank="1" showInputMessage="1" showErrorMessage="1" sqref="C20:C38" xr:uid="{00000000-0002-0000-0900-000000000000}">
      <formula1>"x"</formula1>
    </dataValidation>
    <dataValidation type="list" allowBlank="1" showInputMessage="1" showErrorMessage="1" sqref="B20:B38" xr:uid="{00000000-0002-0000-0900-000001000000}">
      <formula1>$B$39:$B$40</formula1>
    </dataValidation>
    <dataValidation type="list" allowBlank="1" showInputMessage="1" showErrorMessage="1" sqref="D20:D38" xr:uid="{77874412-B6D8-4FF4-B35B-365BD218EC6D}">
      <formula1>"AMR,MMR,DM - MR1,DM - MR3,KM"</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CA732-FA54-4C3F-AFB8-F77D890E6E1F}">
  <sheetPr published="0"/>
  <dimension ref="A1:Y42"/>
  <sheetViews>
    <sheetView workbookViewId="0">
      <selection activeCell="D4" sqref="D4:E4"/>
    </sheetView>
  </sheetViews>
  <sheetFormatPr defaultColWidth="20.7265625" defaultRowHeight="14.5"/>
  <cols>
    <col min="1" max="1" width="20.7265625" style="563"/>
    <col min="2" max="2" width="25.81640625" style="563" customWidth="1"/>
    <col min="3" max="22" width="20.7265625" style="563"/>
    <col min="23" max="23" width="5.7265625" style="563" customWidth="1"/>
    <col min="24" max="16384" width="20.7265625" style="563"/>
  </cols>
  <sheetData>
    <row r="1" spans="1:22" ht="30" customHeight="1" thickBot="1">
      <c r="A1" s="1713" t="s">
        <v>329</v>
      </c>
      <c r="B1" s="1714"/>
      <c r="C1" s="1714"/>
      <c r="D1" s="1714"/>
      <c r="E1" s="1714"/>
      <c r="F1" s="1714"/>
      <c r="G1" s="1714"/>
      <c r="H1" s="1714"/>
      <c r="I1" s="1714"/>
      <c r="J1" s="1714"/>
      <c r="K1" s="1714"/>
      <c r="L1" s="1714"/>
      <c r="M1" s="1714"/>
      <c r="N1" s="1714"/>
      <c r="O1" s="1714"/>
      <c r="P1" s="1714"/>
      <c r="Q1" s="1714"/>
      <c r="R1" s="1714"/>
      <c r="S1" s="1714"/>
      <c r="T1" s="1714"/>
      <c r="U1" s="1714"/>
      <c r="V1" s="1780"/>
    </row>
    <row r="2" spans="1:22">
      <c r="B2" s="1"/>
      <c r="C2" s="1"/>
      <c r="D2" s="1"/>
      <c r="E2" s="1"/>
      <c r="F2" s="1"/>
      <c r="G2" s="1"/>
      <c r="H2" s="1"/>
      <c r="I2" s="1"/>
      <c r="J2" s="1"/>
      <c r="K2" s="1"/>
      <c r="L2" s="1"/>
      <c r="M2" s="1"/>
      <c r="N2" s="1"/>
      <c r="O2" s="1"/>
    </row>
    <row r="3" spans="1:22" ht="15" thickBot="1">
      <c r="B3" s="1"/>
      <c r="C3" s="1"/>
      <c r="D3" s="1"/>
      <c r="E3" s="1"/>
      <c r="F3" s="1"/>
      <c r="G3" s="1"/>
      <c r="H3" s="1"/>
      <c r="I3" s="1"/>
      <c r="J3" s="1"/>
      <c r="K3" s="1"/>
      <c r="L3" s="1"/>
      <c r="M3" s="1"/>
      <c r="N3" s="1"/>
      <c r="O3" s="1"/>
    </row>
    <row r="4" spans="1:22" ht="15" thickBot="1">
      <c r="B4" s="129" t="s">
        <v>6</v>
      </c>
      <c r="C4" s="168"/>
      <c r="D4" s="1706" t="str">
        <f>DNB</f>
        <v>Naam distributienetbeheerder</v>
      </c>
      <c r="E4" s="1708"/>
      <c r="J4" s="168"/>
      <c r="K4" s="168"/>
      <c r="N4" s="1"/>
      <c r="O4" s="1"/>
    </row>
    <row r="6" spans="1:22" ht="15" thickBot="1"/>
    <row r="7" spans="1:22" ht="16.5">
      <c r="L7" s="1793" t="s">
        <v>147</v>
      </c>
      <c r="M7" s="210" t="s">
        <v>105</v>
      </c>
      <c r="N7" s="386" t="e">
        <f>INDEX(Tabel3B[Afnameklanten op MS (∑)],1)</f>
        <v>#VALUE!</v>
      </c>
      <c r="O7" s="387"/>
      <c r="P7" s="388" t="e">
        <f>$N$7*$P$16</f>
        <v>#VALUE!</v>
      </c>
      <c r="Q7" s="387"/>
      <c r="R7" s="387"/>
      <c r="S7" s="387"/>
      <c r="T7" s="389"/>
      <c r="U7" s="390"/>
      <c r="V7" s="391"/>
    </row>
    <row r="8" spans="1:22" ht="16.5">
      <c r="L8" s="1794"/>
      <c r="M8" s="211" t="s">
        <v>106</v>
      </c>
      <c r="N8" s="392" t="e">
        <f>INDEX(Tabel3B[Afnameklanten op MS (∑)],2)</f>
        <v>#VALUE!</v>
      </c>
      <c r="O8" s="393"/>
      <c r="P8" s="394" t="e">
        <f>$N$8*$P$16</f>
        <v>#VALUE!</v>
      </c>
      <c r="Q8" s="393"/>
      <c r="R8" s="393"/>
      <c r="S8" s="393"/>
      <c r="T8" s="395"/>
      <c r="U8" s="396"/>
      <c r="V8" s="397"/>
    </row>
    <row r="9" spans="1:22" ht="16.5">
      <c r="L9" s="1794"/>
      <c r="M9" s="211" t="s">
        <v>107</v>
      </c>
      <c r="N9" s="396"/>
      <c r="O9" s="394" t="e">
        <f>INDEX(Tabel3B[Afnameklanten op MS (∑)],3)</f>
        <v>#VALUE!</v>
      </c>
      <c r="P9" s="393"/>
      <c r="Q9" s="394" t="e">
        <f>$O$9*$P$16</f>
        <v>#VALUE!</v>
      </c>
      <c r="R9" s="393"/>
      <c r="S9" s="393"/>
      <c r="T9" s="395"/>
      <c r="U9" s="396"/>
      <c r="V9" s="397"/>
    </row>
    <row r="10" spans="1:22" ht="16.5">
      <c r="L10" s="1794"/>
      <c r="M10" s="211" t="s">
        <v>110</v>
      </c>
      <c r="N10" s="398"/>
      <c r="O10" s="399"/>
      <c r="P10" s="399"/>
      <c r="Q10" s="399"/>
      <c r="R10" s="400" t="e">
        <f>INDEX(Tabel3B[Afnameklanten op MS (∑)],15)</f>
        <v>#VALUE!</v>
      </c>
      <c r="S10" s="400" t="e">
        <f>INDEX(Tabel3B[Afnameklanten op MS (∑)],17)</f>
        <v>#VALUE!</v>
      </c>
      <c r="T10" s="401" t="e">
        <f>INDEX(Tabel3B[Afnameklanten op MS (∑)],18)</f>
        <v>#DIV/0!</v>
      </c>
      <c r="U10" s="396"/>
      <c r="V10" s="397"/>
    </row>
    <row r="11" spans="1:22" ht="16.5">
      <c r="L11" s="1794"/>
      <c r="M11" s="211" t="s">
        <v>212</v>
      </c>
      <c r="N11" s="398"/>
      <c r="O11" s="399"/>
      <c r="P11" s="399"/>
      <c r="Q11" s="399"/>
      <c r="R11" s="400" t="e">
        <f>INDEX(Tabel3B[Afnameklanten op MS (∑)],16)</f>
        <v>#VALUE!</v>
      </c>
      <c r="S11" s="399"/>
      <c r="T11" s="402"/>
      <c r="U11" s="396"/>
      <c r="V11" s="397"/>
    </row>
    <row r="12" spans="1:22">
      <c r="L12" s="1794"/>
      <c r="M12" s="381" t="s">
        <v>7</v>
      </c>
      <c r="N12" s="396"/>
      <c r="O12" s="393"/>
      <c r="P12" s="393"/>
      <c r="Q12" s="393"/>
      <c r="R12" s="393"/>
      <c r="S12" s="393"/>
      <c r="T12" s="395"/>
      <c r="U12" s="93" t="e">
        <f>INDEX(Tabel3B[Afnameklanten op MS (∑)],9)</f>
        <v>#DIV/0!</v>
      </c>
      <c r="V12" s="397"/>
    </row>
    <row r="13" spans="1:22">
      <c r="L13" s="1794"/>
      <c r="M13" s="382" t="s">
        <v>8</v>
      </c>
      <c r="N13" s="396"/>
      <c r="O13" s="393"/>
      <c r="P13" s="393"/>
      <c r="Q13" s="393"/>
      <c r="R13" s="393"/>
      <c r="S13" s="393"/>
      <c r="T13" s="395"/>
      <c r="U13" s="93" t="e">
        <f>INDEX(Tabel3B[Afnameklanten op MS (∑)],10)</f>
        <v>#DIV/0!</v>
      </c>
      <c r="V13" s="397"/>
    </row>
    <row r="14" spans="1:22" ht="15" thickBot="1">
      <c r="L14" s="1794"/>
      <c r="M14" s="383" t="s">
        <v>191</v>
      </c>
      <c r="N14" s="396"/>
      <c r="O14" s="393"/>
      <c r="P14" s="393"/>
      <c r="Q14" s="393"/>
      <c r="R14" s="393"/>
      <c r="S14" s="393"/>
      <c r="T14" s="395"/>
      <c r="U14" s="396"/>
      <c r="V14" s="403" t="e">
        <f>INDEX(Tabel3B[Afnameklanten op MS (∑)],8)</f>
        <v>#VALUE!</v>
      </c>
    </row>
    <row r="15" spans="1:22" ht="30" customHeight="1" thickBot="1">
      <c r="L15" s="1794"/>
      <c r="M15" s="212" t="s">
        <v>125</v>
      </c>
      <c r="N15" s="1786"/>
      <c r="O15" s="1787"/>
      <c r="P15" s="1787"/>
      <c r="Q15" s="1787"/>
      <c r="R15" s="1787"/>
      <c r="S15" s="1787"/>
      <c r="T15" s="1788"/>
      <c r="U15" s="384"/>
      <c r="V15" s="385"/>
    </row>
    <row r="16" spans="1:22" ht="30" customHeight="1" thickBot="1">
      <c r="L16" s="1795"/>
      <c r="M16" s="213" t="s">
        <v>131</v>
      </c>
      <c r="N16" s="206"/>
      <c r="O16" s="207"/>
      <c r="P16" s="1785">
        <f>PROCENT_VERHOGING_NA_MAX</f>
        <v>1</v>
      </c>
      <c r="Q16" s="1785"/>
      <c r="R16" s="207"/>
      <c r="S16" s="207"/>
      <c r="T16" s="378"/>
      <c r="U16" s="208"/>
      <c r="V16" s="209"/>
    </row>
    <row r="17" spans="1:25" ht="15" thickBot="1"/>
    <row r="18" spans="1:25" ht="30" customHeight="1" thickBot="1">
      <c r="N18" s="1784" t="s">
        <v>132</v>
      </c>
      <c r="O18" s="1796"/>
      <c r="P18" s="1744" t="s">
        <v>135</v>
      </c>
      <c r="Q18" s="1745"/>
      <c r="R18" s="1789" t="s">
        <v>80</v>
      </c>
      <c r="S18" s="1791" t="s">
        <v>9</v>
      </c>
      <c r="T18" s="1801" t="s">
        <v>81</v>
      </c>
      <c r="U18" s="1797" t="s">
        <v>79</v>
      </c>
      <c r="V18" s="1799" t="s">
        <v>13</v>
      </c>
      <c r="X18" s="1784" t="s">
        <v>133</v>
      </c>
      <c r="Y18" s="1740"/>
    </row>
    <row r="19" spans="1:25" ht="17" thickBot="1">
      <c r="A19" s="572" t="s">
        <v>141</v>
      </c>
      <c r="B19" s="183" t="s">
        <v>102</v>
      </c>
      <c r="C19" s="553" t="s">
        <v>208</v>
      </c>
      <c r="D19" s="185" t="s">
        <v>24</v>
      </c>
      <c r="E19" s="186" t="s">
        <v>105</v>
      </c>
      <c r="F19" s="186" t="s">
        <v>106</v>
      </c>
      <c r="G19" s="186" t="s">
        <v>107</v>
      </c>
      <c r="H19" s="186" t="s">
        <v>323</v>
      </c>
      <c r="I19" s="372" t="s">
        <v>324</v>
      </c>
      <c r="J19" s="372" t="s">
        <v>325</v>
      </c>
      <c r="K19" s="372" t="s">
        <v>326</v>
      </c>
      <c r="L19" s="187" t="s">
        <v>327</v>
      </c>
      <c r="N19" s="188" t="s">
        <v>209</v>
      </c>
      <c r="O19" s="87" t="s">
        <v>142</v>
      </c>
      <c r="P19" s="188" t="s">
        <v>209</v>
      </c>
      <c r="Q19" s="87" t="s">
        <v>142</v>
      </c>
      <c r="R19" s="1790"/>
      <c r="S19" s="1792"/>
      <c r="T19" s="1802"/>
      <c r="U19" s="1798"/>
      <c r="V19" s="1800"/>
      <c r="X19" s="188" t="s">
        <v>125</v>
      </c>
      <c r="Y19" s="189" t="s">
        <v>126</v>
      </c>
    </row>
    <row r="20" spans="1:25">
      <c r="A20" s="728"/>
      <c r="B20" s="729"/>
      <c r="C20" s="730"/>
      <c r="D20" s="732"/>
      <c r="E20" s="733"/>
      <c r="F20" s="733"/>
      <c r="G20" s="733"/>
      <c r="H20" s="733"/>
      <c r="I20" s="734"/>
      <c r="J20" s="734"/>
      <c r="K20" s="734"/>
      <c r="L20" s="735"/>
      <c r="N20" s="748" t="e">
        <f t="shared" ref="N20:N38" si="0">IF($B20="Doorvoer op 26-1kV",FACTOR_DOORVOER,1)*($N$7*$E20+$N$8*$F20)</f>
        <v>#VALUE!</v>
      </c>
      <c r="O20" s="1086" t="e">
        <f t="shared" ref="O20:O38" si="1">IF($B20="Doorvoer op 26-1kV",FACTOR_DOORVOER,1)*($O$9*$G20)</f>
        <v>#VALUE!</v>
      </c>
      <c r="P20" s="750" t="e">
        <f t="shared" ref="P20:P38" si="2">IF($B20="Doorvoer op 26-1kV",FACTOR_DOORVOER,1)*($P$7*$E20+$P$8*$F20)</f>
        <v>#VALUE!</v>
      </c>
      <c r="Q20" s="1087" t="e">
        <f t="shared" ref="Q20:Q38" si="3">IF($B20="Doorvoer op 26-1kV",FACTOR_DOORVOER,1)*($Q$9*$G20)</f>
        <v>#VALUE!</v>
      </c>
      <c r="R20" s="750" t="e">
        <f t="shared" ref="R20:R38" si="4">IF($B20="Doorvoer op 26-1kV",FACTOR_DOORVOER,1)*($R$10*($H20+$I20)+$R$11*$J20)</f>
        <v>#VALUE!</v>
      </c>
      <c r="S20" s="766" t="e">
        <f t="shared" ref="S20:S38" si="5">IF($B20="Doorvoer op 26-1kV",FACTOR_DOORVOER,1)*($S$10*($H20+$I20+$J20))</f>
        <v>#VALUE!</v>
      </c>
      <c r="T20" s="1215" t="e">
        <f t="shared" ref="T20:T38" si="6">IF($B20="Doorvoer op 26-1kV",FACTOR_DOORVOER,1)*$T$10*($H20+$I20+$J20)</f>
        <v>#DIV/0!</v>
      </c>
      <c r="U20" s="749" t="e">
        <f t="shared" ref="U20:U38" si="7">IF($B20="Doorvoer op 26-1kV",FACTOR_DOORVOER,1)*(INDEX($U$12:$U$13,MATCH($D20,$M$12:$M$13,0)))/12</f>
        <v>#N/A</v>
      </c>
      <c r="V20" s="751" t="e">
        <f t="shared" ref="V20:V38" si="8">IF($B20="Doorvoer op 26-1kV",FACTOR_DOORVOER,1)*($V$14*($K20+$L20))</f>
        <v>#VALUE!</v>
      </c>
      <c r="X20" s="762">
        <f t="shared" ref="X20:X38" si="9">IF($B20="Doorvoer op 26-1kV",FACTOR_DOORVOER,1)*$N$15*($H20+$I20+$J20)</f>
        <v>0</v>
      </c>
      <c r="Y20" s="763" t="e">
        <f t="shared" ref="Y20:Y38" si="10">IF($C20="x",0,MAX(SUM($P20,$R20:$T20)-$X20,0))</f>
        <v>#VALUE!</v>
      </c>
    </row>
    <row r="21" spans="1:25">
      <c r="A21" s="736"/>
      <c r="B21" s="616"/>
      <c r="C21" s="737"/>
      <c r="D21" s="738"/>
      <c r="E21" s="739"/>
      <c r="F21" s="739"/>
      <c r="G21" s="739"/>
      <c r="H21" s="739"/>
      <c r="I21" s="740"/>
      <c r="J21" s="740"/>
      <c r="K21" s="740"/>
      <c r="L21" s="741"/>
      <c r="N21" s="758" t="e">
        <f t="shared" si="0"/>
        <v>#VALUE!</v>
      </c>
      <c r="O21" s="753" t="e">
        <f t="shared" si="1"/>
        <v>#VALUE!</v>
      </c>
      <c r="P21" s="754" t="e">
        <f t="shared" si="2"/>
        <v>#VALUE!</v>
      </c>
      <c r="Q21" s="755" t="e">
        <f t="shared" si="3"/>
        <v>#VALUE!</v>
      </c>
      <c r="R21" s="754" t="e">
        <f t="shared" si="4"/>
        <v>#VALUE!</v>
      </c>
      <c r="S21" s="756" t="e">
        <f t="shared" si="5"/>
        <v>#VALUE!</v>
      </c>
      <c r="T21" s="753" t="e">
        <f t="shared" si="6"/>
        <v>#DIV/0!</v>
      </c>
      <c r="U21" s="754" t="e">
        <f t="shared" si="7"/>
        <v>#N/A</v>
      </c>
      <c r="V21" s="757" t="e">
        <f t="shared" si="8"/>
        <v>#VALUE!</v>
      </c>
      <c r="X21" s="758">
        <f t="shared" si="9"/>
        <v>0</v>
      </c>
      <c r="Y21" s="757" t="e">
        <f t="shared" si="10"/>
        <v>#VALUE!</v>
      </c>
    </row>
    <row r="22" spans="1:25">
      <c r="A22" s="736"/>
      <c r="B22" s="616"/>
      <c r="C22" s="737"/>
      <c r="D22" s="738"/>
      <c r="E22" s="739"/>
      <c r="F22" s="739"/>
      <c r="G22" s="739"/>
      <c r="H22" s="739"/>
      <c r="I22" s="740"/>
      <c r="J22" s="740"/>
      <c r="K22" s="740"/>
      <c r="L22" s="741"/>
      <c r="N22" s="758" t="e">
        <f t="shared" si="0"/>
        <v>#VALUE!</v>
      </c>
      <c r="O22" s="753" t="e">
        <f t="shared" si="1"/>
        <v>#VALUE!</v>
      </c>
      <c r="P22" s="754" t="e">
        <f t="shared" si="2"/>
        <v>#VALUE!</v>
      </c>
      <c r="Q22" s="755" t="e">
        <f t="shared" si="3"/>
        <v>#VALUE!</v>
      </c>
      <c r="R22" s="754" t="e">
        <f t="shared" si="4"/>
        <v>#VALUE!</v>
      </c>
      <c r="S22" s="756" t="e">
        <f t="shared" si="5"/>
        <v>#VALUE!</v>
      </c>
      <c r="T22" s="753" t="e">
        <f t="shared" si="6"/>
        <v>#DIV/0!</v>
      </c>
      <c r="U22" s="754" t="e">
        <f t="shared" si="7"/>
        <v>#N/A</v>
      </c>
      <c r="V22" s="757" t="e">
        <f t="shared" si="8"/>
        <v>#VALUE!</v>
      </c>
      <c r="X22" s="758">
        <f t="shared" si="9"/>
        <v>0</v>
      </c>
      <c r="Y22" s="757" t="e">
        <f t="shared" si="10"/>
        <v>#VALUE!</v>
      </c>
    </row>
    <row r="23" spans="1:25">
      <c r="A23" s="736"/>
      <c r="B23" s="616"/>
      <c r="C23" s="737"/>
      <c r="D23" s="738"/>
      <c r="E23" s="739"/>
      <c r="F23" s="739"/>
      <c r="G23" s="739"/>
      <c r="H23" s="739"/>
      <c r="I23" s="740"/>
      <c r="J23" s="740"/>
      <c r="K23" s="740"/>
      <c r="L23" s="741"/>
      <c r="N23" s="758" t="e">
        <f t="shared" si="0"/>
        <v>#VALUE!</v>
      </c>
      <c r="O23" s="753" t="e">
        <f t="shared" si="1"/>
        <v>#VALUE!</v>
      </c>
      <c r="P23" s="754" t="e">
        <f t="shared" si="2"/>
        <v>#VALUE!</v>
      </c>
      <c r="Q23" s="755" t="e">
        <f t="shared" si="3"/>
        <v>#VALUE!</v>
      </c>
      <c r="R23" s="754" t="e">
        <f t="shared" si="4"/>
        <v>#VALUE!</v>
      </c>
      <c r="S23" s="756" t="e">
        <f t="shared" si="5"/>
        <v>#VALUE!</v>
      </c>
      <c r="T23" s="753" t="e">
        <f t="shared" si="6"/>
        <v>#DIV/0!</v>
      </c>
      <c r="U23" s="754" t="e">
        <f t="shared" si="7"/>
        <v>#N/A</v>
      </c>
      <c r="V23" s="757" t="e">
        <f t="shared" si="8"/>
        <v>#VALUE!</v>
      </c>
      <c r="X23" s="758">
        <f t="shared" si="9"/>
        <v>0</v>
      </c>
      <c r="Y23" s="757" t="e">
        <f t="shared" si="10"/>
        <v>#VALUE!</v>
      </c>
    </row>
    <row r="24" spans="1:25">
      <c r="A24" s="736"/>
      <c r="B24" s="616"/>
      <c r="C24" s="737"/>
      <c r="D24" s="738"/>
      <c r="E24" s="739"/>
      <c r="F24" s="739"/>
      <c r="G24" s="739"/>
      <c r="H24" s="739"/>
      <c r="I24" s="740"/>
      <c r="J24" s="740"/>
      <c r="K24" s="740"/>
      <c r="L24" s="741"/>
      <c r="N24" s="758" t="e">
        <f t="shared" si="0"/>
        <v>#VALUE!</v>
      </c>
      <c r="O24" s="753" t="e">
        <f t="shared" si="1"/>
        <v>#VALUE!</v>
      </c>
      <c r="P24" s="754" t="e">
        <f t="shared" si="2"/>
        <v>#VALUE!</v>
      </c>
      <c r="Q24" s="755" t="e">
        <f t="shared" si="3"/>
        <v>#VALUE!</v>
      </c>
      <c r="R24" s="754" t="e">
        <f t="shared" si="4"/>
        <v>#VALUE!</v>
      </c>
      <c r="S24" s="756" t="e">
        <f t="shared" si="5"/>
        <v>#VALUE!</v>
      </c>
      <c r="T24" s="753" t="e">
        <f t="shared" si="6"/>
        <v>#DIV/0!</v>
      </c>
      <c r="U24" s="754" t="e">
        <f t="shared" si="7"/>
        <v>#N/A</v>
      </c>
      <c r="V24" s="757" t="e">
        <f t="shared" si="8"/>
        <v>#VALUE!</v>
      </c>
      <c r="X24" s="758">
        <f t="shared" si="9"/>
        <v>0</v>
      </c>
      <c r="Y24" s="757" t="e">
        <f t="shared" si="10"/>
        <v>#VALUE!</v>
      </c>
    </row>
    <row r="25" spans="1:25">
      <c r="A25" s="736"/>
      <c r="B25" s="616"/>
      <c r="C25" s="737"/>
      <c r="D25" s="738"/>
      <c r="E25" s="739"/>
      <c r="F25" s="739"/>
      <c r="G25" s="739"/>
      <c r="H25" s="739"/>
      <c r="I25" s="740"/>
      <c r="J25" s="740"/>
      <c r="K25" s="740"/>
      <c r="L25" s="741"/>
      <c r="N25" s="758" t="e">
        <f t="shared" si="0"/>
        <v>#VALUE!</v>
      </c>
      <c r="O25" s="753" t="e">
        <f t="shared" si="1"/>
        <v>#VALUE!</v>
      </c>
      <c r="P25" s="754" t="e">
        <f t="shared" si="2"/>
        <v>#VALUE!</v>
      </c>
      <c r="Q25" s="755" t="e">
        <f t="shared" si="3"/>
        <v>#VALUE!</v>
      </c>
      <c r="R25" s="754" t="e">
        <f t="shared" si="4"/>
        <v>#VALUE!</v>
      </c>
      <c r="S25" s="756" t="e">
        <f t="shared" si="5"/>
        <v>#VALUE!</v>
      </c>
      <c r="T25" s="753" t="e">
        <f t="shared" si="6"/>
        <v>#DIV/0!</v>
      </c>
      <c r="U25" s="754" t="e">
        <f t="shared" si="7"/>
        <v>#N/A</v>
      </c>
      <c r="V25" s="757" t="e">
        <f t="shared" si="8"/>
        <v>#VALUE!</v>
      </c>
      <c r="X25" s="758">
        <f t="shared" si="9"/>
        <v>0</v>
      </c>
      <c r="Y25" s="757" t="e">
        <f t="shared" si="10"/>
        <v>#VALUE!</v>
      </c>
    </row>
    <row r="26" spans="1:25">
      <c r="A26" s="736"/>
      <c r="B26" s="616"/>
      <c r="C26" s="737"/>
      <c r="D26" s="738"/>
      <c r="E26" s="739"/>
      <c r="F26" s="739"/>
      <c r="G26" s="739"/>
      <c r="H26" s="739"/>
      <c r="I26" s="740"/>
      <c r="J26" s="740"/>
      <c r="K26" s="740"/>
      <c r="L26" s="741"/>
      <c r="N26" s="758" t="e">
        <f t="shared" si="0"/>
        <v>#VALUE!</v>
      </c>
      <c r="O26" s="753" t="e">
        <f t="shared" si="1"/>
        <v>#VALUE!</v>
      </c>
      <c r="P26" s="754" t="e">
        <f t="shared" si="2"/>
        <v>#VALUE!</v>
      </c>
      <c r="Q26" s="755" t="e">
        <f t="shared" si="3"/>
        <v>#VALUE!</v>
      </c>
      <c r="R26" s="754" t="e">
        <f t="shared" si="4"/>
        <v>#VALUE!</v>
      </c>
      <c r="S26" s="756" t="e">
        <f t="shared" si="5"/>
        <v>#VALUE!</v>
      </c>
      <c r="T26" s="753" t="e">
        <f t="shared" si="6"/>
        <v>#DIV/0!</v>
      </c>
      <c r="U26" s="754" t="e">
        <f t="shared" si="7"/>
        <v>#N/A</v>
      </c>
      <c r="V26" s="757" t="e">
        <f t="shared" si="8"/>
        <v>#VALUE!</v>
      </c>
      <c r="X26" s="758">
        <f t="shared" si="9"/>
        <v>0</v>
      </c>
      <c r="Y26" s="757" t="e">
        <f t="shared" si="10"/>
        <v>#VALUE!</v>
      </c>
    </row>
    <row r="27" spans="1:25">
      <c r="A27" s="736"/>
      <c r="B27" s="616"/>
      <c r="C27" s="737"/>
      <c r="D27" s="738"/>
      <c r="E27" s="739"/>
      <c r="F27" s="739"/>
      <c r="G27" s="739"/>
      <c r="H27" s="739"/>
      <c r="I27" s="740"/>
      <c r="J27" s="740"/>
      <c r="K27" s="740"/>
      <c r="L27" s="741"/>
      <c r="N27" s="758" t="e">
        <f t="shared" si="0"/>
        <v>#VALUE!</v>
      </c>
      <c r="O27" s="753" t="e">
        <f t="shared" si="1"/>
        <v>#VALUE!</v>
      </c>
      <c r="P27" s="754" t="e">
        <f t="shared" si="2"/>
        <v>#VALUE!</v>
      </c>
      <c r="Q27" s="755" t="e">
        <f t="shared" si="3"/>
        <v>#VALUE!</v>
      </c>
      <c r="R27" s="754" t="e">
        <f t="shared" si="4"/>
        <v>#VALUE!</v>
      </c>
      <c r="S27" s="756" t="e">
        <f t="shared" si="5"/>
        <v>#VALUE!</v>
      </c>
      <c r="T27" s="753" t="e">
        <f t="shared" si="6"/>
        <v>#DIV/0!</v>
      </c>
      <c r="U27" s="754" t="e">
        <f t="shared" si="7"/>
        <v>#N/A</v>
      </c>
      <c r="V27" s="757" t="e">
        <f t="shared" si="8"/>
        <v>#VALUE!</v>
      </c>
      <c r="X27" s="758">
        <f t="shared" si="9"/>
        <v>0</v>
      </c>
      <c r="Y27" s="757" t="e">
        <f t="shared" si="10"/>
        <v>#VALUE!</v>
      </c>
    </row>
    <row r="28" spans="1:25">
      <c r="A28" s="736"/>
      <c r="B28" s="616"/>
      <c r="C28" s="737"/>
      <c r="D28" s="738"/>
      <c r="E28" s="739"/>
      <c r="F28" s="739"/>
      <c r="G28" s="739"/>
      <c r="H28" s="739"/>
      <c r="I28" s="740"/>
      <c r="J28" s="740"/>
      <c r="K28" s="740"/>
      <c r="L28" s="741"/>
      <c r="N28" s="758" t="e">
        <f t="shared" si="0"/>
        <v>#VALUE!</v>
      </c>
      <c r="O28" s="753" t="e">
        <f t="shared" si="1"/>
        <v>#VALUE!</v>
      </c>
      <c r="P28" s="754" t="e">
        <f t="shared" si="2"/>
        <v>#VALUE!</v>
      </c>
      <c r="Q28" s="755" t="e">
        <f t="shared" si="3"/>
        <v>#VALUE!</v>
      </c>
      <c r="R28" s="754" t="e">
        <f t="shared" si="4"/>
        <v>#VALUE!</v>
      </c>
      <c r="S28" s="756" t="e">
        <f t="shared" si="5"/>
        <v>#VALUE!</v>
      </c>
      <c r="T28" s="753" t="e">
        <f t="shared" si="6"/>
        <v>#DIV/0!</v>
      </c>
      <c r="U28" s="754" t="e">
        <f t="shared" si="7"/>
        <v>#N/A</v>
      </c>
      <c r="V28" s="757" t="e">
        <f t="shared" si="8"/>
        <v>#VALUE!</v>
      </c>
      <c r="X28" s="758">
        <f t="shared" si="9"/>
        <v>0</v>
      </c>
      <c r="Y28" s="757" t="e">
        <f t="shared" si="10"/>
        <v>#VALUE!</v>
      </c>
    </row>
    <row r="29" spans="1:25">
      <c r="A29" s="736"/>
      <c r="B29" s="616"/>
      <c r="C29" s="737"/>
      <c r="D29" s="738"/>
      <c r="E29" s="739"/>
      <c r="F29" s="739"/>
      <c r="G29" s="739"/>
      <c r="H29" s="739"/>
      <c r="I29" s="740"/>
      <c r="J29" s="740"/>
      <c r="K29" s="740"/>
      <c r="L29" s="741"/>
      <c r="N29" s="758" t="e">
        <f t="shared" si="0"/>
        <v>#VALUE!</v>
      </c>
      <c r="O29" s="753" t="e">
        <f t="shared" si="1"/>
        <v>#VALUE!</v>
      </c>
      <c r="P29" s="754" t="e">
        <f t="shared" si="2"/>
        <v>#VALUE!</v>
      </c>
      <c r="Q29" s="755" t="e">
        <f t="shared" si="3"/>
        <v>#VALUE!</v>
      </c>
      <c r="R29" s="754" t="e">
        <f t="shared" si="4"/>
        <v>#VALUE!</v>
      </c>
      <c r="S29" s="756" t="e">
        <f t="shared" si="5"/>
        <v>#VALUE!</v>
      </c>
      <c r="T29" s="753" t="e">
        <f t="shared" si="6"/>
        <v>#DIV/0!</v>
      </c>
      <c r="U29" s="754" t="e">
        <f t="shared" si="7"/>
        <v>#N/A</v>
      </c>
      <c r="V29" s="757" t="e">
        <f t="shared" si="8"/>
        <v>#VALUE!</v>
      </c>
      <c r="X29" s="758">
        <f t="shared" si="9"/>
        <v>0</v>
      </c>
      <c r="Y29" s="757" t="e">
        <f t="shared" si="10"/>
        <v>#VALUE!</v>
      </c>
    </row>
    <row r="30" spans="1:25">
      <c r="A30" s="736"/>
      <c r="B30" s="616"/>
      <c r="C30" s="737"/>
      <c r="D30" s="738"/>
      <c r="E30" s="739"/>
      <c r="F30" s="739"/>
      <c r="G30" s="739"/>
      <c r="H30" s="739"/>
      <c r="I30" s="740"/>
      <c r="J30" s="740"/>
      <c r="K30" s="740"/>
      <c r="L30" s="741"/>
      <c r="N30" s="758" t="e">
        <f t="shared" si="0"/>
        <v>#VALUE!</v>
      </c>
      <c r="O30" s="753" t="e">
        <f t="shared" si="1"/>
        <v>#VALUE!</v>
      </c>
      <c r="P30" s="754" t="e">
        <f t="shared" si="2"/>
        <v>#VALUE!</v>
      </c>
      <c r="Q30" s="755" t="e">
        <f t="shared" si="3"/>
        <v>#VALUE!</v>
      </c>
      <c r="R30" s="754" t="e">
        <f t="shared" si="4"/>
        <v>#VALUE!</v>
      </c>
      <c r="S30" s="756" t="e">
        <f t="shared" si="5"/>
        <v>#VALUE!</v>
      </c>
      <c r="T30" s="753" t="e">
        <f t="shared" si="6"/>
        <v>#DIV/0!</v>
      </c>
      <c r="U30" s="754" t="e">
        <f t="shared" si="7"/>
        <v>#N/A</v>
      </c>
      <c r="V30" s="757" t="e">
        <f t="shared" si="8"/>
        <v>#VALUE!</v>
      </c>
      <c r="X30" s="758">
        <f t="shared" si="9"/>
        <v>0</v>
      </c>
      <c r="Y30" s="757" t="e">
        <f t="shared" si="10"/>
        <v>#VALUE!</v>
      </c>
    </row>
    <row r="31" spans="1:25">
      <c r="A31" s="736"/>
      <c r="B31" s="616"/>
      <c r="C31" s="737"/>
      <c r="D31" s="738"/>
      <c r="E31" s="739"/>
      <c r="F31" s="739"/>
      <c r="G31" s="739"/>
      <c r="H31" s="739"/>
      <c r="I31" s="740"/>
      <c r="J31" s="740"/>
      <c r="K31" s="740"/>
      <c r="L31" s="741"/>
      <c r="N31" s="758" t="e">
        <f t="shared" si="0"/>
        <v>#VALUE!</v>
      </c>
      <c r="O31" s="753" t="e">
        <f t="shared" si="1"/>
        <v>#VALUE!</v>
      </c>
      <c r="P31" s="754" t="e">
        <f t="shared" si="2"/>
        <v>#VALUE!</v>
      </c>
      <c r="Q31" s="755" t="e">
        <f t="shared" si="3"/>
        <v>#VALUE!</v>
      </c>
      <c r="R31" s="754" t="e">
        <f t="shared" si="4"/>
        <v>#VALUE!</v>
      </c>
      <c r="S31" s="756" t="e">
        <f t="shared" si="5"/>
        <v>#VALUE!</v>
      </c>
      <c r="T31" s="753" t="e">
        <f t="shared" si="6"/>
        <v>#DIV/0!</v>
      </c>
      <c r="U31" s="754" t="e">
        <f t="shared" si="7"/>
        <v>#N/A</v>
      </c>
      <c r="V31" s="757" t="e">
        <f t="shared" si="8"/>
        <v>#VALUE!</v>
      </c>
      <c r="X31" s="758">
        <f t="shared" si="9"/>
        <v>0</v>
      </c>
      <c r="Y31" s="757" t="e">
        <f t="shared" si="10"/>
        <v>#VALUE!</v>
      </c>
    </row>
    <row r="32" spans="1:25">
      <c r="A32" s="736"/>
      <c r="B32" s="616"/>
      <c r="C32" s="737"/>
      <c r="D32" s="738"/>
      <c r="E32" s="739"/>
      <c r="F32" s="739"/>
      <c r="G32" s="739"/>
      <c r="H32" s="739"/>
      <c r="I32" s="740"/>
      <c r="J32" s="740"/>
      <c r="K32" s="740"/>
      <c r="L32" s="741"/>
      <c r="N32" s="758" t="e">
        <f t="shared" si="0"/>
        <v>#VALUE!</v>
      </c>
      <c r="O32" s="753" t="e">
        <f t="shared" si="1"/>
        <v>#VALUE!</v>
      </c>
      <c r="P32" s="754" t="e">
        <f t="shared" si="2"/>
        <v>#VALUE!</v>
      </c>
      <c r="Q32" s="755" t="e">
        <f t="shared" si="3"/>
        <v>#VALUE!</v>
      </c>
      <c r="R32" s="754" t="e">
        <f t="shared" si="4"/>
        <v>#VALUE!</v>
      </c>
      <c r="S32" s="756" t="e">
        <f t="shared" si="5"/>
        <v>#VALUE!</v>
      </c>
      <c r="T32" s="753" t="e">
        <f t="shared" si="6"/>
        <v>#DIV/0!</v>
      </c>
      <c r="U32" s="754" t="e">
        <f t="shared" si="7"/>
        <v>#N/A</v>
      </c>
      <c r="V32" s="757" t="e">
        <f t="shared" si="8"/>
        <v>#VALUE!</v>
      </c>
      <c r="X32" s="758">
        <f t="shared" si="9"/>
        <v>0</v>
      </c>
      <c r="Y32" s="757" t="e">
        <f t="shared" si="10"/>
        <v>#VALUE!</v>
      </c>
    </row>
    <row r="33" spans="1:25">
      <c r="A33" s="736"/>
      <c r="B33" s="616"/>
      <c r="C33" s="737"/>
      <c r="D33" s="738"/>
      <c r="E33" s="739"/>
      <c r="F33" s="739"/>
      <c r="G33" s="739"/>
      <c r="H33" s="739"/>
      <c r="I33" s="740"/>
      <c r="J33" s="740"/>
      <c r="K33" s="740"/>
      <c r="L33" s="741"/>
      <c r="N33" s="758" t="e">
        <f t="shared" si="0"/>
        <v>#VALUE!</v>
      </c>
      <c r="O33" s="753" t="e">
        <f t="shared" si="1"/>
        <v>#VALUE!</v>
      </c>
      <c r="P33" s="754" t="e">
        <f t="shared" si="2"/>
        <v>#VALUE!</v>
      </c>
      <c r="Q33" s="755" t="e">
        <f t="shared" si="3"/>
        <v>#VALUE!</v>
      </c>
      <c r="R33" s="754" t="e">
        <f t="shared" si="4"/>
        <v>#VALUE!</v>
      </c>
      <c r="S33" s="756" t="e">
        <f t="shared" si="5"/>
        <v>#VALUE!</v>
      </c>
      <c r="T33" s="753" t="e">
        <f t="shared" si="6"/>
        <v>#DIV/0!</v>
      </c>
      <c r="U33" s="754" t="e">
        <f t="shared" si="7"/>
        <v>#N/A</v>
      </c>
      <c r="V33" s="757" t="e">
        <f t="shared" si="8"/>
        <v>#VALUE!</v>
      </c>
      <c r="X33" s="758">
        <f t="shared" si="9"/>
        <v>0</v>
      </c>
      <c r="Y33" s="757" t="e">
        <f t="shared" si="10"/>
        <v>#VALUE!</v>
      </c>
    </row>
    <row r="34" spans="1:25">
      <c r="A34" s="736"/>
      <c r="B34" s="616"/>
      <c r="C34" s="737"/>
      <c r="D34" s="738"/>
      <c r="E34" s="739"/>
      <c r="F34" s="739"/>
      <c r="G34" s="739"/>
      <c r="H34" s="739"/>
      <c r="I34" s="740"/>
      <c r="J34" s="740"/>
      <c r="K34" s="740"/>
      <c r="L34" s="741"/>
      <c r="N34" s="758" t="e">
        <f t="shared" si="0"/>
        <v>#VALUE!</v>
      </c>
      <c r="O34" s="753" t="e">
        <f t="shared" si="1"/>
        <v>#VALUE!</v>
      </c>
      <c r="P34" s="754" t="e">
        <f t="shared" si="2"/>
        <v>#VALUE!</v>
      </c>
      <c r="Q34" s="755" t="e">
        <f t="shared" si="3"/>
        <v>#VALUE!</v>
      </c>
      <c r="R34" s="754" t="e">
        <f t="shared" si="4"/>
        <v>#VALUE!</v>
      </c>
      <c r="S34" s="756" t="e">
        <f t="shared" si="5"/>
        <v>#VALUE!</v>
      </c>
      <c r="T34" s="753" t="e">
        <f t="shared" si="6"/>
        <v>#DIV/0!</v>
      </c>
      <c r="U34" s="754" t="e">
        <f t="shared" si="7"/>
        <v>#N/A</v>
      </c>
      <c r="V34" s="757" t="e">
        <f t="shared" si="8"/>
        <v>#VALUE!</v>
      </c>
      <c r="X34" s="758">
        <f t="shared" si="9"/>
        <v>0</v>
      </c>
      <c r="Y34" s="757" t="e">
        <f t="shared" si="10"/>
        <v>#VALUE!</v>
      </c>
    </row>
    <row r="35" spans="1:25">
      <c r="A35" s="736"/>
      <c r="B35" s="616"/>
      <c r="C35" s="737"/>
      <c r="D35" s="738"/>
      <c r="E35" s="739"/>
      <c r="F35" s="739"/>
      <c r="G35" s="739"/>
      <c r="H35" s="739"/>
      <c r="I35" s="740"/>
      <c r="J35" s="740"/>
      <c r="K35" s="740"/>
      <c r="L35" s="741"/>
      <c r="N35" s="758" t="e">
        <f t="shared" si="0"/>
        <v>#VALUE!</v>
      </c>
      <c r="O35" s="753" t="e">
        <f t="shared" si="1"/>
        <v>#VALUE!</v>
      </c>
      <c r="P35" s="754" t="e">
        <f t="shared" si="2"/>
        <v>#VALUE!</v>
      </c>
      <c r="Q35" s="755" t="e">
        <f t="shared" si="3"/>
        <v>#VALUE!</v>
      </c>
      <c r="R35" s="754" t="e">
        <f t="shared" si="4"/>
        <v>#VALUE!</v>
      </c>
      <c r="S35" s="756" t="e">
        <f t="shared" si="5"/>
        <v>#VALUE!</v>
      </c>
      <c r="T35" s="753" t="e">
        <f t="shared" si="6"/>
        <v>#DIV/0!</v>
      </c>
      <c r="U35" s="754" t="e">
        <f t="shared" si="7"/>
        <v>#N/A</v>
      </c>
      <c r="V35" s="757" t="e">
        <f t="shared" si="8"/>
        <v>#VALUE!</v>
      </c>
      <c r="X35" s="758">
        <f t="shared" si="9"/>
        <v>0</v>
      </c>
      <c r="Y35" s="757" t="e">
        <f t="shared" si="10"/>
        <v>#VALUE!</v>
      </c>
    </row>
    <row r="36" spans="1:25">
      <c r="A36" s="736"/>
      <c r="B36" s="616"/>
      <c r="C36" s="737"/>
      <c r="D36" s="738"/>
      <c r="E36" s="739"/>
      <c r="F36" s="739"/>
      <c r="G36" s="739"/>
      <c r="H36" s="739"/>
      <c r="I36" s="740"/>
      <c r="J36" s="740"/>
      <c r="K36" s="740"/>
      <c r="L36" s="741"/>
      <c r="N36" s="758" t="e">
        <f t="shared" si="0"/>
        <v>#VALUE!</v>
      </c>
      <c r="O36" s="753" t="e">
        <f t="shared" si="1"/>
        <v>#VALUE!</v>
      </c>
      <c r="P36" s="754" t="e">
        <f t="shared" si="2"/>
        <v>#VALUE!</v>
      </c>
      <c r="Q36" s="755" t="e">
        <f t="shared" si="3"/>
        <v>#VALUE!</v>
      </c>
      <c r="R36" s="754" t="e">
        <f t="shared" si="4"/>
        <v>#VALUE!</v>
      </c>
      <c r="S36" s="756" t="e">
        <f t="shared" si="5"/>
        <v>#VALUE!</v>
      </c>
      <c r="T36" s="753" t="e">
        <f t="shared" si="6"/>
        <v>#DIV/0!</v>
      </c>
      <c r="U36" s="754" t="e">
        <f t="shared" si="7"/>
        <v>#N/A</v>
      </c>
      <c r="V36" s="757" t="e">
        <f t="shared" si="8"/>
        <v>#VALUE!</v>
      </c>
      <c r="X36" s="758">
        <f t="shared" si="9"/>
        <v>0</v>
      </c>
      <c r="Y36" s="757" t="e">
        <f t="shared" si="10"/>
        <v>#VALUE!</v>
      </c>
    </row>
    <row r="37" spans="1:25">
      <c r="A37" s="736"/>
      <c r="B37" s="616"/>
      <c r="C37" s="737"/>
      <c r="D37" s="738"/>
      <c r="E37" s="739"/>
      <c r="F37" s="739"/>
      <c r="G37" s="739"/>
      <c r="H37" s="739"/>
      <c r="I37" s="740"/>
      <c r="J37" s="740"/>
      <c r="K37" s="740"/>
      <c r="L37" s="741"/>
      <c r="N37" s="758" t="e">
        <f t="shared" si="0"/>
        <v>#VALUE!</v>
      </c>
      <c r="O37" s="753" t="e">
        <f t="shared" si="1"/>
        <v>#VALUE!</v>
      </c>
      <c r="P37" s="754" t="e">
        <f t="shared" si="2"/>
        <v>#VALUE!</v>
      </c>
      <c r="Q37" s="755" t="e">
        <f t="shared" si="3"/>
        <v>#VALUE!</v>
      </c>
      <c r="R37" s="754" t="e">
        <f t="shared" si="4"/>
        <v>#VALUE!</v>
      </c>
      <c r="S37" s="756" t="e">
        <f t="shared" si="5"/>
        <v>#VALUE!</v>
      </c>
      <c r="T37" s="753" t="e">
        <f t="shared" si="6"/>
        <v>#DIV/0!</v>
      </c>
      <c r="U37" s="754" t="e">
        <f t="shared" si="7"/>
        <v>#N/A</v>
      </c>
      <c r="V37" s="757" t="e">
        <f t="shared" si="8"/>
        <v>#VALUE!</v>
      </c>
      <c r="X37" s="758">
        <f t="shared" si="9"/>
        <v>0</v>
      </c>
      <c r="Y37" s="757" t="e">
        <f t="shared" si="10"/>
        <v>#VALUE!</v>
      </c>
    </row>
    <row r="38" spans="1:25" ht="15" thickBot="1">
      <c r="A38" s="742"/>
      <c r="B38" s="619"/>
      <c r="C38" s="743"/>
      <c r="D38" s="744"/>
      <c r="E38" s="745"/>
      <c r="F38" s="745"/>
      <c r="G38" s="745"/>
      <c r="H38" s="745"/>
      <c r="I38" s="746"/>
      <c r="J38" s="746"/>
      <c r="K38" s="746"/>
      <c r="L38" s="747"/>
      <c r="N38" s="760" t="e">
        <f t="shared" si="0"/>
        <v>#VALUE!</v>
      </c>
      <c r="O38" s="767" t="e">
        <f t="shared" si="1"/>
        <v>#VALUE!</v>
      </c>
      <c r="P38" s="761" t="e">
        <f t="shared" si="2"/>
        <v>#VALUE!</v>
      </c>
      <c r="Q38" s="835" t="e">
        <f t="shared" si="3"/>
        <v>#VALUE!</v>
      </c>
      <c r="R38" s="761" t="e">
        <f t="shared" si="4"/>
        <v>#VALUE!</v>
      </c>
      <c r="S38" s="836" t="e">
        <f t="shared" si="5"/>
        <v>#VALUE!</v>
      </c>
      <c r="T38" s="767" t="e">
        <f t="shared" si="6"/>
        <v>#DIV/0!</v>
      </c>
      <c r="U38" s="761" t="e">
        <f t="shared" si="7"/>
        <v>#N/A</v>
      </c>
      <c r="V38" s="764" t="e">
        <f t="shared" si="8"/>
        <v>#VALUE!</v>
      </c>
      <c r="X38" s="760">
        <f t="shared" si="9"/>
        <v>0</v>
      </c>
      <c r="Y38" s="764" t="e">
        <f t="shared" si="10"/>
        <v>#VALUE!</v>
      </c>
    </row>
    <row r="39" spans="1:25">
      <c r="A39" s="220"/>
      <c r="B39" s="566" t="s">
        <v>128</v>
      </c>
      <c r="C39" s="131"/>
      <c r="D39" s="191">
        <f>COUNTIFS($B$20:$B$38,$B39)</f>
        <v>0</v>
      </c>
      <c r="E39" s="192">
        <f t="shared" ref="E39:L41" si="11">SUMIFS(E$20:E$38,$B$20:$B$38,$B39)</f>
        <v>0</v>
      </c>
      <c r="F39" s="192">
        <f t="shared" si="11"/>
        <v>0</v>
      </c>
      <c r="G39" s="192">
        <f t="shared" si="11"/>
        <v>0</v>
      </c>
      <c r="H39" s="192">
        <f t="shared" si="11"/>
        <v>0</v>
      </c>
      <c r="I39" s="373">
        <f t="shared" si="11"/>
        <v>0</v>
      </c>
      <c r="J39" s="373">
        <f t="shared" si="11"/>
        <v>0</v>
      </c>
      <c r="K39" s="373">
        <f t="shared" si="11"/>
        <v>0</v>
      </c>
      <c r="L39" s="193">
        <f t="shared" si="11"/>
        <v>0</v>
      </c>
      <c r="N39" s="214">
        <f t="shared" ref="N39:V41" si="12">SUMIFS(N$20:N$38,$B$20:$B$38,$B39)</f>
        <v>0</v>
      </c>
      <c r="O39" s="215">
        <f t="shared" si="12"/>
        <v>0</v>
      </c>
      <c r="P39" s="89">
        <f t="shared" si="12"/>
        <v>0</v>
      </c>
      <c r="Q39" s="91">
        <f>SUMIFS(Q$20:Q$38,$B$20:$B$38,$B39)</f>
        <v>0</v>
      </c>
      <c r="R39" s="89">
        <f t="shared" si="12"/>
        <v>0</v>
      </c>
      <c r="S39" s="90">
        <f t="shared" si="12"/>
        <v>0</v>
      </c>
      <c r="T39" s="90">
        <f t="shared" si="12"/>
        <v>0</v>
      </c>
      <c r="U39" s="89">
        <f t="shared" si="12"/>
        <v>0</v>
      </c>
      <c r="V39" s="194">
        <f t="shared" si="12"/>
        <v>0</v>
      </c>
      <c r="X39" s="214"/>
      <c r="Y39" s="194">
        <f>SUMIFS(Y$20:Y$38,$B$20:$B$38,$B39)</f>
        <v>0</v>
      </c>
    </row>
    <row r="40" spans="1:25">
      <c r="A40" s="404"/>
      <c r="B40" s="377" t="s">
        <v>260</v>
      </c>
      <c r="C40" s="290"/>
      <c r="D40" s="406">
        <f>COUNTIFS($B$20:$B$38,$B40)</f>
        <v>0</v>
      </c>
      <c r="E40" s="407">
        <f t="shared" si="11"/>
        <v>0</v>
      </c>
      <c r="F40" s="407">
        <f t="shared" si="11"/>
        <v>0</v>
      </c>
      <c r="G40" s="407">
        <f t="shared" si="11"/>
        <v>0</v>
      </c>
      <c r="H40" s="407">
        <f t="shared" si="11"/>
        <v>0</v>
      </c>
      <c r="I40" s="408">
        <f t="shared" si="11"/>
        <v>0</v>
      </c>
      <c r="J40" s="408">
        <f t="shared" si="11"/>
        <v>0</v>
      </c>
      <c r="K40" s="408">
        <f t="shared" si="11"/>
        <v>0</v>
      </c>
      <c r="L40" s="409">
        <f t="shared" si="11"/>
        <v>0</v>
      </c>
      <c r="N40" s="410">
        <f t="shared" si="12"/>
        <v>0</v>
      </c>
      <c r="O40" s="411">
        <f t="shared" si="12"/>
        <v>0</v>
      </c>
      <c r="P40" s="567">
        <f t="shared" si="12"/>
        <v>0</v>
      </c>
      <c r="Q40" s="568">
        <f t="shared" si="12"/>
        <v>0</v>
      </c>
      <c r="R40" s="567">
        <f t="shared" si="12"/>
        <v>0</v>
      </c>
      <c r="S40" s="412">
        <f t="shared" si="12"/>
        <v>0</v>
      </c>
      <c r="T40" s="412">
        <f t="shared" si="12"/>
        <v>0</v>
      </c>
      <c r="U40" s="567">
        <f t="shared" si="12"/>
        <v>0</v>
      </c>
      <c r="V40" s="413">
        <f t="shared" si="12"/>
        <v>0</v>
      </c>
      <c r="X40" s="410"/>
      <c r="Y40" s="413">
        <f>SUMIFS(Y$20:Y$38,$B$20:$B$38,$B40)</f>
        <v>0</v>
      </c>
    </row>
    <row r="41" spans="1:25" ht="15" thickBot="1">
      <c r="A41" s="219"/>
      <c r="B41" s="218" t="s">
        <v>261</v>
      </c>
      <c r="C41" s="552"/>
      <c r="D41" s="197">
        <f>COUNTIFS($B$20:$B$38,$B41)</f>
        <v>0</v>
      </c>
      <c r="E41" s="198">
        <f t="shared" si="11"/>
        <v>0</v>
      </c>
      <c r="F41" s="198">
        <f t="shared" si="11"/>
        <v>0</v>
      </c>
      <c r="G41" s="198">
        <f t="shared" si="11"/>
        <v>0</v>
      </c>
      <c r="H41" s="198">
        <f t="shared" si="11"/>
        <v>0</v>
      </c>
      <c r="I41" s="374">
        <f t="shared" si="11"/>
        <v>0</v>
      </c>
      <c r="J41" s="374">
        <f t="shared" si="11"/>
        <v>0</v>
      </c>
      <c r="K41" s="374">
        <f t="shared" si="11"/>
        <v>0</v>
      </c>
      <c r="L41" s="199">
        <f t="shared" si="11"/>
        <v>0</v>
      </c>
      <c r="N41" s="200">
        <f t="shared" si="12"/>
        <v>0</v>
      </c>
      <c r="O41" s="201">
        <f t="shared" si="12"/>
        <v>0</v>
      </c>
      <c r="P41" s="96">
        <f t="shared" si="12"/>
        <v>0</v>
      </c>
      <c r="Q41" s="98">
        <f t="shared" si="12"/>
        <v>0</v>
      </c>
      <c r="R41" s="96">
        <f t="shared" si="12"/>
        <v>0</v>
      </c>
      <c r="S41" s="97">
        <f t="shared" si="12"/>
        <v>0</v>
      </c>
      <c r="T41" s="97">
        <f t="shared" si="12"/>
        <v>0</v>
      </c>
      <c r="U41" s="96">
        <f t="shared" si="12"/>
        <v>0</v>
      </c>
      <c r="V41" s="202">
        <f t="shared" si="12"/>
        <v>0</v>
      </c>
      <c r="X41" s="200"/>
      <c r="Y41" s="202">
        <f>SUMIFS(Y$20:Y$38,$B$20:$B$38,$B41)</f>
        <v>0</v>
      </c>
    </row>
    <row r="42" spans="1:25" ht="15" thickBot="1">
      <c r="A42" s="1781" t="s">
        <v>11</v>
      </c>
      <c r="B42" s="1782"/>
      <c r="C42" s="1783"/>
      <c r="D42" s="216">
        <f>COUNT(D$20:D$38)</f>
        <v>0</v>
      </c>
      <c r="E42" s="217">
        <f t="shared" ref="E42:L42" si="13">SUM(E$20:E$38)</f>
        <v>0</v>
      </c>
      <c r="F42" s="217">
        <f t="shared" si="13"/>
        <v>0</v>
      </c>
      <c r="G42" s="217">
        <f t="shared" si="13"/>
        <v>0</v>
      </c>
      <c r="H42" s="217">
        <f t="shared" si="13"/>
        <v>0</v>
      </c>
      <c r="I42" s="375">
        <f t="shared" si="13"/>
        <v>0</v>
      </c>
      <c r="J42" s="375">
        <f t="shared" si="13"/>
        <v>0</v>
      </c>
      <c r="K42" s="375">
        <f t="shared" si="13"/>
        <v>0</v>
      </c>
      <c r="L42" s="203">
        <f t="shared" si="13"/>
        <v>0</v>
      </c>
      <c r="N42" s="204" t="e">
        <f>SUBTOTAL(109,N$20:N$38)</f>
        <v>#VALUE!</v>
      </c>
      <c r="O42" s="99" t="e">
        <f>SUBTOTAL(109,O$20:O$38)</f>
        <v>#VALUE!</v>
      </c>
      <c r="P42" s="100" t="e">
        <f t="shared" ref="P42:V42" si="14">SUBTOTAL(109,P$20:P$38)</f>
        <v>#VALUE!</v>
      </c>
      <c r="Q42" s="102" t="e">
        <f t="shared" ref="Q42:U42" si="15">SUBTOTAL(109,Q$20:Q$38)</f>
        <v>#VALUE!</v>
      </c>
      <c r="R42" s="371" t="e">
        <f t="shared" si="15"/>
        <v>#VALUE!</v>
      </c>
      <c r="S42" s="101" t="e">
        <f t="shared" si="15"/>
        <v>#VALUE!</v>
      </c>
      <c r="T42" s="101" t="e">
        <f t="shared" si="15"/>
        <v>#DIV/0!</v>
      </c>
      <c r="U42" s="371" t="e">
        <f t="shared" si="15"/>
        <v>#N/A</v>
      </c>
      <c r="V42" s="205" t="e">
        <f t="shared" si="14"/>
        <v>#VALUE!</v>
      </c>
      <c r="X42" s="204"/>
      <c r="Y42" s="205" t="e">
        <f>SUBTOTAL(109,Y$20:Y$38)</f>
        <v>#VALUE!</v>
      </c>
    </row>
  </sheetData>
  <sheetProtection algorithmName="SHA-512" hashValue="zqPsgDheCdenPr/yINGpbipP4fE0VOsG3MGneAbyu7jsyADFnVG6hQ9UBiXogluxHpvU9YBd/dZgBk1qGgmGkw==" saltValue="0f9UxuLNMLwItP/yC3A4MA==" spinCount="100000" sheet="1" objects="1" scenarios="1" insertRows="0" deleteRows="0" sort="0" autoFilter="0"/>
  <autoFilter ref="A19:Y19" xr:uid="{8BD703B0-6FFD-4543-A8E4-C3860B7BFDAE}"/>
  <mergeCells count="14">
    <mergeCell ref="U18:U19"/>
    <mergeCell ref="V18:V19"/>
    <mergeCell ref="X18:Y18"/>
    <mergeCell ref="A42:C42"/>
    <mergeCell ref="A1:V1"/>
    <mergeCell ref="D4:E4"/>
    <mergeCell ref="L7:L16"/>
    <mergeCell ref="N15:T15"/>
    <mergeCell ref="P16:Q16"/>
    <mergeCell ref="N18:O18"/>
    <mergeCell ref="P18:Q18"/>
    <mergeCell ref="R18:R19"/>
    <mergeCell ref="S18:S19"/>
    <mergeCell ref="T18:T19"/>
  </mergeCells>
  <dataValidations count="3">
    <dataValidation type="list" allowBlank="1" showInputMessage="1" showErrorMessage="1" sqref="D20:D38" xr:uid="{D8504A52-BEF5-4E28-A935-101FE55D7276}">
      <formula1>"AMR,MMR,DM - MR1,DM - MR3,KM"</formula1>
    </dataValidation>
    <dataValidation type="list" allowBlank="1" showInputMessage="1" showErrorMessage="1" sqref="B20:B38" xr:uid="{8E91284F-0579-4515-822B-7976F6DFD629}">
      <formula1>$B$39:$B$41</formula1>
    </dataValidation>
    <dataValidation type="list" allowBlank="1" showInputMessage="1" showErrorMessage="1" sqref="C20:C38" xr:uid="{C20C462F-1908-4FCE-9AA6-0144A5D1708F}">
      <formula1>"x"</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D86C0-9B85-4643-8DDC-AB92814F8E8E}">
  <sheetPr published="0"/>
  <dimension ref="A1:Y40"/>
  <sheetViews>
    <sheetView workbookViewId="0">
      <selection activeCell="D4" sqref="D4:E4"/>
    </sheetView>
  </sheetViews>
  <sheetFormatPr defaultColWidth="20.7265625" defaultRowHeight="14.5"/>
  <cols>
    <col min="1" max="1" width="20.7265625" style="70"/>
    <col min="2" max="2" width="25.81640625" style="70" customWidth="1"/>
    <col min="3" max="22" width="20.7265625" style="70"/>
    <col min="23" max="23" width="5.7265625" style="70" customWidth="1"/>
    <col min="24" max="16384" width="20.7265625" style="70"/>
  </cols>
  <sheetData>
    <row r="1" spans="1:22" ht="30" customHeight="1" thickBot="1">
      <c r="A1" s="1713" t="s">
        <v>330</v>
      </c>
      <c r="B1" s="1714"/>
      <c r="C1" s="1714"/>
      <c r="D1" s="1714"/>
      <c r="E1" s="1714"/>
      <c r="F1" s="1714"/>
      <c r="G1" s="1714"/>
      <c r="H1" s="1714"/>
      <c r="I1" s="1714"/>
      <c r="J1" s="1714"/>
      <c r="K1" s="1714"/>
      <c r="L1" s="1714"/>
      <c r="M1" s="1714"/>
      <c r="N1" s="1714"/>
      <c r="O1" s="1714"/>
      <c r="P1" s="1714"/>
      <c r="Q1" s="1714"/>
      <c r="R1" s="1714"/>
      <c r="S1" s="1714"/>
      <c r="T1" s="1714"/>
      <c r="U1" s="1714"/>
      <c r="V1" s="1780"/>
    </row>
    <row r="2" spans="1:22">
      <c r="B2" s="634"/>
      <c r="C2" s="634"/>
      <c r="D2" s="634"/>
      <c r="E2" s="634"/>
      <c r="F2" s="634"/>
      <c r="G2" s="634"/>
      <c r="H2" s="634"/>
      <c r="I2" s="634"/>
      <c r="J2" s="634"/>
      <c r="K2" s="634"/>
      <c r="L2" s="634"/>
      <c r="M2" s="634"/>
      <c r="N2" s="634"/>
      <c r="O2" s="634"/>
    </row>
    <row r="3" spans="1:22" ht="15" thickBot="1">
      <c r="B3" s="634"/>
      <c r="C3" s="634"/>
      <c r="D3" s="634"/>
      <c r="E3" s="634"/>
      <c r="F3" s="634"/>
      <c r="G3" s="634"/>
      <c r="H3" s="634"/>
      <c r="I3" s="634"/>
      <c r="J3" s="634"/>
      <c r="K3" s="634"/>
      <c r="L3" s="634"/>
      <c r="M3" s="634"/>
      <c r="N3" s="634"/>
      <c r="O3" s="634"/>
    </row>
    <row r="4" spans="1:22" ht="15" thickBot="1">
      <c r="B4" s="129" t="s">
        <v>6</v>
      </c>
      <c r="C4" s="168"/>
      <c r="D4" s="1706" t="str">
        <f>DNB</f>
        <v>Naam distributienetbeheerder</v>
      </c>
      <c r="E4" s="1708"/>
      <c r="J4" s="168"/>
      <c r="K4" s="168"/>
      <c r="N4" s="634"/>
      <c r="O4" s="634"/>
    </row>
    <row r="6" spans="1:22" ht="15" thickBot="1"/>
    <row r="7" spans="1:22" ht="16.5">
      <c r="L7" s="1812" t="s">
        <v>147</v>
      </c>
      <c r="M7" s="768" t="s">
        <v>105</v>
      </c>
      <c r="N7" s="769" t="e">
        <f>INDEX(Tabel3B[Afnameklanten op TRLS (∑)],1)</f>
        <v>#VALUE!</v>
      </c>
      <c r="O7" s="770"/>
      <c r="P7" s="1589" t="e">
        <f>$N$7*$P$16</f>
        <v>#VALUE!</v>
      </c>
      <c r="Q7" s="770"/>
      <c r="R7" s="770"/>
      <c r="S7" s="770"/>
      <c r="T7" s="771"/>
      <c r="U7" s="772"/>
      <c r="V7" s="773"/>
    </row>
    <row r="8" spans="1:22" ht="16.5">
      <c r="L8" s="1813"/>
      <c r="M8" s="774" t="s">
        <v>106</v>
      </c>
      <c r="N8" s="775" t="e">
        <f>INDEX(Tabel3B[Afnameklanten op TRLS (∑)],2)</f>
        <v>#VALUE!</v>
      </c>
      <c r="O8" s="776"/>
      <c r="P8" s="780" t="e">
        <f>$N$8*$P$16</f>
        <v>#VALUE!</v>
      </c>
      <c r="Q8" s="776"/>
      <c r="R8" s="776"/>
      <c r="S8" s="776"/>
      <c r="T8" s="777"/>
      <c r="U8" s="778"/>
      <c r="V8" s="779"/>
    </row>
    <row r="9" spans="1:22" ht="16.5">
      <c r="L9" s="1813"/>
      <c r="M9" s="774" t="s">
        <v>107</v>
      </c>
      <c r="N9" s="778"/>
      <c r="O9" s="780" t="e">
        <f>INDEX(Tabel3B[Afnameklanten op TRLS (∑)],3)</f>
        <v>#VALUE!</v>
      </c>
      <c r="P9" s="776"/>
      <c r="Q9" s="780" t="e">
        <f>$O$9*$P$16</f>
        <v>#VALUE!</v>
      </c>
      <c r="R9" s="776"/>
      <c r="S9" s="776"/>
      <c r="T9" s="777"/>
      <c r="U9" s="778"/>
      <c r="V9" s="779"/>
    </row>
    <row r="10" spans="1:22" ht="16.5">
      <c r="L10" s="1813"/>
      <c r="M10" s="774" t="s">
        <v>110</v>
      </c>
      <c r="N10" s="781"/>
      <c r="O10" s="782"/>
      <c r="P10" s="782"/>
      <c r="Q10" s="782"/>
      <c r="R10" s="783" t="e">
        <f>INDEX(Tabel3B[Afnameklanten op TRLS (∑)],15)</f>
        <v>#VALUE!</v>
      </c>
      <c r="S10" s="783" t="e">
        <f>INDEX(Tabel3B[Afnameklanten op TRLS (∑)],17)</f>
        <v>#VALUE!</v>
      </c>
      <c r="T10" s="784" t="e">
        <f>INDEX(Tabel3B[Afnameklanten op TRLS (∑)],18)</f>
        <v>#DIV/0!</v>
      </c>
      <c r="U10" s="778"/>
      <c r="V10" s="779"/>
    </row>
    <row r="11" spans="1:22" ht="16.5">
      <c r="L11" s="1813"/>
      <c r="M11" s="774" t="s">
        <v>212</v>
      </c>
      <c r="N11" s="781"/>
      <c r="O11" s="782"/>
      <c r="P11" s="782"/>
      <c r="Q11" s="782"/>
      <c r="R11" s="783" t="e">
        <f>INDEX(Tabel3B[Afnameklanten op TRLS (∑)],16)</f>
        <v>#VALUE!</v>
      </c>
      <c r="S11" s="782"/>
      <c r="T11" s="785"/>
      <c r="U11" s="778"/>
      <c r="V11" s="779"/>
    </row>
    <row r="12" spans="1:22">
      <c r="L12" s="1813"/>
      <c r="M12" s="786" t="s">
        <v>7</v>
      </c>
      <c r="N12" s="778"/>
      <c r="O12" s="776"/>
      <c r="P12" s="776"/>
      <c r="Q12" s="776"/>
      <c r="R12" s="776"/>
      <c r="S12" s="776"/>
      <c r="T12" s="777"/>
      <c r="U12" s="787" t="e">
        <f>INDEX(Tabel3B[Afnameklanten op TRLS (∑)],9)</f>
        <v>#DIV/0!</v>
      </c>
      <c r="V12" s="779"/>
    </row>
    <row r="13" spans="1:22">
      <c r="L13" s="1813"/>
      <c r="M13" s="788" t="s">
        <v>8</v>
      </c>
      <c r="N13" s="778"/>
      <c r="O13" s="776"/>
      <c r="P13" s="776"/>
      <c r="Q13" s="776"/>
      <c r="R13" s="776"/>
      <c r="S13" s="776"/>
      <c r="T13" s="777"/>
      <c r="U13" s="787" t="e">
        <f>INDEX(Tabel3B[Afnameklanten op TRLS (∑)],10)</f>
        <v>#DIV/0!</v>
      </c>
      <c r="V13" s="779"/>
    </row>
    <row r="14" spans="1:22" ht="15" thickBot="1">
      <c r="L14" s="1813"/>
      <c r="M14" s="789" t="s">
        <v>191</v>
      </c>
      <c r="N14" s="778"/>
      <c r="O14" s="776"/>
      <c r="P14" s="776"/>
      <c r="Q14" s="776"/>
      <c r="R14" s="776"/>
      <c r="S14" s="776"/>
      <c r="T14" s="777"/>
      <c r="U14" s="778"/>
      <c r="V14" s="790" t="e">
        <f>INDEX(Tabel3B[Afnameklanten op TRLS (∑)],8)</f>
        <v>#VALUE!</v>
      </c>
    </row>
    <row r="15" spans="1:22" ht="30" customHeight="1" thickBot="1">
      <c r="L15" s="1813"/>
      <c r="M15" s="791" t="s">
        <v>125</v>
      </c>
      <c r="N15" s="1786"/>
      <c r="O15" s="1787"/>
      <c r="P15" s="1787"/>
      <c r="Q15" s="1787"/>
      <c r="R15" s="1787"/>
      <c r="S15" s="1787"/>
      <c r="T15" s="1788"/>
      <c r="U15" s="792"/>
      <c r="V15" s="793"/>
    </row>
    <row r="16" spans="1:22" ht="30" customHeight="1" thickBot="1">
      <c r="L16" s="1814"/>
      <c r="M16" s="794" t="s">
        <v>131</v>
      </c>
      <c r="N16" s="795"/>
      <c r="O16" s="796"/>
      <c r="P16" s="1815">
        <f>PROCENT_VERHOGING_NA_MAX</f>
        <v>1</v>
      </c>
      <c r="Q16" s="1815"/>
      <c r="R16" s="796"/>
      <c r="S16" s="796"/>
      <c r="T16" s="797"/>
      <c r="U16" s="798"/>
      <c r="V16" s="799"/>
    </row>
    <row r="17" spans="1:25" ht="15" thickBot="1"/>
    <row r="18" spans="1:25" ht="30" customHeight="1" thickBot="1">
      <c r="N18" s="1807" t="s">
        <v>132</v>
      </c>
      <c r="O18" s="1816"/>
      <c r="P18" s="1817" t="s">
        <v>135</v>
      </c>
      <c r="Q18" s="1818"/>
      <c r="R18" s="1819" t="s">
        <v>80</v>
      </c>
      <c r="S18" s="1821" t="s">
        <v>9</v>
      </c>
      <c r="T18" s="1823" t="s">
        <v>81</v>
      </c>
      <c r="U18" s="1803" t="s">
        <v>79</v>
      </c>
      <c r="V18" s="1805" t="s">
        <v>13</v>
      </c>
      <c r="X18" s="1807" t="s">
        <v>133</v>
      </c>
      <c r="Y18" s="1808"/>
    </row>
    <row r="19" spans="1:25" ht="17" thickBot="1">
      <c r="A19" s="800" t="s">
        <v>141</v>
      </c>
      <c r="B19" s="801" t="s">
        <v>102</v>
      </c>
      <c r="C19" s="802" t="s">
        <v>208</v>
      </c>
      <c r="D19" s="803" t="s">
        <v>24</v>
      </c>
      <c r="E19" s="804" t="s">
        <v>105</v>
      </c>
      <c r="F19" s="804" t="s">
        <v>106</v>
      </c>
      <c r="G19" s="804" t="s">
        <v>107</v>
      </c>
      <c r="H19" s="804" t="s">
        <v>323</v>
      </c>
      <c r="I19" s="805" t="s">
        <v>324</v>
      </c>
      <c r="J19" s="805" t="s">
        <v>325</v>
      </c>
      <c r="K19" s="805" t="s">
        <v>326</v>
      </c>
      <c r="L19" s="806" t="s">
        <v>327</v>
      </c>
      <c r="N19" s="807" t="s">
        <v>209</v>
      </c>
      <c r="O19" s="808" t="s">
        <v>142</v>
      </c>
      <c r="P19" s="807" t="s">
        <v>209</v>
      </c>
      <c r="Q19" s="808" t="s">
        <v>142</v>
      </c>
      <c r="R19" s="1820"/>
      <c r="S19" s="1822"/>
      <c r="T19" s="1824"/>
      <c r="U19" s="1804"/>
      <c r="V19" s="1806"/>
      <c r="X19" s="807" t="s">
        <v>125</v>
      </c>
      <c r="Y19" s="809" t="s">
        <v>126</v>
      </c>
    </row>
    <row r="20" spans="1:25">
      <c r="A20" s="728"/>
      <c r="B20" s="729"/>
      <c r="C20" s="730"/>
      <c r="D20" s="732"/>
      <c r="E20" s="733"/>
      <c r="F20" s="733"/>
      <c r="G20" s="733"/>
      <c r="H20" s="733"/>
      <c r="I20" s="734"/>
      <c r="J20" s="734"/>
      <c r="K20" s="734"/>
      <c r="L20" s="735"/>
      <c r="N20" s="762" t="e">
        <f>$N$7*$E20+$N$8*$F20</f>
        <v>#VALUE!</v>
      </c>
      <c r="O20" s="833" t="e">
        <f>$O$9*$G20</f>
        <v>#VALUE!</v>
      </c>
      <c r="P20" s="749" t="e">
        <f>$P$7*$E20+$P$8*$F20</f>
        <v>#VALUE!</v>
      </c>
      <c r="Q20" s="834" t="e">
        <f>$Q$9*$G20</f>
        <v>#VALUE!</v>
      </c>
      <c r="R20" s="750" t="e">
        <f>$R$10*($H20+$I20)+$R$11*$J20</f>
        <v>#VALUE!</v>
      </c>
      <c r="S20" s="766" t="e">
        <f>$S$10*($H20+$I20+$J20)</f>
        <v>#VALUE!</v>
      </c>
      <c r="T20" s="1214" t="e">
        <f>$T$10*($H20+$I20+$J20)</f>
        <v>#DIV/0!</v>
      </c>
      <c r="U20" s="749" t="e">
        <f>INDEX($U$12:$U$13,MATCH($D20,$M$12:$M$13,0))/12</f>
        <v>#N/A</v>
      </c>
      <c r="V20" s="751" t="e">
        <f t="shared" ref="V20:V38" si="0">$V$14*($K20+$L20)</f>
        <v>#VALUE!</v>
      </c>
      <c r="X20" s="762">
        <f>$N$15*($H20+$I20+$J20)</f>
        <v>0</v>
      </c>
      <c r="Y20" s="763" t="e">
        <f t="shared" ref="Y20:Y38" si="1">IF($C20="x",0,MAX(SUM($P20,$R20:$T20)-$X20,0))</f>
        <v>#VALUE!</v>
      </c>
    </row>
    <row r="21" spans="1:25">
      <c r="A21" s="736"/>
      <c r="B21" s="616"/>
      <c r="C21" s="737"/>
      <c r="D21" s="738"/>
      <c r="E21" s="739"/>
      <c r="F21" s="739"/>
      <c r="G21" s="739"/>
      <c r="H21" s="739"/>
      <c r="I21" s="740"/>
      <c r="J21" s="740"/>
      <c r="K21" s="740"/>
      <c r="L21" s="741"/>
      <c r="N21" s="758" t="e">
        <f t="shared" ref="N21:N37" si="2">$N$7*$E21+$N$8*$F21</f>
        <v>#VALUE!</v>
      </c>
      <c r="O21" s="753" t="e">
        <f t="shared" ref="O21:O37" si="3">$O$9*$G21</f>
        <v>#VALUE!</v>
      </c>
      <c r="P21" s="754" t="e">
        <f t="shared" ref="P21:P37" si="4">$P$7*$E21+$P$8*$F21</f>
        <v>#VALUE!</v>
      </c>
      <c r="Q21" s="755" t="e">
        <f t="shared" ref="Q21:Q37" si="5">$Q$9*$G21</f>
        <v>#VALUE!</v>
      </c>
      <c r="R21" s="754" t="e">
        <f t="shared" ref="R21:R37" si="6">$R$10*($H21+$I21)+$R$11*$J21</f>
        <v>#VALUE!</v>
      </c>
      <c r="S21" s="756" t="e">
        <f t="shared" ref="S21:S37" si="7">$S$10*($H21+$I21+$J21)</f>
        <v>#VALUE!</v>
      </c>
      <c r="T21" s="753" t="e">
        <f t="shared" ref="T21:T37" si="8">$T$10*($H21+$I21+$J21)</f>
        <v>#DIV/0!</v>
      </c>
      <c r="U21" s="754" t="e">
        <f t="shared" ref="U21:U38" si="9">INDEX($U$12:$U$13,MATCH($D21,$M$12:$M$13,0))/12</f>
        <v>#N/A</v>
      </c>
      <c r="V21" s="757" t="e">
        <f t="shared" si="0"/>
        <v>#VALUE!</v>
      </c>
      <c r="X21" s="758">
        <f t="shared" ref="X21:X38" si="10">$N$15*($H21+$I21+$J21)</f>
        <v>0</v>
      </c>
      <c r="Y21" s="757" t="e">
        <f t="shared" si="1"/>
        <v>#VALUE!</v>
      </c>
    </row>
    <row r="22" spans="1:25">
      <c r="A22" s="736"/>
      <c r="B22" s="616"/>
      <c r="C22" s="737"/>
      <c r="D22" s="738"/>
      <c r="E22" s="739"/>
      <c r="F22" s="739"/>
      <c r="G22" s="739"/>
      <c r="H22" s="739"/>
      <c r="I22" s="740"/>
      <c r="J22" s="740"/>
      <c r="K22" s="740"/>
      <c r="L22" s="741"/>
      <c r="N22" s="758" t="e">
        <f t="shared" si="2"/>
        <v>#VALUE!</v>
      </c>
      <c r="O22" s="753" t="e">
        <f t="shared" si="3"/>
        <v>#VALUE!</v>
      </c>
      <c r="P22" s="754" t="e">
        <f t="shared" si="4"/>
        <v>#VALUE!</v>
      </c>
      <c r="Q22" s="755" t="e">
        <f t="shared" si="5"/>
        <v>#VALUE!</v>
      </c>
      <c r="R22" s="754" t="e">
        <f t="shared" si="6"/>
        <v>#VALUE!</v>
      </c>
      <c r="S22" s="756" t="e">
        <f t="shared" si="7"/>
        <v>#VALUE!</v>
      </c>
      <c r="T22" s="753" t="e">
        <f t="shared" si="8"/>
        <v>#DIV/0!</v>
      </c>
      <c r="U22" s="754" t="e">
        <f t="shared" si="9"/>
        <v>#N/A</v>
      </c>
      <c r="V22" s="757" t="e">
        <f t="shared" si="0"/>
        <v>#VALUE!</v>
      </c>
      <c r="X22" s="758">
        <f t="shared" si="10"/>
        <v>0</v>
      </c>
      <c r="Y22" s="757" t="e">
        <f t="shared" si="1"/>
        <v>#VALUE!</v>
      </c>
    </row>
    <row r="23" spans="1:25">
      <c r="A23" s="736"/>
      <c r="B23" s="616"/>
      <c r="C23" s="737"/>
      <c r="D23" s="738"/>
      <c r="E23" s="739"/>
      <c r="F23" s="739"/>
      <c r="G23" s="739"/>
      <c r="H23" s="739"/>
      <c r="I23" s="740"/>
      <c r="J23" s="740"/>
      <c r="K23" s="740"/>
      <c r="L23" s="741"/>
      <c r="N23" s="758" t="e">
        <f t="shared" si="2"/>
        <v>#VALUE!</v>
      </c>
      <c r="O23" s="753" t="e">
        <f t="shared" si="3"/>
        <v>#VALUE!</v>
      </c>
      <c r="P23" s="754" t="e">
        <f t="shared" si="4"/>
        <v>#VALUE!</v>
      </c>
      <c r="Q23" s="755" t="e">
        <f t="shared" si="5"/>
        <v>#VALUE!</v>
      </c>
      <c r="R23" s="754" t="e">
        <f t="shared" si="6"/>
        <v>#VALUE!</v>
      </c>
      <c r="S23" s="756" t="e">
        <f t="shared" si="7"/>
        <v>#VALUE!</v>
      </c>
      <c r="T23" s="753" t="e">
        <f t="shared" si="8"/>
        <v>#DIV/0!</v>
      </c>
      <c r="U23" s="754" t="e">
        <f t="shared" si="9"/>
        <v>#N/A</v>
      </c>
      <c r="V23" s="757" t="e">
        <f t="shared" si="0"/>
        <v>#VALUE!</v>
      </c>
      <c r="X23" s="758">
        <f t="shared" si="10"/>
        <v>0</v>
      </c>
      <c r="Y23" s="757" t="e">
        <f t="shared" si="1"/>
        <v>#VALUE!</v>
      </c>
    </row>
    <row r="24" spans="1:25">
      <c r="A24" s="736"/>
      <c r="B24" s="616"/>
      <c r="C24" s="737"/>
      <c r="D24" s="738"/>
      <c r="E24" s="739"/>
      <c r="F24" s="739"/>
      <c r="G24" s="739"/>
      <c r="H24" s="739"/>
      <c r="I24" s="740"/>
      <c r="J24" s="740"/>
      <c r="K24" s="740"/>
      <c r="L24" s="741"/>
      <c r="N24" s="758" t="e">
        <f t="shared" si="2"/>
        <v>#VALUE!</v>
      </c>
      <c r="O24" s="753" t="e">
        <f t="shared" si="3"/>
        <v>#VALUE!</v>
      </c>
      <c r="P24" s="754" t="e">
        <f t="shared" si="4"/>
        <v>#VALUE!</v>
      </c>
      <c r="Q24" s="755" t="e">
        <f t="shared" si="5"/>
        <v>#VALUE!</v>
      </c>
      <c r="R24" s="754" t="e">
        <f t="shared" si="6"/>
        <v>#VALUE!</v>
      </c>
      <c r="S24" s="756" t="e">
        <f t="shared" si="7"/>
        <v>#VALUE!</v>
      </c>
      <c r="T24" s="753" t="e">
        <f t="shared" si="8"/>
        <v>#DIV/0!</v>
      </c>
      <c r="U24" s="754" t="e">
        <f t="shared" si="9"/>
        <v>#N/A</v>
      </c>
      <c r="V24" s="757" t="e">
        <f t="shared" si="0"/>
        <v>#VALUE!</v>
      </c>
      <c r="X24" s="758">
        <f t="shared" si="10"/>
        <v>0</v>
      </c>
      <c r="Y24" s="757" t="e">
        <f t="shared" si="1"/>
        <v>#VALUE!</v>
      </c>
    </row>
    <row r="25" spans="1:25">
      <c r="A25" s="736"/>
      <c r="B25" s="616"/>
      <c r="C25" s="737"/>
      <c r="D25" s="738"/>
      <c r="E25" s="739"/>
      <c r="F25" s="739"/>
      <c r="G25" s="739"/>
      <c r="H25" s="739"/>
      <c r="I25" s="740"/>
      <c r="J25" s="740"/>
      <c r="K25" s="740"/>
      <c r="L25" s="741"/>
      <c r="N25" s="758" t="e">
        <f t="shared" si="2"/>
        <v>#VALUE!</v>
      </c>
      <c r="O25" s="753" t="e">
        <f t="shared" si="3"/>
        <v>#VALUE!</v>
      </c>
      <c r="P25" s="754" t="e">
        <f t="shared" si="4"/>
        <v>#VALUE!</v>
      </c>
      <c r="Q25" s="755" t="e">
        <f t="shared" si="5"/>
        <v>#VALUE!</v>
      </c>
      <c r="R25" s="754" t="e">
        <f t="shared" si="6"/>
        <v>#VALUE!</v>
      </c>
      <c r="S25" s="756" t="e">
        <f t="shared" si="7"/>
        <v>#VALUE!</v>
      </c>
      <c r="T25" s="753" t="e">
        <f t="shared" si="8"/>
        <v>#DIV/0!</v>
      </c>
      <c r="U25" s="754" t="e">
        <f t="shared" si="9"/>
        <v>#N/A</v>
      </c>
      <c r="V25" s="757" t="e">
        <f t="shared" si="0"/>
        <v>#VALUE!</v>
      </c>
      <c r="X25" s="758">
        <f t="shared" si="10"/>
        <v>0</v>
      </c>
      <c r="Y25" s="757" t="e">
        <f t="shared" si="1"/>
        <v>#VALUE!</v>
      </c>
    </row>
    <row r="26" spans="1:25">
      <c r="A26" s="736"/>
      <c r="B26" s="616"/>
      <c r="C26" s="737"/>
      <c r="D26" s="738"/>
      <c r="E26" s="739"/>
      <c r="F26" s="739"/>
      <c r="G26" s="739"/>
      <c r="H26" s="739"/>
      <c r="I26" s="740"/>
      <c r="J26" s="740"/>
      <c r="K26" s="740"/>
      <c r="L26" s="741"/>
      <c r="N26" s="758" t="e">
        <f t="shared" si="2"/>
        <v>#VALUE!</v>
      </c>
      <c r="O26" s="753" t="e">
        <f t="shared" si="3"/>
        <v>#VALUE!</v>
      </c>
      <c r="P26" s="754" t="e">
        <f t="shared" si="4"/>
        <v>#VALUE!</v>
      </c>
      <c r="Q26" s="755" t="e">
        <f t="shared" si="5"/>
        <v>#VALUE!</v>
      </c>
      <c r="R26" s="754" t="e">
        <f t="shared" si="6"/>
        <v>#VALUE!</v>
      </c>
      <c r="S26" s="756" t="e">
        <f t="shared" si="7"/>
        <v>#VALUE!</v>
      </c>
      <c r="T26" s="753" t="e">
        <f t="shared" si="8"/>
        <v>#DIV/0!</v>
      </c>
      <c r="U26" s="754" t="e">
        <f t="shared" si="9"/>
        <v>#N/A</v>
      </c>
      <c r="V26" s="757" t="e">
        <f t="shared" si="0"/>
        <v>#VALUE!</v>
      </c>
      <c r="X26" s="758">
        <f t="shared" si="10"/>
        <v>0</v>
      </c>
      <c r="Y26" s="757" t="e">
        <f t="shared" si="1"/>
        <v>#VALUE!</v>
      </c>
    </row>
    <row r="27" spans="1:25">
      <c r="A27" s="736"/>
      <c r="B27" s="616"/>
      <c r="C27" s="737"/>
      <c r="D27" s="738"/>
      <c r="E27" s="739"/>
      <c r="F27" s="739"/>
      <c r="G27" s="739"/>
      <c r="H27" s="739"/>
      <c r="I27" s="740"/>
      <c r="J27" s="740"/>
      <c r="K27" s="740"/>
      <c r="L27" s="741"/>
      <c r="N27" s="758" t="e">
        <f t="shared" si="2"/>
        <v>#VALUE!</v>
      </c>
      <c r="O27" s="753" t="e">
        <f t="shared" si="3"/>
        <v>#VALUE!</v>
      </c>
      <c r="P27" s="754" t="e">
        <f t="shared" si="4"/>
        <v>#VALUE!</v>
      </c>
      <c r="Q27" s="755" t="e">
        <f t="shared" si="5"/>
        <v>#VALUE!</v>
      </c>
      <c r="R27" s="754" t="e">
        <f t="shared" si="6"/>
        <v>#VALUE!</v>
      </c>
      <c r="S27" s="756" t="e">
        <f t="shared" si="7"/>
        <v>#VALUE!</v>
      </c>
      <c r="T27" s="753" t="e">
        <f t="shared" si="8"/>
        <v>#DIV/0!</v>
      </c>
      <c r="U27" s="754" t="e">
        <f t="shared" si="9"/>
        <v>#N/A</v>
      </c>
      <c r="V27" s="757" t="e">
        <f t="shared" si="0"/>
        <v>#VALUE!</v>
      </c>
      <c r="X27" s="758">
        <f t="shared" si="10"/>
        <v>0</v>
      </c>
      <c r="Y27" s="757" t="e">
        <f t="shared" si="1"/>
        <v>#VALUE!</v>
      </c>
    </row>
    <row r="28" spans="1:25">
      <c r="A28" s="736"/>
      <c r="B28" s="616"/>
      <c r="C28" s="737"/>
      <c r="D28" s="738"/>
      <c r="E28" s="739"/>
      <c r="F28" s="739"/>
      <c r="G28" s="739"/>
      <c r="H28" s="739"/>
      <c r="I28" s="740"/>
      <c r="J28" s="740"/>
      <c r="K28" s="740"/>
      <c r="L28" s="741"/>
      <c r="N28" s="758" t="e">
        <f t="shared" si="2"/>
        <v>#VALUE!</v>
      </c>
      <c r="O28" s="753" t="e">
        <f t="shared" si="3"/>
        <v>#VALUE!</v>
      </c>
      <c r="P28" s="754" t="e">
        <f t="shared" si="4"/>
        <v>#VALUE!</v>
      </c>
      <c r="Q28" s="755" t="e">
        <f t="shared" si="5"/>
        <v>#VALUE!</v>
      </c>
      <c r="R28" s="754" t="e">
        <f t="shared" si="6"/>
        <v>#VALUE!</v>
      </c>
      <c r="S28" s="756" t="e">
        <f t="shared" si="7"/>
        <v>#VALUE!</v>
      </c>
      <c r="T28" s="753" t="e">
        <f t="shared" si="8"/>
        <v>#DIV/0!</v>
      </c>
      <c r="U28" s="754" t="e">
        <f t="shared" si="9"/>
        <v>#N/A</v>
      </c>
      <c r="V28" s="757" t="e">
        <f t="shared" si="0"/>
        <v>#VALUE!</v>
      </c>
      <c r="X28" s="758">
        <f t="shared" si="10"/>
        <v>0</v>
      </c>
      <c r="Y28" s="757" t="e">
        <f t="shared" si="1"/>
        <v>#VALUE!</v>
      </c>
    </row>
    <row r="29" spans="1:25">
      <c r="A29" s="736"/>
      <c r="B29" s="616"/>
      <c r="C29" s="737"/>
      <c r="D29" s="738"/>
      <c r="E29" s="739"/>
      <c r="F29" s="739"/>
      <c r="G29" s="739"/>
      <c r="H29" s="739"/>
      <c r="I29" s="740"/>
      <c r="J29" s="740"/>
      <c r="K29" s="740"/>
      <c r="L29" s="741"/>
      <c r="N29" s="758" t="e">
        <f t="shared" si="2"/>
        <v>#VALUE!</v>
      </c>
      <c r="O29" s="753" t="e">
        <f t="shared" si="3"/>
        <v>#VALUE!</v>
      </c>
      <c r="P29" s="754" t="e">
        <f t="shared" si="4"/>
        <v>#VALUE!</v>
      </c>
      <c r="Q29" s="755" t="e">
        <f t="shared" si="5"/>
        <v>#VALUE!</v>
      </c>
      <c r="R29" s="754" t="e">
        <f t="shared" si="6"/>
        <v>#VALUE!</v>
      </c>
      <c r="S29" s="756" t="e">
        <f t="shared" si="7"/>
        <v>#VALUE!</v>
      </c>
      <c r="T29" s="753" t="e">
        <f t="shared" si="8"/>
        <v>#DIV/0!</v>
      </c>
      <c r="U29" s="754" t="e">
        <f t="shared" si="9"/>
        <v>#N/A</v>
      </c>
      <c r="V29" s="757" t="e">
        <f t="shared" si="0"/>
        <v>#VALUE!</v>
      </c>
      <c r="X29" s="758">
        <f t="shared" si="10"/>
        <v>0</v>
      </c>
      <c r="Y29" s="757" t="e">
        <f t="shared" si="1"/>
        <v>#VALUE!</v>
      </c>
    </row>
    <row r="30" spans="1:25">
      <c r="A30" s="736"/>
      <c r="B30" s="616"/>
      <c r="C30" s="737"/>
      <c r="D30" s="738"/>
      <c r="E30" s="739"/>
      <c r="F30" s="739"/>
      <c r="G30" s="739"/>
      <c r="H30" s="739"/>
      <c r="I30" s="740"/>
      <c r="J30" s="740"/>
      <c r="K30" s="740"/>
      <c r="L30" s="741"/>
      <c r="N30" s="758" t="e">
        <f t="shared" si="2"/>
        <v>#VALUE!</v>
      </c>
      <c r="O30" s="753" t="e">
        <f t="shared" si="3"/>
        <v>#VALUE!</v>
      </c>
      <c r="P30" s="754" t="e">
        <f t="shared" si="4"/>
        <v>#VALUE!</v>
      </c>
      <c r="Q30" s="755" t="e">
        <f t="shared" si="5"/>
        <v>#VALUE!</v>
      </c>
      <c r="R30" s="754" t="e">
        <f t="shared" si="6"/>
        <v>#VALUE!</v>
      </c>
      <c r="S30" s="756" t="e">
        <f t="shared" si="7"/>
        <v>#VALUE!</v>
      </c>
      <c r="T30" s="753" t="e">
        <f t="shared" si="8"/>
        <v>#DIV/0!</v>
      </c>
      <c r="U30" s="754" t="e">
        <f t="shared" si="9"/>
        <v>#N/A</v>
      </c>
      <c r="V30" s="757" t="e">
        <f t="shared" si="0"/>
        <v>#VALUE!</v>
      </c>
      <c r="X30" s="758">
        <f t="shared" si="10"/>
        <v>0</v>
      </c>
      <c r="Y30" s="757" t="e">
        <f t="shared" si="1"/>
        <v>#VALUE!</v>
      </c>
    </row>
    <row r="31" spans="1:25">
      <c r="A31" s="736"/>
      <c r="B31" s="616"/>
      <c r="C31" s="737"/>
      <c r="D31" s="738"/>
      <c r="E31" s="739"/>
      <c r="F31" s="739"/>
      <c r="G31" s="739"/>
      <c r="H31" s="739"/>
      <c r="I31" s="740"/>
      <c r="J31" s="740"/>
      <c r="K31" s="740"/>
      <c r="L31" s="741"/>
      <c r="N31" s="758" t="e">
        <f t="shared" si="2"/>
        <v>#VALUE!</v>
      </c>
      <c r="O31" s="753" t="e">
        <f t="shared" si="3"/>
        <v>#VALUE!</v>
      </c>
      <c r="P31" s="754" t="e">
        <f t="shared" si="4"/>
        <v>#VALUE!</v>
      </c>
      <c r="Q31" s="755" t="e">
        <f t="shared" si="5"/>
        <v>#VALUE!</v>
      </c>
      <c r="R31" s="754" t="e">
        <f t="shared" si="6"/>
        <v>#VALUE!</v>
      </c>
      <c r="S31" s="756" t="e">
        <f t="shared" si="7"/>
        <v>#VALUE!</v>
      </c>
      <c r="T31" s="753" t="e">
        <f t="shared" si="8"/>
        <v>#DIV/0!</v>
      </c>
      <c r="U31" s="754" t="e">
        <f t="shared" si="9"/>
        <v>#N/A</v>
      </c>
      <c r="V31" s="757" t="e">
        <f t="shared" si="0"/>
        <v>#VALUE!</v>
      </c>
      <c r="X31" s="758">
        <f t="shared" si="10"/>
        <v>0</v>
      </c>
      <c r="Y31" s="757" t="e">
        <f t="shared" si="1"/>
        <v>#VALUE!</v>
      </c>
    </row>
    <row r="32" spans="1:25">
      <c r="A32" s="736"/>
      <c r="B32" s="616"/>
      <c r="C32" s="737"/>
      <c r="D32" s="738"/>
      <c r="E32" s="739"/>
      <c r="F32" s="739"/>
      <c r="G32" s="739"/>
      <c r="H32" s="739"/>
      <c r="I32" s="740"/>
      <c r="J32" s="740"/>
      <c r="K32" s="740"/>
      <c r="L32" s="741"/>
      <c r="N32" s="758" t="e">
        <f t="shared" si="2"/>
        <v>#VALUE!</v>
      </c>
      <c r="O32" s="753" t="e">
        <f t="shared" si="3"/>
        <v>#VALUE!</v>
      </c>
      <c r="P32" s="754" t="e">
        <f t="shared" si="4"/>
        <v>#VALUE!</v>
      </c>
      <c r="Q32" s="755" t="e">
        <f t="shared" si="5"/>
        <v>#VALUE!</v>
      </c>
      <c r="R32" s="754" t="e">
        <f t="shared" si="6"/>
        <v>#VALUE!</v>
      </c>
      <c r="S32" s="756" t="e">
        <f t="shared" si="7"/>
        <v>#VALUE!</v>
      </c>
      <c r="T32" s="753" t="e">
        <f t="shared" si="8"/>
        <v>#DIV/0!</v>
      </c>
      <c r="U32" s="754" t="e">
        <f t="shared" si="9"/>
        <v>#N/A</v>
      </c>
      <c r="V32" s="757" t="e">
        <f t="shared" si="0"/>
        <v>#VALUE!</v>
      </c>
      <c r="X32" s="758">
        <f t="shared" si="10"/>
        <v>0</v>
      </c>
      <c r="Y32" s="757" t="e">
        <f t="shared" si="1"/>
        <v>#VALUE!</v>
      </c>
    </row>
    <row r="33" spans="1:25">
      <c r="A33" s="736"/>
      <c r="B33" s="616"/>
      <c r="C33" s="737"/>
      <c r="D33" s="738"/>
      <c r="E33" s="739"/>
      <c r="F33" s="739"/>
      <c r="G33" s="739"/>
      <c r="H33" s="739"/>
      <c r="I33" s="740"/>
      <c r="J33" s="740"/>
      <c r="K33" s="740"/>
      <c r="L33" s="741"/>
      <c r="N33" s="758" t="e">
        <f t="shared" si="2"/>
        <v>#VALUE!</v>
      </c>
      <c r="O33" s="753" t="e">
        <f t="shared" si="3"/>
        <v>#VALUE!</v>
      </c>
      <c r="P33" s="754" t="e">
        <f t="shared" si="4"/>
        <v>#VALUE!</v>
      </c>
      <c r="Q33" s="755" t="e">
        <f t="shared" si="5"/>
        <v>#VALUE!</v>
      </c>
      <c r="R33" s="754" t="e">
        <f t="shared" si="6"/>
        <v>#VALUE!</v>
      </c>
      <c r="S33" s="756" t="e">
        <f t="shared" si="7"/>
        <v>#VALUE!</v>
      </c>
      <c r="T33" s="753" t="e">
        <f t="shared" si="8"/>
        <v>#DIV/0!</v>
      </c>
      <c r="U33" s="754" t="e">
        <f t="shared" si="9"/>
        <v>#N/A</v>
      </c>
      <c r="V33" s="757" t="e">
        <f t="shared" si="0"/>
        <v>#VALUE!</v>
      </c>
      <c r="X33" s="758">
        <f t="shared" si="10"/>
        <v>0</v>
      </c>
      <c r="Y33" s="757" t="e">
        <f t="shared" si="1"/>
        <v>#VALUE!</v>
      </c>
    </row>
    <row r="34" spans="1:25">
      <c r="A34" s="736"/>
      <c r="B34" s="616"/>
      <c r="C34" s="737"/>
      <c r="D34" s="738"/>
      <c r="E34" s="739"/>
      <c r="F34" s="739"/>
      <c r="G34" s="739"/>
      <c r="H34" s="739"/>
      <c r="I34" s="740"/>
      <c r="J34" s="740"/>
      <c r="K34" s="740"/>
      <c r="L34" s="741"/>
      <c r="N34" s="758" t="e">
        <f t="shared" si="2"/>
        <v>#VALUE!</v>
      </c>
      <c r="O34" s="753" t="e">
        <f t="shared" si="3"/>
        <v>#VALUE!</v>
      </c>
      <c r="P34" s="754" t="e">
        <f t="shared" si="4"/>
        <v>#VALUE!</v>
      </c>
      <c r="Q34" s="755" t="e">
        <f t="shared" si="5"/>
        <v>#VALUE!</v>
      </c>
      <c r="R34" s="754" t="e">
        <f t="shared" si="6"/>
        <v>#VALUE!</v>
      </c>
      <c r="S34" s="756" t="e">
        <f t="shared" si="7"/>
        <v>#VALUE!</v>
      </c>
      <c r="T34" s="753" t="e">
        <f t="shared" si="8"/>
        <v>#DIV/0!</v>
      </c>
      <c r="U34" s="754" t="e">
        <f t="shared" si="9"/>
        <v>#N/A</v>
      </c>
      <c r="V34" s="757" t="e">
        <f t="shared" si="0"/>
        <v>#VALUE!</v>
      </c>
      <c r="X34" s="758">
        <f t="shared" si="10"/>
        <v>0</v>
      </c>
      <c r="Y34" s="757" t="e">
        <f t="shared" si="1"/>
        <v>#VALUE!</v>
      </c>
    </row>
    <row r="35" spans="1:25">
      <c r="A35" s="736"/>
      <c r="B35" s="616"/>
      <c r="C35" s="737"/>
      <c r="D35" s="738"/>
      <c r="E35" s="739"/>
      <c r="F35" s="739"/>
      <c r="G35" s="739"/>
      <c r="H35" s="739"/>
      <c r="I35" s="740"/>
      <c r="J35" s="740"/>
      <c r="K35" s="740"/>
      <c r="L35" s="741"/>
      <c r="N35" s="758" t="e">
        <f t="shared" si="2"/>
        <v>#VALUE!</v>
      </c>
      <c r="O35" s="753" t="e">
        <f t="shared" si="3"/>
        <v>#VALUE!</v>
      </c>
      <c r="P35" s="754" t="e">
        <f t="shared" si="4"/>
        <v>#VALUE!</v>
      </c>
      <c r="Q35" s="755" t="e">
        <f t="shared" si="5"/>
        <v>#VALUE!</v>
      </c>
      <c r="R35" s="754" t="e">
        <f t="shared" si="6"/>
        <v>#VALUE!</v>
      </c>
      <c r="S35" s="756" t="e">
        <f t="shared" si="7"/>
        <v>#VALUE!</v>
      </c>
      <c r="T35" s="753" t="e">
        <f t="shared" si="8"/>
        <v>#DIV/0!</v>
      </c>
      <c r="U35" s="754" t="e">
        <f t="shared" si="9"/>
        <v>#N/A</v>
      </c>
      <c r="V35" s="757" t="e">
        <f t="shared" si="0"/>
        <v>#VALUE!</v>
      </c>
      <c r="X35" s="758">
        <f t="shared" si="10"/>
        <v>0</v>
      </c>
      <c r="Y35" s="757" t="e">
        <f t="shared" si="1"/>
        <v>#VALUE!</v>
      </c>
    </row>
    <row r="36" spans="1:25">
      <c r="A36" s="736"/>
      <c r="B36" s="616"/>
      <c r="C36" s="737"/>
      <c r="D36" s="738"/>
      <c r="E36" s="739"/>
      <c r="F36" s="739"/>
      <c r="G36" s="739"/>
      <c r="H36" s="739"/>
      <c r="I36" s="740"/>
      <c r="J36" s="740"/>
      <c r="K36" s="740"/>
      <c r="L36" s="741"/>
      <c r="N36" s="758" t="e">
        <f t="shared" si="2"/>
        <v>#VALUE!</v>
      </c>
      <c r="O36" s="753" t="e">
        <f t="shared" si="3"/>
        <v>#VALUE!</v>
      </c>
      <c r="P36" s="754" t="e">
        <f t="shared" si="4"/>
        <v>#VALUE!</v>
      </c>
      <c r="Q36" s="755" t="e">
        <f t="shared" si="5"/>
        <v>#VALUE!</v>
      </c>
      <c r="R36" s="754" t="e">
        <f t="shared" si="6"/>
        <v>#VALUE!</v>
      </c>
      <c r="S36" s="756" t="e">
        <f t="shared" si="7"/>
        <v>#VALUE!</v>
      </c>
      <c r="T36" s="753" t="e">
        <f t="shared" si="8"/>
        <v>#DIV/0!</v>
      </c>
      <c r="U36" s="754" t="e">
        <f t="shared" si="9"/>
        <v>#N/A</v>
      </c>
      <c r="V36" s="757" t="e">
        <f t="shared" si="0"/>
        <v>#VALUE!</v>
      </c>
      <c r="X36" s="758">
        <f t="shared" si="10"/>
        <v>0</v>
      </c>
      <c r="Y36" s="757" t="e">
        <f t="shared" si="1"/>
        <v>#VALUE!</v>
      </c>
    </row>
    <row r="37" spans="1:25">
      <c r="A37" s="736"/>
      <c r="B37" s="616"/>
      <c r="C37" s="737"/>
      <c r="D37" s="738"/>
      <c r="E37" s="739"/>
      <c r="F37" s="739"/>
      <c r="G37" s="739"/>
      <c r="H37" s="739"/>
      <c r="I37" s="740"/>
      <c r="J37" s="740"/>
      <c r="K37" s="740"/>
      <c r="L37" s="741"/>
      <c r="N37" s="758" t="e">
        <f t="shared" si="2"/>
        <v>#VALUE!</v>
      </c>
      <c r="O37" s="753" t="e">
        <f t="shared" si="3"/>
        <v>#VALUE!</v>
      </c>
      <c r="P37" s="754" t="e">
        <f t="shared" si="4"/>
        <v>#VALUE!</v>
      </c>
      <c r="Q37" s="755" t="e">
        <f t="shared" si="5"/>
        <v>#VALUE!</v>
      </c>
      <c r="R37" s="754" t="e">
        <f t="shared" si="6"/>
        <v>#VALUE!</v>
      </c>
      <c r="S37" s="756" t="e">
        <f t="shared" si="7"/>
        <v>#VALUE!</v>
      </c>
      <c r="T37" s="753" t="e">
        <f t="shared" si="8"/>
        <v>#DIV/0!</v>
      </c>
      <c r="U37" s="754" t="e">
        <f t="shared" si="9"/>
        <v>#N/A</v>
      </c>
      <c r="V37" s="757" t="e">
        <f t="shared" si="0"/>
        <v>#VALUE!</v>
      </c>
      <c r="X37" s="758">
        <f t="shared" si="10"/>
        <v>0</v>
      </c>
      <c r="Y37" s="757" t="e">
        <f t="shared" si="1"/>
        <v>#VALUE!</v>
      </c>
    </row>
    <row r="38" spans="1:25" ht="15" thickBot="1">
      <c r="A38" s="742"/>
      <c r="B38" s="619"/>
      <c r="C38" s="743"/>
      <c r="D38" s="744"/>
      <c r="E38" s="745"/>
      <c r="F38" s="745"/>
      <c r="G38" s="745"/>
      <c r="H38" s="745"/>
      <c r="I38" s="746"/>
      <c r="J38" s="746"/>
      <c r="K38" s="746"/>
      <c r="L38" s="747"/>
      <c r="N38" s="760" t="e">
        <f>$N$7*$E38+$N$8*$F38</f>
        <v>#VALUE!</v>
      </c>
      <c r="O38" s="767" t="e">
        <f>$O$9*$G38</f>
        <v>#VALUE!</v>
      </c>
      <c r="P38" s="761" t="e">
        <f>$P$7*$E38+$P$8*$F38</f>
        <v>#VALUE!</v>
      </c>
      <c r="Q38" s="835" t="e">
        <f>$Q$9*$G38</f>
        <v>#VALUE!</v>
      </c>
      <c r="R38" s="761" t="e">
        <f>$R$10*($H38+$I38)+$R$11*$J38</f>
        <v>#VALUE!</v>
      </c>
      <c r="S38" s="836" t="e">
        <f>$S$10*($H38+$I38+$J38)</f>
        <v>#VALUE!</v>
      </c>
      <c r="T38" s="767" t="e">
        <f>$T$10*($H38+$I38+$J38)</f>
        <v>#DIV/0!</v>
      </c>
      <c r="U38" s="761" t="e">
        <f t="shared" si="9"/>
        <v>#N/A</v>
      </c>
      <c r="V38" s="764" t="e">
        <f t="shared" si="0"/>
        <v>#VALUE!</v>
      </c>
      <c r="X38" s="760">
        <f t="shared" si="10"/>
        <v>0</v>
      </c>
      <c r="Y38" s="764" t="e">
        <f t="shared" si="1"/>
        <v>#VALUE!</v>
      </c>
    </row>
    <row r="39" spans="1:25" ht="15" thickBot="1">
      <c r="A39" s="813"/>
      <c r="B39" s="814" t="s">
        <v>98</v>
      </c>
      <c r="C39" s="644"/>
      <c r="D39" s="815">
        <f>COUNTIFS($B$20:$B$38,$B39)</f>
        <v>0</v>
      </c>
      <c r="E39" s="816">
        <f>SUMIFS(E$20:E$38,$B$20:$B$38,$B39)</f>
        <v>0</v>
      </c>
      <c r="F39" s="816">
        <f t="shared" ref="F39:L39" si="11">SUMIFS(F$20:F$38,$B$20:$B$38,$B39)</f>
        <v>0</v>
      </c>
      <c r="G39" s="816">
        <f t="shared" si="11"/>
        <v>0</v>
      </c>
      <c r="H39" s="816">
        <f t="shared" si="11"/>
        <v>0</v>
      </c>
      <c r="I39" s="817">
        <f t="shared" si="11"/>
        <v>0</v>
      </c>
      <c r="J39" s="817">
        <f t="shared" si="11"/>
        <v>0</v>
      </c>
      <c r="K39" s="817">
        <f t="shared" si="11"/>
        <v>0</v>
      </c>
      <c r="L39" s="818">
        <f t="shared" si="11"/>
        <v>0</v>
      </c>
      <c r="N39" s="819">
        <f t="shared" ref="N39:S39" si="12">SUMIFS(N$20:N$38,$B$20:$B$38,$B39)</f>
        <v>0</v>
      </c>
      <c r="O39" s="820">
        <f t="shared" si="12"/>
        <v>0</v>
      </c>
      <c r="P39" s="810">
        <f t="shared" si="12"/>
        <v>0</v>
      </c>
      <c r="Q39" s="811">
        <f t="shared" si="12"/>
        <v>0</v>
      </c>
      <c r="R39" s="810">
        <f t="shared" si="12"/>
        <v>0</v>
      </c>
      <c r="S39" s="821">
        <f t="shared" si="12"/>
        <v>0</v>
      </c>
      <c r="T39" s="820"/>
      <c r="U39" s="810">
        <f>SUMIFS(U$20:U$38,$B$20:$B$38,$B39)</f>
        <v>0</v>
      </c>
      <c r="V39" s="812">
        <f>SUMIFS(V$20:V$38,$B$20:$B$38,$B39)</f>
        <v>0</v>
      </c>
      <c r="X39" s="819"/>
      <c r="Y39" s="812">
        <f>SUMIFS(Y$20:Y$38,$B$20:$B$38,$B39)</f>
        <v>0</v>
      </c>
    </row>
    <row r="40" spans="1:25" ht="15" thickBot="1">
      <c r="A40" s="1809" t="s">
        <v>11</v>
      </c>
      <c r="B40" s="1810"/>
      <c r="C40" s="1811"/>
      <c r="D40" s="822">
        <f>COUNT(D$20:D$38)</f>
        <v>0</v>
      </c>
      <c r="E40" s="823">
        <f>SUM(E$20:E$38)</f>
        <v>0</v>
      </c>
      <c r="F40" s="823">
        <f t="shared" ref="F40:L40" si="13">SUM(F$20:F$38)</f>
        <v>0</v>
      </c>
      <c r="G40" s="823">
        <f t="shared" si="13"/>
        <v>0</v>
      </c>
      <c r="H40" s="823">
        <f t="shared" si="13"/>
        <v>0</v>
      </c>
      <c r="I40" s="824">
        <f t="shared" si="13"/>
        <v>0</v>
      </c>
      <c r="J40" s="824">
        <f t="shared" si="13"/>
        <v>0</v>
      </c>
      <c r="K40" s="824">
        <f t="shared" si="13"/>
        <v>0</v>
      </c>
      <c r="L40" s="825">
        <f t="shared" si="13"/>
        <v>0</v>
      </c>
      <c r="N40" s="826" t="e">
        <f t="shared" ref="N40:V40" si="14">SUBTOTAL(109,N$20:N$38)</f>
        <v>#VALUE!</v>
      </c>
      <c r="O40" s="827" t="e">
        <f t="shared" si="14"/>
        <v>#VALUE!</v>
      </c>
      <c r="P40" s="828" t="e">
        <f t="shared" si="14"/>
        <v>#VALUE!</v>
      </c>
      <c r="Q40" s="829" t="e">
        <f t="shared" si="14"/>
        <v>#VALUE!</v>
      </c>
      <c r="R40" s="830" t="e">
        <f t="shared" si="14"/>
        <v>#VALUE!</v>
      </c>
      <c r="S40" s="831" t="e">
        <f t="shared" si="14"/>
        <v>#VALUE!</v>
      </c>
      <c r="T40" s="827"/>
      <c r="U40" s="830" t="e">
        <f t="shared" si="14"/>
        <v>#N/A</v>
      </c>
      <c r="V40" s="832" t="e">
        <f t="shared" si="14"/>
        <v>#VALUE!</v>
      </c>
      <c r="X40" s="826"/>
      <c r="Y40" s="832" t="e">
        <f>SUBTOTAL(109,Y$20:Y$38)</f>
        <v>#VALUE!</v>
      </c>
    </row>
  </sheetData>
  <sheetProtection algorithmName="SHA-512" hashValue="mv6E7yl1CE7ZsvCaOHZBAy4cTNSv35cUUWLAd5POQ3hPhUBxDXvxZ99mwM5/KVhDTAfMVfDcwaygpsKV+QlzhQ==" saltValue="VveZxy8EwzlTKqwn+Jhkag==" spinCount="100000" sheet="1" objects="1" scenarios="1" insertRows="0" deleteRows="0" sort="0" autoFilter="0"/>
  <autoFilter ref="A19:Y19" xr:uid="{2CFE32BB-5378-4DF4-BFB3-4B987FE4E2D6}"/>
  <mergeCells count="14">
    <mergeCell ref="U18:U19"/>
    <mergeCell ref="V18:V19"/>
    <mergeCell ref="X18:Y18"/>
    <mergeCell ref="A40:C40"/>
    <mergeCell ref="A1:V1"/>
    <mergeCell ref="D4:E4"/>
    <mergeCell ref="L7:L16"/>
    <mergeCell ref="N15:T15"/>
    <mergeCell ref="P16:Q16"/>
    <mergeCell ref="N18:O18"/>
    <mergeCell ref="P18:Q18"/>
    <mergeCell ref="R18:R19"/>
    <mergeCell ref="S18:S19"/>
    <mergeCell ref="T18:T19"/>
  </mergeCells>
  <dataValidations count="3">
    <dataValidation type="list" allowBlank="1" showInputMessage="1" showErrorMessage="1" sqref="C20:C38" xr:uid="{3B572549-0B83-4551-A1EF-2F0460B59CFB}">
      <formula1>"x"</formula1>
    </dataValidation>
    <dataValidation type="list" allowBlank="1" showInputMessage="1" showErrorMessage="1" sqref="D20:D38" xr:uid="{203E0612-C06D-4AE8-B599-431B813E1744}">
      <formula1>"AMR,MMR,DM - MR1,DM - MR3,KM"</formula1>
    </dataValidation>
    <dataValidation type="list" allowBlank="1" showInputMessage="1" showErrorMessage="1" sqref="B20:B38" xr:uid="{A56CCC02-0FB3-4DDB-81C1-29C632741089}">
      <formula1>$B$39:$B$39</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58F3D-6920-4D54-8F0B-828179F16DCB}">
  <sheetPr published="0"/>
  <dimension ref="A1:S40"/>
  <sheetViews>
    <sheetView topLeftCell="C1" zoomScaleNormal="100" workbookViewId="0">
      <selection activeCell="R19" sqref="R19"/>
    </sheetView>
  </sheetViews>
  <sheetFormatPr defaultColWidth="20.7265625" defaultRowHeight="14.5"/>
  <cols>
    <col min="1" max="1" width="20.7265625" style="563"/>
    <col min="2" max="2" width="25.81640625" style="563" customWidth="1"/>
    <col min="3" max="15" width="20.7265625" style="563"/>
    <col min="16" max="16" width="20.7265625" style="563" customWidth="1"/>
    <col min="17" max="17" width="5.7265625" style="563" customWidth="1"/>
    <col min="18" max="16384" width="20.7265625" style="563"/>
  </cols>
  <sheetData>
    <row r="1" spans="1:16" ht="30" customHeight="1" thickBot="1">
      <c r="A1" s="1713" t="s">
        <v>331</v>
      </c>
      <c r="B1" s="1714"/>
      <c r="C1" s="1714"/>
      <c r="D1" s="1714"/>
      <c r="E1" s="1714"/>
      <c r="F1" s="1714"/>
      <c r="G1" s="1714"/>
      <c r="H1" s="1714"/>
      <c r="I1" s="1714"/>
      <c r="J1" s="1714"/>
      <c r="K1" s="1714"/>
      <c r="L1" s="1714"/>
      <c r="M1" s="1714"/>
      <c r="N1" s="1714"/>
      <c r="O1" s="1714"/>
      <c r="P1" s="1780"/>
    </row>
    <row r="2" spans="1:16">
      <c r="B2" s="1"/>
      <c r="C2" s="1"/>
      <c r="D2" s="1"/>
      <c r="E2" s="1"/>
      <c r="F2" s="1"/>
      <c r="G2" s="1"/>
      <c r="H2" s="1"/>
      <c r="I2" s="1"/>
      <c r="J2" s="1"/>
      <c r="K2" s="1"/>
    </row>
    <row r="3" spans="1:16" ht="15" thickBot="1">
      <c r="B3" s="1"/>
      <c r="C3" s="1"/>
      <c r="D3" s="1"/>
      <c r="E3" s="1"/>
      <c r="F3" s="1"/>
      <c r="G3" s="1"/>
      <c r="H3" s="1"/>
      <c r="I3" s="1"/>
      <c r="J3" s="1"/>
      <c r="K3" s="1"/>
    </row>
    <row r="4" spans="1:16" ht="15" thickBot="1">
      <c r="B4" s="129" t="s">
        <v>6</v>
      </c>
      <c r="C4" s="168"/>
      <c r="D4" s="1706" t="str">
        <f>DNB</f>
        <v>Naam distributienetbeheerder</v>
      </c>
      <c r="E4" s="1708"/>
      <c r="I4" s="168"/>
      <c r="K4" s="1"/>
    </row>
    <row r="6" spans="1:16" ht="15" thickBot="1"/>
    <row r="7" spans="1:16" ht="16.5">
      <c r="I7" s="1793" t="s">
        <v>147</v>
      </c>
      <c r="J7" s="210" t="s">
        <v>302</v>
      </c>
      <c r="K7" s="435" t="e">
        <f>INDEX(Tabel3B[Afnameklanten op LS met piekmeting],4)</f>
        <v>#DIV/0!</v>
      </c>
      <c r="L7" s="1590" t="e">
        <f>$K$7*$L$15</f>
        <v>#DIV/0!</v>
      </c>
      <c r="M7" s="387"/>
      <c r="N7" s="387"/>
      <c r="O7" s="389"/>
      <c r="P7" s="431"/>
    </row>
    <row r="8" spans="1:16" ht="16.5">
      <c r="I8" s="1794"/>
      <c r="J8" s="211" t="s">
        <v>110</v>
      </c>
      <c r="K8" s="439" t="e">
        <f>INDEX(Tabel3B[Afnameklanten op LS met piekmeting],6)</f>
        <v>#DIV/0!</v>
      </c>
      <c r="L8" s="400" t="e">
        <f>$K$8*$L$15</f>
        <v>#DIV/0!</v>
      </c>
      <c r="M8" s="400" t="e">
        <f>INDEX(Tabel3B[Afnameklanten op LS met piekmeting],15)</f>
        <v>#VALUE!</v>
      </c>
      <c r="N8" s="400" t="e">
        <f>INDEX(Tabel3B[Afnameklanten op LS met piekmeting],17)</f>
        <v>#VALUE!</v>
      </c>
      <c r="O8" s="401" t="e">
        <f>INDEX(Tabel3B[Afnameklanten op LS met piekmeting],18)</f>
        <v>#DIV/0!</v>
      </c>
      <c r="P8" s="432"/>
    </row>
    <row r="9" spans="1:16" ht="16.5">
      <c r="I9" s="1794"/>
      <c r="J9" s="211" t="s">
        <v>212</v>
      </c>
      <c r="K9" s="439" t="e">
        <f>INDEX(Tabel3B[Afnameklanten op LS met piekmeting],6)</f>
        <v>#DIV/0!</v>
      </c>
      <c r="L9" s="400" t="e">
        <f>$K$9*$L$15</f>
        <v>#DIV/0!</v>
      </c>
      <c r="M9" s="400" t="e">
        <f>INDEX(Tabel3B[Afnameklanten op LS met piekmeting],16)</f>
        <v>#VALUE!</v>
      </c>
      <c r="N9" s="399"/>
      <c r="O9" s="402"/>
      <c r="P9" s="432"/>
    </row>
    <row r="10" spans="1:16">
      <c r="I10" s="1794"/>
      <c r="J10" s="381" t="s">
        <v>7</v>
      </c>
      <c r="K10" s="436"/>
      <c r="L10" s="393"/>
      <c r="M10" s="393"/>
      <c r="N10" s="393"/>
      <c r="O10" s="395"/>
      <c r="P10" s="427" t="e">
        <f>INDEX(Tabel3B[Afnameklanten op LS met piekmeting],9)</f>
        <v>#DIV/0!</v>
      </c>
    </row>
    <row r="11" spans="1:16">
      <c r="I11" s="1794"/>
      <c r="J11" s="382" t="s">
        <v>8</v>
      </c>
      <c r="K11" s="436"/>
      <c r="L11" s="393"/>
      <c r="M11" s="393"/>
      <c r="N11" s="393"/>
      <c r="O11" s="395"/>
      <c r="P11" s="427" t="e">
        <f>INDEX(Tabel3B[Afnameklanten op LS met piekmeting],10)</f>
        <v>#DIV/0!</v>
      </c>
    </row>
    <row r="12" spans="1:16">
      <c r="I12" s="1794"/>
      <c r="J12" s="382" t="s">
        <v>122</v>
      </c>
      <c r="K12" s="423"/>
      <c r="L12" s="424"/>
      <c r="M12" s="424"/>
      <c r="N12" s="424"/>
      <c r="O12" s="425"/>
      <c r="P12" s="427" t="e">
        <f>INDEX(Tabel3B[Afnameklanten op LS met piekmeting],11)</f>
        <v>#DIV/0!</v>
      </c>
    </row>
    <row r="13" spans="1:16" ht="15" thickBot="1">
      <c r="I13" s="1794"/>
      <c r="J13" s="382" t="s">
        <v>123</v>
      </c>
      <c r="K13" s="423"/>
      <c r="L13" s="424"/>
      <c r="M13" s="424"/>
      <c r="N13" s="424"/>
      <c r="O13" s="425"/>
      <c r="P13" s="427" t="e">
        <f>INDEX(Tabel3B[Afnameklanten op LS met piekmeting],12)</f>
        <v>#DIV/0!</v>
      </c>
    </row>
    <row r="14" spans="1:16" ht="30" customHeight="1" thickBot="1">
      <c r="I14" s="1794"/>
      <c r="J14" s="211" t="s">
        <v>125</v>
      </c>
      <c r="K14" s="1825"/>
      <c r="L14" s="1787"/>
      <c r="M14" s="1787"/>
      <c r="N14" s="1787"/>
      <c r="O14" s="1788"/>
      <c r="P14" s="433"/>
    </row>
    <row r="15" spans="1:16" ht="30" customHeight="1" thickBot="1">
      <c r="I15" s="1795"/>
      <c r="J15" s="213" t="s">
        <v>131</v>
      </c>
      <c r="K15" s="379"/>
      <c r="L15" s="574">
        <f>PROCENT_VERHOGING_NA_MAX</f>
        <v>1</v>
      </c>
      <c r="M15" s="207"/>
      <c r="N15" s="207"/>
      <c r="O15" s="378"/>
      <c r="P15" s="434"/>
    </row>
    <row r="16" spans="1:16" ht="15" thickBot="1"/>
    <row r="17" spans="1:19" ht="30" customHeight="1" thickBot="1">
      <c r="K17" s="570" t="s">
        <v>132</v>
      </c>
      <c r="L17" s="571" t="s">
        <v>135</v>
      </c>
      <c r="M17" s="1827" t="s">
        <v>80</v>
      </c>
      <c r="N17" s="1826" t="s">
        <v>9</v>
      </c>
      <c r="O17" s="1801" t="s">
        <v>81</v>
      </c>
      <c r="P17" s="1828" t="s">
        <v>79</v>
      </c>
      <c r="R17" s="1784" t="s">
        <v>133</v>
      </c>
      <c r="S17" s="1740"/>
    </row>
    <row r="18" spans="1:19" ht="17" thickBot="1">
      <c r="A18" s="572" t="s">
        <v>141</v>
      </c>
      <c r="B18" s="183" t="s">
        <v>102</v>
      </c>
      <c r="C18" s="553" t="s">
        <v>208</v>
      </c>
      <c r="D18" s="184" t="s">
        <v>530</v>
      </c>
      <c r="E18" s="185" t="s">
        <v>24</v>
      </c>
      <c r="F18" s="186" t="s">
        <v>332</v>
      </c>
      <c r="G18" s="186" t="s">
        <v>323</v>
      </c>
      <c r="H18" s="372" t="s">
        <v>324</v>
      </c>
      <c r="I18" s="187" t="s">
        <v>325</v>
      </c>
      <c r="K18" s="437" t="s">
        <v>78</v>
      </c>
      <c r="L18" s="438" t="s">
        <v>78</v>
      </c>
      <c r="M18" s="1790"/>
      <c r="N18" s="1792"/>
      <c r="O18" s="1802"/>
      <c r="P18" s="1829"/>
      <c r="R18" s="188" t="s">
        <v>125</v>
      </c>
      <c r="S18" s="189" t="s">
        <v>126</v>
      </c>
    </row>
    <row r="19" spans="1:19">
      <c r="A19" s="728"/>
      <c r="B19" s="729"/>
      <c r="C19" s="730"/>
      <c r="D19" s="731"/>
      <c r="E19" s="732"/>
      <c r="F19" s="733"/>
      <c r="G19" s="733"/>
      <c r="H19" s="734"/>
      <c r="I19" s="735"/>
      <c r="K19" s="765" t="e">
        <f t="shared" ref="K19:K37" si="0">IF($B19="Doorvoer op LS met piekmeting",FACTOR_DOORVOER,1)*($K$7*$F19+$K$8*($G19+$H19)+$K$9*$I19)</f>
        <v>#DIV/0!</v>
      </c>
      <c r="L19" s="749" t="e">
        <f>IF($B19="Doorvoer op LS met piekmeting",FACTOR_DOORVOER,1)*($L$7*$F19+$L$8*($G19+$H19)+$L$9*$I19)</f>
        <v>#DIV/0!</v>
      </c>
      <c r="M19" s="750" t="e">
        <f>IF($B19="Doorvoer op LS met piekmeting",FACTOR_DOORVOER,1)*$M$8*($G19+$H19)+$M$9*$I19</f>
        <v>#VALUE!</v>
      </c>
      <c r="N19" s="766" t="e">
        <f t="shared" ref="N19:N37" si="1">IF($B19="Doorvoer op LS met piekmeting",FACTOR_DOORVOER,1)*$N$8*($G19+$H19+$I19)</f>
        <v>#VALUE!</v>
      </c>
      <c r="O19" s="1215" t="e">
        <f t="shared" ref="O19:O37" si="2">IF($B19="Doorvoer op LS met piekmeting",FACTOR_DOORVOER,1)*$O$8*($G19+$H19+$I19)</f>
        <v>#DIV/0!</v>
      </c>
      <c r="P19" s="837" t="e">
        <f t="shared" ref="P19:P37" si="3">IF($B19="Doorvoer op LS met piekmeting",FACTOR_DOORVOER,1)*INDEX($P$10:$P$13,MATCH($E19,$J$10:$J$13,0))/IF($D19="Op maandbasis",12,1)</f>
        <v>#N/A</v>
      </c>
      <c r="R19" s="748" t="e">
        <f>IF($B19="Doorvoer op LS met piekmeting",FACTOR_DOORVOER,1)*MAX(FACTOR_VAST*$L$7,$K$14*($G19+$H19+$I19))</f>
        <v>#DIV/0!</v>
      </c>
      <c r="S19" s="763" t="e">
        <f t="shared" ref="S19:S37" si="4">IF($C19="x",0,MAX(SUM($L19,$M19:$O19)-$R19,0))</f>
        <v>#DIV/0!</v>
      </c>
    </row>
    <row r="20" spans="1:19">
      <c r="A20" s="736"/>
      <c r="B20" s="616"/>
      <c r="C20" s="737"/>
      <c r="D20" s="614"/>
      <c r="E20" s="738"/>
      <c r="F20" s="739"/>
      <c r="G20" s="739"/>
      <c r="H20" s="740"/>
      <c r="I20" s="741"/>
      <c r="K20" s="758" t="e">
        <f t="shared" si="0"/>
        <v>#DIV/0!</v>
      </c>
      <c r="L20" s="754" t="e">
        <f t="shared" ref="L20:L37" si="5">IF($B20="Doorvoer op LS met piekmeting",FACTOR_DOORVOER,1)*($L$7*$F20+$L$8*($G20+$H20)+$L$9*$I20)</f>
        <v>#DIV/0!</v>
      </c>
      <c r="M20" s="754" t="e">
        <f t="shared" ref="M20:M37" si="6">IF($B20="Doorvoer op LS met piekmeting",FACTOR_DOORVOER,1)*$M$8*($G20+$H20)+$M$9*$I20</f>
        <v>#VALUE!</v>
      </c>
      <c r="N20" s="756" t="e">
        <f t="shared" si="1"/>
        <v>#VALUE!</v>
      </c>
      <c r="O20" s="753" t="e">
        <f t="shared" si="2"/>
        <v>#DIV/0!</v>
      </c>
      <c r="P20" s="838" t="e">
        <f t="shared" si="3"/>
        <v>#N/A</v>
      </c>
      <c r="R20" s="758" t="e">
        <f t="shared" ref="R20:R37" si="7">IF($B20="Doorvoer op LS met piekmeting",FACTOR_DOORVOER,1)*MAX(FACTOR_VAST*$L$7,$K$14*($G20+$H20+$I20))</f>
        <v>#DIV/0!</v>
      </c>
      <c r="S20" s="757" t="e">
        <f t="shared" si="4"/>
        <v>#DIV/0!</v>
      </c>
    </row>
    <row r="21" spans="1:19">
      <c r="A21" s="736"/>
      <c r="B21" s="616"/>
      <c r="C21" s="737"/>
      <c r="D21" s="614"/>
      <c r="E21" s="738"/>
      <c r="F21" s="739"/>
      <c r="G21" s="739"/>
      <c r="H21" s="740"/>
      <c r="I21" s="741"/>
      <c r="K21" s="758" t="e">
        <f t="shared" si="0"/>
        <v>#DIV/0!</v>
      </c>
      <c r="L21" s="754" t="e">
        <f t="shared" si="5"/>
        <v>#DIV/0!</v>
      </c>
      <c r="M21" s="754" t="e">
        <f t="shared" si="6"/>
        <v>#VALUE!</v>
      </c>
      <c r="N21" s="756" t="e">
        <f t="shared" si="1"/>
        <v>#VALUE!</v>
      </c>
      <c r="O21" s="753" t="e">
        <f t="shared" si="2"/>
        <v>#DIV/0!</v>
      </c>
      <c r="P21" s="838" t="e">
        <f t="shared" si="3"/>
        <v>#N/A</v>
      </c>
      <c r="R21" s="758" t="e">
        <f t="shared" si="7"/>
        <v>#DIV/0!</v>
      </c>
      <c r="S21" s="757" t="e">
        <f t="shared" si="4"/>
        <v>#DIV/0!</v>
      </c>
    </row>
    <row r="22" spans="1:19">
      <c r="A22" s="736"/>
      <c r="B22" s="616"/>
      <c r="C22" s="737"/>
      <c r="D22" s="614"/>
      <c r="E22" s="738"/>
      <c r="F22" s="739"/>
      <c r="G22" s="739"/>
      <c r="H22" s="740"/>
      <c r="I22" s="741"/>
      <c r="K22" s="758" t="e">
        <f t="shared" si="0"/>
        <v>#DIV/0!</v>
      </c>
      <c r="L22" s="754" t="e">
        <f t="shared" si="5"/>
        <v>#DIV/0!</v>
      </c>
      <c r="M22" s="754" t="e">
        <f t="shared" si="6"/>
        <v>#VALUE!</v>
      </c>
      <c r="N22" s="756" t="e">
        <f t="shared" si="1"/>
        <v>#VALUE!</v>
      </c>
      <c r="O22" s="753" t="e">
        <f t="shared" si="2"/>
        <v>#DIV/0!</v>
      </c>
      <c r="P22" s="838" t="e">
        <f t="shared" si="3"/>
        <v>#N/A</v>
      </c>
      <c r="R22" s="758" t="e">
        <f t="shared" si="7"/>
        <v>#DIV/0!</v>
      </c>
      <c r="S22" s="757" t="e">
        <f t="shared" si="4"/>
        <v>#DIV/0!</v>
      </c>
    </row>
    <row r="23" spans="1:19">
      <c r="A23" s="736"/>
      <c r="B23" s="616"/>
      <c r="C23" s="737"/>
      <c r="D23" s="614"/>
      <c r="E23" s="738"/>
      <c r="F23" s="739"/>
      <c r="G23" s="739"/>
      <c r="H23" s="740"/>
      <c r="I23" s="741"/>
      <c r="K23" s="758" t="e">
        <f t="shared" si="0"/>
        <v>#DIV/0!</v>
      </c>
      <c r="L23" s="754" t="e">
        <f t="shared" si="5"/>
        <v>#DIV/0!</v>
      </c>
      <c r="M23" s="754" t="e">
        <f t="shared" si="6"/>
        <v>#VALUE!</v>
      </c>
      <c r="N23" s="756" t="e">
        <f t="shared" si="1"/>
        <v>#VALUE!</v>
      </c>
      <c r="O23" s="753" t="e">
        <f t="shared" si="2"/>
        <v>#DIV/0!</v>
      </c>
      <c r="P23" s="838" t="e">
        <f t="shared" si="3"/>
        <v>#N/A</v>
      </c>
      <c r="R23" s="758" t="e">
        <f t="shared" si="7"/>
        <v>#DIV/0!</v>
      </c>
      <c r="S23" s="757" t="e">
        <f t="shared" si="4"/>
        <v>#DIV/0!</v>
      </c>
    </row>
    <row r="24" spans="1:19">
      <c r="A24" s="736"/>
      <c r="B24" s="616"/>
      <c r="C24" s="737"/>
      <c r="D24" s="614"/>
      <c r="E24" s="738"/>
      <c r="F24" s="739"/>
      <c r="G24" s="739"/>
      <c r="H24" s="740"/>
      <c r="I24" s="741"/>
      <c r="K24" s="758" t="e">
        <f t="shared" si="0"/>
        <v>#DIV/0!</v>
      </c>
      <c r="L24" s="754" t="e">
        <f t="shared" si="5"/>
        <v>#DIV/0!</v>
      </c>
      <c r="M24" s="754" t="e">
        <f t="shared" si="6"/>
        <v>#VALUE!</v>
      </c>
      <c r="N24" s="756" t="e">
        <f t="shared" si="1"/>
        <v>#VALUE!</v>
      </c>
      <c r="O24" s="753" t="e">
        <f t="shared" si="2"/>
        <v>#DIV/0!</v>
      </c>
      <c r="P24" s="838" t="e">
        <f t="shared" si="3"/>
        <v>#N/A</v>
      </c>
      <c r="R24" s="758" t="e">
        <f t="shared" si="7"/>
        <v>#DIV/0!</v>
      </c>
      <c r="S24" s="757" t="e">
        <f t="shared" si="4"/>
        <v>#DIV/0!</v>
      </c>
    </row>
    <row r="25" spans="1:19">
      <c r="A25" s="736"/>
      <c r="B25" s="616"/>
      <c r="C25" s="737"/>
      <c r="D25" s="614"/>
      <c r="E25" s="738"/>
      <c r="F25" s="739"/>
      <c r="G25" s="739"/>
      <c r="H25" s="740"/>
      <c r="I25" s="741"/>
      <c r="K25" s="758" t="e">
        <f t="shared" si="0"/>
        <v>#DIV/0!</v>
      </c>
      <c r="L25" s="754" t="e">
        <f t="shared" si="5"/>
        <v>#DIV/0!</v>
      </c>
      <c r="M25" s="754" t="e">
        <f t="shared" si="6"/>
        <v>#VALUE!</v>
      </c>
      <c r="N25" s="756" t="e">
        <f t="shared" si="1"/>
        <v>#VALUE!</v>
      </c>
      <c r="O25" s="753" t="e">
        <f t="shared" si="2"/>
        <v>#DIV/0!</v>
      </c>
      <c r="P25" s="838" t="e">
        <f t="shared" si="3"/>
        <v>#N/A</v>
      </c>
      <c r="R25" s="758" t="e">
        <f t="shared" si="7"/>
        <v>#DIV/0!</v>
      </c>
      <c r="S25" s="757" t="e">
        <f t="shared" si="4"/>
        <v>#DIV/0!</v>
      </c>
    </row>
    <row r="26" spans="1:19">
      <c r="A26" s="736"/>
      <c r="B26" s="616"/>
      <c r="C26" s="737"/>
      <c r="D26" s="614"/>
      <c r="E26" s="738"/>
      <c r="F26" s="739"/>
      <c r="G26" s="739"/>
      <c r="H26" s="740"/>
      <c r="I26" s="741"/>
      <c r="K26" s="758" t="e">
        <f t="shared" si="0"/>
        <v>#DIV/0!</v>
      </c>
      <c r="L26" s="754" t="e">
        <f t="shared" si="5"/>
        <v>#DIV/0!</v>
      </c>
      <c r="M26" s="754" t="e">
        <f t="shared" si="6"/>
        <v>#VALUE!</v>
      </c>
      <c r="N26" s="756" t="e">
        <f t="shared" si="1"/>
        <v>#VALUE!</v>
      </c>
      <c r="O26" s="753" t="e">
        <f t="shared" si="2"/>
        <v>#DIV/0!</v>
      </c>
      <c r="P26" s="838" t="e">
        <f t="shared" si="3"/>
        <v>#N/A</v>
      </c>
      <c r="R26" s="758" t="e">
        <f t="shared" si="7"/>
        <v>#DIV/0!</v>
      </c>
      <c r="S26" s="757" t="e">
        <f t="shared" si="4"/>
        <v>#DIV/0!</v>
      </c>
    </row>
    <row r="27" spans="1:19">
      <c r="A27" s="736"/>
      <c r="B27" s="616"/>
      <c r="C27" s="737"/>
      <c r="D27" s="614"/>
      <c r="E27" s="738"/>
      <c r="F27" s="739"/>
      <c r="G27" s="739"/>
      <c r="H27" s="740"/>
      <c r="I27" s="741"/>
      <c r="K27" s="758" t="e">
        <f t="shared" si="0"/>
        <v>#DIV/0!</v>
      </c>
      <c r="L27" s="754" t="e">
        <f t="shared" si="5"/>
        <v>#DIV/0!</v>
      </c>
      <c r="M27" s="754" t="e">
        <f t="shared" si="6"/>
        <v>#VALUE!</v>
      </c>
      <c r="N27" s="756" t="e">
        <f t="shared" si="1"/>
        <v>#VALUE!</v>
      </c>
      <c r="O27" s="753" t="e">
        <f t="shared" si="2"/>
        <v>#DIV/0!</v>
      </c>
      <c r="P27" s="838" t="e">
        <f t="shared" si="3"/>
        <v>#N/A</v>
      </c>
      <c r="R27" s="758" t="e">
        <f t="shared" si="7"/>
        <v>#DIV/0!</v>
      </c>
      <c r="S27" s="757" t="e">
        <f t="shared" si="4"/>
        <v>#DIV/0!</v>
      </c>
    </row>
    <row r="28" spans="1:19">
      <c r="A28" s="736"/>
      <c r="B28" s="616"/>
      <c r="C28" s="737"/>
      <c r="D28" s="614"/>
      <c r="E28" s="738"/>
      <c r="F28" s="739"/>
      <c r="G28" s="739"/>
      <c r="H28" s="740"/>
      <c r="I28" s="741"/>
      <c r="K28" s="758" t="e">
        <f t="shared" si="0"/>
        <v>#DIV/0!</v>
      </c>
      <c r="L28" s="754" t="e">
        <f t="shared" si="5"/>
        <v>#DIV/0!</v>
      </c>
      <c r="M28" s="754" t="e">
        <f t="shared" si="6"/>
        <v>#VALUE!</v>
      </c>
      <c r="N28" s="756" t="e">
        <f t="shared" si="1"/>
        <v>#VALUE!</v>
      </c>
      <c r="O28" s="753" t="e">
        <f t="shared" si="2"/>
        <v>#DIV/0!</v>
      </c>
      <c r="P28" s="838" t="e">
        <f t="shared" si="3"/>
        <v>#N/A</v>
      </c>
      <c r="R28" s="758" t="e">
        <f t="shared" si="7"/>
        <v>#DIV/0!</v>
      </c>
      <c r="S28" s="757" t="e">
        <f t="shared" si="4"/>
        <v>#DIV/0!</v>
      </c>
    </row>
    <row r="29" spans="1:19">
      <c r="A29" s="736"/>
      <c r="B29" s="616"/>
      <c r="C29" s="737"/>
      <c r="D29" s="614"/>
      <c r="E29" s="738"/>
      <c r="F29" s="739"/>
      <c r="G29" s="739"/>
      <c r="H29" s="740"/>
      <c r="I29" s="741"/>
      <c r="K29" s="758" t="e">
        <f t="shared" si="0"/>
        <v>#DIV/0!</v>
      </c>
      <c r="L29" s="754" t="e">
        <f t="shared" si="5"/>
        <v>#DIV/0!</v>
      </c>
      <c r="M29" s="754" t="e">
        <f t="shared" si="6"/>
        <v>#VALUE!</v>
      </c>
      <c r="N29" s="756" t="e">
        <f t="shared" si="1"/>
        <v>#VALUE!</v>
      </c>
      <c r="O29" s="753" t="e">
        <f t="shared" si="2"/>
        <v>#DIV/0!</v>
      </c>
      <c r="P29" s="838" t="e">
        <f t="shared" si="3"/>
        <v>#N/A</v>
      </c>
      <c r="R29" s="758" t="e">
        <f t="shared" si="7"/>
        <v>#DIV/0!</v>
      </c>
      <c r="S29" s="757" t="e">
        <f t="shared" si="4"/>
        <v>#DIV/0!</v>
      </c>
    </row>
    <row r="30" spans="1:19">
      <c r="A30" s="736"/>
      <c r="B30" s="616"/>
      <c r="C30" s="737"/>
      <c r="D30" s="614"/>
      <c r="E30" s="738"/>
      <c r="F30" s="739"/>
      <c r="G30" s="739"/>
      <c r="H30" s="740"/>
      <c r="I30" s="741"/>
      <c r="K30" s="758" t="e">
        <f t="shared" si="0"/>
        <v>#DIV/0!</v>
      </c>
      <c r="L30" s="754" t="e">
        <f t="shared" si="5"/>
        <v>#DIV/0!</v>
      </c>
      <c r="M30" s="754" t="e">
        <f t="shared" si="6"/>
        <v>#VALUE!</v>
      </c>
      <c r="N30" s="756" t="e">
        <f t="shared" si="1"/>
        <v>#VALUE!</v>
      </c>
      <c r="O30" s="753" t="e">
        <f t="shared" si="2"/>
        <v>#DIV/0!</v>
      </c>
      <c r="P30" s="838" t="e">
        <f t="shared" si="3"/>
        <v>#N/A</v>
      </c>
      <c r="R30" s="758" t="e">
        <f t="shared" si="7"/>
        <v>#DIV/0!</v>
      </c>
      <c r="S30" s="757" t="e">
        <f t="shared" si="4"/>
        <v>#DIV/0!</v>
      </c>
    </row>
    <row r="31" spans="1:19">
      <c r="A31" s="736"/>
      <c r="B31" s="616"/>
      <c r="C31" s="737"/>
      <c r="D31" s="614"/>
      <c r="E31" s="738"/>
      <c r="F31" s="739"/>
      <c r="G31" s="739"/>
      <c r="H31" s="740"/>
      <c r="I31" s="741"/>
      <c r="K31" s="758" t="e">
        <f t="shared" si="0"/>
        <v>#DIV/0!</v>
      </c>
      <c r="L31" s="754" t="e">
        <f t="shared" si="5"/>
        <v>#DIV/0!</v>
      </c>
      <c r="M31" s="754" t="e">
        <f t="shared" si="6"/>
        <v>#VALUE!</v>
      </c>
      <c r="N31" s="756" t="e">
        <f t="shared" si="1"/>
        <v>#VALUE!</v>
      </c>
      <c r="O31" s="753" t="e">
        <f t="shared" si="2"/>
        <v>#DIV/0!</v>
      </c>
      <c r="P31" s="838" t="e">
        <f t="shared" si="3"/>
        <v>#N/A</v>
      </c>
      <c r="R31" s="758" t="e">
        <f t="shared" si="7"/>
        <v>#DIV/0!</v>
      </c>
      <c r="S31" s="757" t="e">
        <f t="shared" si="4"/>
        <v>#DIV/0!</v>
      </c>
    </row>
    <row r="32" spans="1:19">
      <c r="A32" s="736"/>
      <c r="B32" s="616"/>
      <c r="C32" s="737"/>
      <c r="D32" s="614"/>
      <c r="E32" s="738"/>
      <c r="F32" s="739"/>
      <c r="G32" s="739"/>
      <c r="H32" s="740"/>
      <c r="I32" s="741"/>
      <c r="K32" s="758" t="e">
        <f t="shared" si="0"/>
        <v>#DIV/0!</v>
      </c>
      <c r="L32" s="754" t="e">
        <f t="shared" si="5"/>
        <v>#DIV/0!</v>
      </c>
      <c r="M32" s="754" t="e">
        <f t="shared" si="6"/>
        <v>#VALUE!</v>
      </c>
      <c r="N32" s="756" t="e">
        <f t="shared" si="1"/>
        <v>#VALUE!</v>
      </c>
      <c r="O32" s="753" t="e">
        <f t="shared" si="2"/>
        <v>#DIV/0!</v>
      </c>
      <c r="P32" s="838" t="e">
        <f t="shared" si="3"/>
        <v>#N/A</v>
      </c>
      <c r="R32" s="758" t="e">
        <f t="shared" si="7"/>
        <v>#DIV/0!</v>
      </c>
      <c r="S32" s="757" t="e">
        <f t="shared" si="4"/>
        <v>#DIV/0!</v>
      </c>
    </row>
    <row r="33" spans="1:19">
      <c r="A33" s="736"/>
      <c r="B33" s="616"/>
      <c r="C33" s="737"/>
      <c r="D33" s="614"/>
      <c r="E33" s="738"/>
      <c r="F33" s="739"/>
      <c r="G33" s="739"/>
      <c r="H33" s="740"/>
      <c r="I33" s="741"/>
      <c r="K33" s="758" t="e">
        <f t="shared" si="0"/>
        <v>#DIV/0!</v>
      </c>
      <c r="L33" s="754" t="e">
        <f t="shared" si="5"/>
        <v>#DIV/0!</v>
      </c>
      <c r="M33" s="754" t="e">
        <f t="shared" si="6"/>
        <v>#VALUE!</v>
      </c>
      <c r="N33" s="756" t="e">
        <f t="shared" si="1"/>
        <v>#VALUE!</v>
      </c>
      <c r="O33" s="753" t="e">
        <f t="shared" si="2"/>
        <v>#DIV/0!</v>
      </c>
      <c r="P33" s="838" t="e">
        <f t="shared" si="3"/>
        <v>#N/A</v>
      </c>
      <c r="R33" s="758" t="e">
        <f t="shared" si="7"/>
        <v>#DIV/0!</v>
      </c>
      <c r="S33" s="757" t="e">
        <f t="shared" si="4"/>
        <v>#DIV/0!</v>
      </c>
    </row>
    <row r="34" spans="1:19">
      <c r="A34" s="736"/>
      <c r="B34" s="616"/>
      <c r="C34" s="737"/>
      <c r="D34" s="614"/>
      <c r="E34" s="738"/>
      <c r="F34" s="739"/>
      <c r="G34" s="739"/>
      <c r="H34" s="740"/>
      <c r="I34" s="741"/>
      <c r="K34" s="758" t="e">
        <f t="shared" si="0"/>
        <v>#DIV/0!</v>
      </c>
      <c r="L34" s="754" t="e">
        <f t="shared" si="5"/>
        <v>#DIV/0!</v>
      </c>
      <c r="M34" s="754" t="e">
        <f t="shared" si="6"/>
        <v>#VALUE!</v>
      </c>
      <c r="N34" s="756" t="e">
        <f t="shared" si="1"/>
        <v>#VALUE!</v>
      </c>
      <c r="O34" s="753" t="e">
        <f t="shared" si="2"/>
        <v>#DIV/0!</v>
      </c>
      <c r="P34" s="838" t="e">
        <f t="shared" si="3"/>
        <v>#N/A</v>
      </c>
      <c r="R34" s="758" t="e">
        <f t="shared" si="7"/>
        <v>#DIV/0!</v>
      </c>
      <c r="S34" s="757" t="e">
        <f t="shared" si="4"/>
        <v>#DIV/0!</v>
      </c>
    </row>
    <row r="35" spans="1:19">
      <c r="A35" s="736"/>
      <c r="B35" s="616"/>
      <c r="C35" s="737"/>
      <c r="D35" s="614"/>
      <c r="E35" s="738"/>
      <c r="F35" s="739"/>
      <c r="G35" s="739"/>
      <c r="H35" s="740"/>
      <c r="I35" s="741"/>
      <c r="K35" s="758" t="e">
        <f t="shared" si="0"/>
        <v>#DIV/0!</v>
      </c>
      <c r="L35" s="754" t="e">
        <f t="shared" si="5"/>
        <v>#DIV/0!</v>
      </c>
      <c r="M35" s="754" t="e">
        <f t="shared" si="6"/>
        <v>#VALUE!</v>
      </c>
      <c r="N35" s="756" t="e">
        <f t="shared" si="1"/>
        <v>#VALUE!</v>
      </c>
      <c r="O35" s="753" t="e">
        <f t="shared" si="2"/>
        <v>#DIV/0!</v>
      </c>
      <c r="P35" s="838" t="e">
        <f t="shared" si="3"/>
        <v>#N/A</v>
      </c>
      <c r="R35" s="758" t="e">
        <f t="shared" si="7"/>
        <v>#DIV/0!</v>
      </c>
      <c r="S35" s="757" t="e">
        <f t="shared" si="4"/>
        <v>#DIV/0!</v>
      </c>
    </row>
    <row r="36" spans="1:19">
      <c r="A36" s="736"/>
      <c r="B36" s="616"/>
      <c r="C36" s="737"/>
      <c r="D36" s="614"/>
      <c r="E36" s="738"/>
      <c r="F36" s="739"/>
      <c r="G36" s="739"/>
      <c r="H36" s="740"/>
      <c r="I36" s="741"/>
      <c r="K36" s="758" t="e">
        <f t="shared" si="0"/>
        <v>#DIV/0!</v>
      </c>
      <c r="L36" s="754" t="e">
        <f t="shared" si="5"/>
        <v>#DIV/0!</v>
      </c>
      <c r="M36" s="754" t="e">
        <f t="shared" si="6"/>
        <v>#VALUE!</v>
      </c>
      <c r="N36" s="756" t="e">
        <f t="shared" si="1"/>
        <v>#VALUE!</v>
      </c>
      <c r="O36" s="753" t="e">
        <f t="shared" si="2"/>
        <v>#DIV/0!</v>
      </c>
      <c r="P36" s="838" t="e">
        <f t="shared" si="3"/>
        <v>#N/A</v>
      </c>
      <c r="R36" s="758" t="e">
        <f t="shared" si="7"/>
        <v>#DIV/0!</v>
      </c>
      <c r="S36" s="757" t="e">
        <f t="shared" si="4"/>
        <v>#DIV/0!</v>
      </c>
    </row>
    <row r="37" spans="1:19" ht="15" thickBot="1">
      <c r="A37" s="742"/>
      <c r="B37" s="619"/>
      <c r="C37" s="743"/>
      <c r="D37" s="605"/>
      <c r="E37" s="744"/>
      <c r="F37" s="745"/>
      <c r="G37" s="745"/>
      <c r="H37" s="746"/>
      <c r="I37" s="747"/>
      <c r="K37" s="760" t="e">
        <f t="shared" si="0"/>
        <v>#DIV/0!</v>
      </c>
      <c r="L37" s="761" t="e">
        <f t="shared" si="5"/>
        <v>#DIV/0!</v>
      </c>
      <c r="M37" s="761" t="e">
        <f t="shared" si="6"/>
        <v>#VALUE!</v>
      </c>
      <c r="N37" s="836" t="e">
        <f t="shared" si="1"/>
        <v>#VALUE!</v>
      </c>
      <c r="O37" s="767" t="e">
        <f t="shared" si="2"/>
        <v>#DIV/0!</v>
      </c>
      <c r="P37" s="839" t="e">
        <f t="shared" si="3"/>
        <v>#N/A</v>
      </c>
      <c r="R37" s="760" t="e">
        <f t="shared" si="7"/>
        <v>#DIV/0!</v>
      </c>
      <c r="S37" s="764" t="e">
        <f t="shared" si="4"/>
        <v>#DIV/0!</v>
      </c>
    </row>
    <row r="38" spans="1:19">
      <c r="A38" s="220"/>
      <c r="B38" s="566" t="s">
        <v>114</v>
      </c>
      <c r="C38" s="131"/>
      <c r="D38" s="221"/>
      <c r="E38" s="191">
        <f>COUNTIFS($B$19:$B$37,$B38)</f>
        <v>0</v>
      </c>
      <c r="F38" s="192">
        <f t="shared" ref="F38:I39" si="8">SUMIFS(F$19:F$37,$B$19:$B$37,$B38)</f>
        <v>0</v>
      </c>
      <c r="G38" s="192">
        <f t="shared" si="8"/>
        <v>0</v>
      </c>
      <c r="H38" s="373">
        <f t="shared" si="8"/>
        <v>0</v>
      </c>
      <c r="I38" s="193">
        <f t="shared" si="8"/>
        <v>0</v>
      </c>
      <c r="K38" s="214">
        <f t="shared" ref="K38:N39" si="9">SUMIFS(K$19:K$37,$B$19:$B$37,$B38)</f>
        <v>0</v>
      </c>
      <c r="L38" s="89">
        <f t="shared" si="9"/>
        <v>0</v>
      </c>
      <c r="M38" s="89">
        <f t="shared" si="9"/>
        <v>0</v>
      </c>
      <c r="N38" s="90">
        <f t="shared" si="9"/>
        <v>0</v>
      </c>
      <c r="O38" s="215"/>
      <c r="P38" s="426">
        <f>SUMIFS(P$19:P$37,$B$19:$B$37,$B38)</f>
        <v>0</v>
      </c>
      <c r="R38" s="214"/>
      <c r="S38" s="194">
        <f>SUMIFS(S$19:S$37,$B$19:$B$37,$B38)</f>
        <v>0</v>
      </c>
    </row>
    <row r="39" spans="1:19" ht="15" thickBot="1">
      <c r="A39" s="404"/>
      <c r="B39" s="377" t="s">
        <v>494</v>
      </c>
      <c r="C39" s="290"/>
      <c r="D39" s="405"/>
      <c r="E39" s="406">
        <f>COUNTIFS($B$19:$B$37,$B39)</f>
        <v>0</v>
      </c>
      <c r="F39" s="407">
        <f t="shared" si="8"/>
        <v>0</v>
      </c>
      <c r="G39" s="407">
        <f t="shared" si="8"/>
        <v>0</v>
      </c>
      <c r="H39" s="408">
        <f t="shared" si="8"/>
        <v>0</v>
      </c>
      <c r="I39" s="409">
        <f t="shared" si="8"/>
        <v>0</v>
      </c>
      <c r="K39" s="410">
        <f t="shared" si="9"/>
        <v>0</v>
      </c>
      <c r="L39" s="567">
        <f t="shared" si="9"/>
        <v>0</v>
      </c>
      <c r="M39" s="567">
        <f t="shared" si="9"/>
        <v>0</v>
      </c>
      <c r="N39" s="412">
        <f t="shared" si="9"/>
        <v>0</v>
      </c>
      <c r="O39" s="411"/>
      <c r="P39" s="429">
        <f>SUMIFS(P$19:P$37,$B$19:$B$37,$B39)</f>
        <v>0</v>
      </c>
      <c r="R39" s="410"/>
      <c r="S39" s="413">
        <f>SUMIFS(S$19:S$37,$B$19:$B$37,$B39)</f>
        <v>0</v>
      </c>
    </row>
    <row r="40" spans="1:19" ht="15" thickBot="1">
      <c r="A40" s="555"/>
      <c r="B40" s="573" t="s">
        <v>11</v>
      </c>
      <c r="C40" s="556"/>
      <c r="D40" s="554"/>
      <c r="E40" s="216">
        <f>COUNT(E$19:E$37)</f>
        <v>0</v>
      </c>
      <c r="F40" s="217">
        <f>SUM(F$19:F$37)</f>
        <v>0</v>
      </c>
      <c r="G40" s="217">
        <f>SUM(G$19:G$37)</f>
        <v>0</v>
      </c>
      <c r="H40" s="375">
        <f>SUM(H$19:H$37)</f>
        <v>0</v>
      </c>
      <c r="I40" s="203">
        <f>SUM(I$19:I$37)</f>
        <v>0</v>
      </c>
      <c r="K40" s="204" t="e">
        <f>SUBTOTAL(109,K$19:K$37)</f>
        <v>#DIV/0!</v>
      </c>
      <c r="L40" s="100" t="e">
        <f>SUBTOTAL(109,L$19:L$37)</f>
        <v>#DIV/0!</v>
      </c>
      <c r="M40" s="371" t="e">
        <f>SUBTOTAL(109,M$19:M$37)</f>
        <v>#VALUE!</v>
      </c>
      <c r="N40" s="101" t="e">
        <f>SUBTOTAL(109,N$19:N$37)</f>
        <v>#VALUE!</v>
      </c>
      <c r="O40" s="99"/>
      <c r="P40" s="430" t="e">
        <f>SUBTOTAL(109,P$19:P$37)</f>
        <v>#N/A</v>
      </c>
      <c r="R40" s="204"/>
      <c r="S40" s="205" t="e">
        <f>SUBTOTAL(109,S$19:S$37)</f>
        <v>#DIV/0!</v>
      </c>
    </row>
  </sheetData>
  <sheetProtection algorithmName="SHA-512" hashValue="iXkT/DB+WW1WS1QbY8zCihIE/2Ip6h7DON6OgBjF1sGFkduIoHdgoZegAIFB1QNwywa4QNKAg9L95dMOZMzikA==" saltValue="wie2WdNCEpkka4bGLpCBKg==" spinCount="100000" sheet="1" objects="1" scenarios="1" insertRows="0" deleteRows="0" sort="0" autoFilter="0"/>
  <autoFilter ref="A18:S18" xr:uid="{EB761274-3C17-4E98-87F5-165452D75839}"/>
  <mergeCells count="9">
    <mergeCell ref="A1:P1"/>
    <mergeCell ref="O17:O18"/>
    <mergeCell ref="R17:S17"/>
    <mergeCell ref="D4:E4"/>
    <mergeCell ref="I7:I15"/>
    <mergeCell ref="K14:O14"/>
    <mergeCell ref="N17:N18"/>
    <mergeCell ref="M17:M18"/>
    <mergeCell ref="P17:P18"/>
  </mergeCells>
  <dataValidations count="4">
    <dataValidation type="list" allowBlank="1" showInputMessage="1" showErrorMessage="1" sqref="E19:E37" xr:uid="{E2D68E6E-A566-4098-8091-7014CDB10018}">
      <formula1>"AMR,MMR,DM - MR1,DM - MR3,KM"</formula1>
    </dataValidation>
    <dataValidation type="list" allowBlank="1" showInputMessage="1" showErrorMessage="1" sqref="C19:C37" xr:uid="{A4038602-1109-40CF-A5DF-7548A80A6573}">
      <formula1>"x"</formula1>
    </dataValidation>
    <dataValidation type="list" allowBlank="1" showInputMessage="1" showErrorMessage="1" sqref="B19:B37" xr:uid="{DD5BD406-1307-4A61-97CD-68E08C3699F2}">
      <formula1>$B$38:$B$39</formula1>
    </dataValidation>
    <dataValidation type="list" allowBlank="1" showInputMessage="1" showErrorMessage="1" sqref="D19:D37" xr:uid="{8C65A8BA-69AD-402D-8E0C-3E37FFE0805D}">
      <formula1>"Op jaarbasis,Op maandbasis"</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7423B-9CE9-4D2C-842B-C1FACF1FD5BB}">
  <sheetPr published="0"/>
  <dimension ref="A1:J38"/>
  <sheetViews>
    <sheetView workbookViewId="0">
      <selection activeCell="D4" sqref="D4:E4"/>
    </sheetView>
  </sheetViews>
  <sheetFormatPr defaultColWidth="20.7265625" defaultRowHeight="14.5"/>
  <cols>
    <col min="1" max="1" width="20.7265625" style="563"/>
    <col min="2" max="2" width="25.81640625" style="563" customWidth="1"/>
    <col min="3" max="7" width="20.7265625" style="563"/>
    <col min="8" max="8" width="5.7265625" style="563" customWidth="1"/>
    <col min="9" max="16384" width="20.7265625" style="563"/>
  </cols>
  <sheetData>
    <row r="1" spans="1:10" ht="30" customHeight="1" thickBot="1">
      <c r="A1" s="1713" t="s">
        <v>331</v>
      </c>
      <c r="B1" s="1714"/>
      <c r="C1" s="1714"/>
      <c r="D1" s="1714"/>
      <c r="E1" s="1714"/>
      <c r="F1" s="1714"/>
      <c r="G1" s="1780"/>
    </row>
    <row r="2" spans="1:10">
      <c r="B2" s="1"/>
      <c r="C2" s="1"/>
      <c r="D2" s="1"/>
      <c r="E2" s="1"/>
      <c r="F2" s="1"/>
    </row>
    <row r="3" spans="1:10" ht="15" thickBot="1">
      <c r="B3" s="1"/>
      <c r="C3" s="1"/>
      <c r="D3" s="1"/>
      <c r="E3" s="1"/>
      <c r="F3" s="1"/>
    </row>
    <row r="4" spans="1:10" ht="15" thickBot="1">
      <c r="B4" s="129" t="s">
        <v>6</v>
      </c>
      <c r="D4" s="1722" t="str">
        <f>DNB</f>
        <v>Naam distributienetbeheerder</v>
      </c>
      <c r="E4" s="1724"/>
      <c r="F4" s="1"/>
    </row>
    <row r="6" spans="1:10" ht="15" thickBot="1"/>
    <row r="7" spans="1:10" ht="16.5">
      <c r="D7" s="1832" t="s">
        <v>147</v>
      </c>
      <c r="E7" s="210" t="s">
        <v>333</v>
      </c>
      <c r="F7" s="440" t="e">
        <f>INDEX(Tabel3B[Injectieklanten (∑)],7)</f>
        <v>#VALUE!</v>
      </c>
      <c r="G7" s="431"/>
    </row>
    <row r="8" spans="1:10" ht="15" thickBot="1">
      <c r="D8" s="1794"/>
      <c r="E8" s="382" t="s">
        <v>514</v>
      </c>
      <c r="F8" s="423"/>
      <c r="G8" s="427" t="e">
        <f>INDEX(Tabel3B[Injectieklanten (∑)],14)</f>
        <v>#DIV/0!</v>
      </c>
    </row>
    <row r="9" spans="1:10" ht="30" customHeight="1" thickBot="1">
      <c r="D9" s="1794"/>
      <c r="E9" s="211" t="s">
        <v>125</v>
      </c>
      <c r="F9" s="840"/>
      <c r="G9" s="433"/>
    </row>
    <row r="10" spans="1:10" ht="30" customHeight="1" thickBot="1">
      <c r="D10" s="1795"/>
      <c r="E10" s="213" t="s">
        <v>131</v>
      </c>
      <c r="F10" s="379"/>
      <c r="G10" s="434"/>
    </row>
    <row r="11" spans="1:10" ht="15" thickBot="1"/>
    <row r="12" spans="1:10" ht="30" customHeight="1" thickBot="1">
      <c r="F12" s="1830" t="s">
        <v>78</v>
      </c>
      <c r="G12" s="1833" t="s">
        <v>79</v>
      </c>
      <c r="I12" s="1784" t="s">
        <v>133</v>
      </c>
      <c r="J12" s="1740"/>
    </row>
    <row r="13" spans="1:10" ht="17" thickBot="1">
      <c r="A13" s="572" t="s">
        <v>141</v>
      </c>
      <c r="B13" s="183" t="s">
        <v>102</v>
      </c>
      <c r="C13" s="185" t="s">
        <v>24</v>
      </c>
      <c r="D13" s="187" t="s">
        <v>333</v>
      </c>
      <c r="F13" s="1831"/>
      <c r="G13" s="1829"/>
      <c r="I13" s="188" t="s">
        <v>125</v>
      </c>
      <c r="J13" s="189" t="s">
        <v>126</v>
      </c>
    </row>
    <row r="14" spans="1:10">
      <c r="A14" s="728"/>
      <c r="B14" s="729"/>
      <c r="C14" s="732"/>
      <c r="D14" s="735"/>
      <c r="F14" s="762" t="e">
        <f>$D14*$F$7</f>
        <v>#VALUE!</v>
      </c>
      <c r="G14" s="837" t="e">
        <f>INDEX($G$8:$G$8,MATCH($C14,$E$8:$E$8,0))</f>
        <v>#N/A</v>
      </c>
      <c r="I14" s="762">
        <f>$F$9*$D14</f>
        <v>0</v>
      </c>
      <c r="J14" s="763" t="e">
        <f>MAX($F14-$I14,0)</f>
        <v>#VALUE!</v>
      </c>
    </row>
    <row r="15" spans="1:10">
      <c r="A15" s="736"/>
      <c r="B15" s="616"/>
      <c r="C15" s="738"/>
      <c r="D15" s="741"/>
      <c r="F15" s="758" t="e">
        <f>$D15*$F$7</f>
        <v>#VALUE!</v>
      </c>
      <c r="G15" s="838" t="e">
        <f>INDEX($G$8:$G$8,MATCH($C15,$E$8:$E$8,0))</f>
        <v>#N/A</v>
      </c>
      <c r="I15" s="758">
        <f t="shared" ref="I15:I32" si="0">$F$9*$D15</f>
        <v>0</v>
      </c>
      <c r="J15" s="757" t="e">
        <f t="shared" ref="J15:J32" si="1">MAX($F15-$I15,0)</f>
        <v>#VALUE!</v>
      </c>
    </row>
    <row r="16" spans="1:10">
      <c r="A16" s="736"/>
      <c r="B16" s="616"/>
      <c r="C16" s="738"/>
      <c r="D16" s="741"/>
      <c r="F16" s="758" t="e">
        <f t="shared" ref="F16:F31" si="2">$D16*$F$7</f>
        <v>#VALUE!</v>
      </c>
      <c r="G16" s="838" t="e">
        <f t="shared" ref="G16:G32" si="3">INDEX($G$8:$G$8,MATCH($C16,$E$8:$E$8,0))</f>
        <v>#N/A</v>
      </c>
      <c r="I16" s="758">
        <f t="shared" si="0"/>
        <v>0</v>
      </c>
      <c r="J16" s="757" t="e">
        <f t="shared" si="1"/>
        <v>#VALUE!</v>
      </c>
    </row>
    <row r="17" spans="1:10">
      <c r="A17" s="736"/>
      <c r="B17" s="616"/>
      <c r="C17" s="738"/>
      <c r="D17" s="741"/>
      <c r="F17" s="758" t="e">
        <f t="shared" si="2"/>
        <v>#VALUE!</v>
      </c>
      <c r="G17" s="838" t="e">
        <f t="shared" si="3"/>
        <v>#N/A</v>
      </c>
      <c r="I17" s="758">
        <f t="shared" si="0"/>
        <v>0</v>
      </c>
      <c r="J17" s="757" t="e">
        <f t="shared" si="1"/>
        <v>#VALUE!</v>
      </c>
    </row>
    <row r="18" spans="1:10">
      <c r="A18" s="736"/>
      <c r="B18" s="616"/>
      <c r="C18" s="738"/>
      <c r="D18" s="741"/>
      <c r="F18" s="758" t="e">
        <f t="shared" si="2"/>
        <v>#VALUE!</v>
      </c>
      <c r="G18" s="838" t="e">
        <f t="shared" si="3"/>
        <v>#N/A</v>
      </c>
      <c r="I18" s="758">
        <f t="shared" si="0"/>
        <v>0</v>
      </c>
      <c r="J18" s="757" t="e">
        <f t="shared" si="1"/>
        <v>#VALUE!</v>
      </c>
    </row>
    <row r="19" spans="1:10">
      <c r="A19" s="736"/>
      <c r="B19" s="616"/>
      <c r="C19" s="738"/>
      <c r="D19" s="741"/>
      <c r="F19" s="758" t="e">
        <f t="shared" si="2"/>
        <v>#VALUE!</v>
      </c>
      <c r="G19" s="838" t="e">
        <f t="shared" si="3"/>
        <v>#N/A</v>
      </c>
      <c r="I19" s="758">
        <f t="shared" si="0"/>
        <v>0</v>
      </c>
      <c r="J19" s="757" t="e">
        <f t="shared" si="1"/>
        <v>#VALUE!</v>
      </c>
    </row>
    <row r="20" spans="1:10">
      <c r="A20" s="736"/>
      <c r="B20" s="616"/>
      <c r="C20" s="738"/>
      <c r="D20" s="741"/>
      <c r="F20" s="758" t="e">
        <f t="shared" si="2"/>
        <v>#VALUE!</v>
      </c>
      <c r="G20" s="838" t="e">
        <f t="shared" si="3"/>
        <v>#N/A</v>
      </c>
      <c r="I20" s="758">
        <f t="shared" si="0"/>
        <v>0</v>
      </c>
      <c r="J20" s="757" t="e">
        <f t="shared" si="1"/>
        <v>#VALUE!</v>
      </c>
    </row>
    <row r="21" spans="1:10">
      <c r="A21" s="736"/>
      <c r="B21" s="616"/>
      <c r="C21" s="738"/>
      <c r="D21" s="741"/>
      <c r="F21" s="758" t="e">
        <f t="shared" si="2"/>
        <v>#VALUE!</v>
      </c>
      <c r="G21" s="838" t="e">
        <f>INDEX($G$8:$G$8,MATCH($C21,$E$8:$E$8,0))</f>
        <v>#N/A</v>
      </c>
      <c r="I21" s="758">
        <f t="shared" si="0"/>
        <v>0</v>
      </c>
      <c r="J21" s="757" t="e">
        <f t="shared" si="1"/>
        <v>#VALUE!</v>
      </c>
    </row>
    <row r="22" spans="1:10">
      <c r="A22" s="736"/>
      <c r="B22" s="616"/>
      <c r="C22" s="738"/>
      <c r="D22" s="741"/>
      <c r="F22" s="758" t="e">
        <f t="shared" si="2"/>
        <v>#VALUE!</v>
      </c>
      <c r="G22" s="838" t="e">
        <f t="shared" si="3"/>
        <v>#N/A</v>
      </c>
      <c r="I22" s="758">
        <f t="shared" si="0"/>
        <v>0</v>
      </c>
      <c r="J22" s="757" t="e">
        <f t="shared" si="1"/>
        <v>#VALUE!</v>
      </c>
    </row>
    <row r="23" spans="1:10">
      <c r="A23" s="736"/>
      <c r="B23" s="616"/>
      <c r="C23" s="738"/>
      <c r="D23" s="741"/>
      <c r="F23" s="758" t="e">
        <f t="shared" si="2"/>
        <v>#VALUE!</v>
      </c>
      <c r="G23" s="838" t="e">
        <f t="shared" si="3"/>
        <v>#N/A</v>
      </c>
      <c r="I23" s="758">
        <f t="shared" si="0"/>
        <v>0</v>
      </c>
      <c r="J23" s="757" t="e">
        <f t="shared" si="1"/>
        <v>#VALUE!</v>
      </c>
    </row>
    <row r="24" spans="1:10">
      <c r="A24" s="736"/>
      <c r="B24" s="616"/>
      <c r="C24" s="738"/>
      <c r="D24" s="741"/>
      <c r="F24" s="758" t="e">
        <f t="shared" si="2"/>
        <v>#VALUE!</v>
      </c>
      <c r="G24" s="838" t="e">
        <f t="shared" si="3"/>
        <v>#N/A</v>
      </c>
      <c r="I24" s="758">
        <f t="shared" si="0"/>
        <v>0</v>
      </c>
      <c r="J24" s="757" t="e">
        <f t="shared" si="1"/>
        <v>#VALUE!</v>
      </c>
    </row>
    <row r="25" spans="1:10">
      <c r="A25" s="736"/>
      <c r="B25" s="616"/>
      <c r="C25" s="738"/>
      <c r="D25" s="741"/>
      <c r="F25" s="758" t="e">
        <f t="shared" si="2"/>
        <v>#VALUE!</v>
      </c>
      <c r="G25" s="838" t="e">
        <f t="shared" si="3"/>
        <v>#N/A</v>
      </c>
      <c r="I25" s="758">
        <f t="shared" si="0"/>
        <v>0</v>
      </c>
      <c r="J25" s="757" t="e">
        <f t="shared" si="1"/>
        <v>#VALUE!</v>
      </c>
    </row>
    <row r="26" spans="1:10">
      <c r="A26" s="736"/>
      <c r="B26" s="616"/>
      <c r="C26" s="738"/>
      <c r="D26" s="741"/>
      <c r="F26" s="758" t="e">
        <f t="shared" si="2"/>
        <v>#VALUE!</v>
      </c>
      <c r="G26" s="838" t="e">
        <f t="shared" si="3"/>
        <v>#N/A</v>
      </c>
      <c r="I26" s="758">
        <f t="shared" si="0"/>
        <v>0</v>
      </c>
      <c r="J26" s="757" t="e">
        <f t="shared" si="1"/>
        <v>#VALUE!</v>
      </c>
    </row>
    <row r="27" spans="1:10">
      <c r="A27" s="736"/>
      <c r="B27" s="616"/>
      <c r="C27" s="738"/>
      <c r="D27" s="741"/>
      <c r="F27" s="758" t="e">
        <f t="shared" si="2"/>
        <v>#VALUE!</v>
      </c>
      <c r="G27" s="838" t="e">
        <f t="shared" si="3"/>
        <v>#N/A</v>
      </c>
      <c r="I27" s="758">
        <f t="shared" si="0"/>
        <v>0</v>
      </c>
      <c r="J27" s="757" t="e">
        <f t="shared" si="1"/>
        <v>#VALUE!</v>
      </c>
    </row>
    <row r="28" spans="1:10">
      <c r="A28" s="736"/>
      <c r="B28" s="616"/>
      <c r="C28" s="738"/>
      <c r="D28" s="741"/>
      <c r="F28" s="758" t="e">
        <f t="shared" si="2"/>
        <v>#VALUE!</v>
      </c>
      <c r="G28" s="838" t="e">
        <f t="shared" si="3"/>
        <v>#N/A</v>
      </c>
      <c r="I28" s="758">
        <f t="shared" si="0"/>
        <v>0</v>
      </c>
      <c r="J28" s="757" t="e">
        <f t="shared" si="1"/>
        <v>#VALUE!</v>
      </c>
    </row>
    <row r="29" spans="1:10">
      <c r="A29" s="736"/>
      <c r="B29" s="616"/>
      <c r="C29" s="738"/>
      <c r="D29" s="741"/>
      <c r="F29" s="758" t="e">
        <f t="shared" si="2"/>
        <v>#VALUE!</v>
      </c>
      <c r="G29" s="838" t="e">
        <f t="shared" si="3"/>
        <v>#N/A</v>
      </c>
      <c r="I29" s="758">
        <f t="shared" si="0"/>
        <v>0</v>
      </c>
      <c r="J29" s="757" t="e">
        <f t="shared" si="1"/>
        <v>#VALUE!</v>
      </c>
    </row>
    <row r="30" spans="1:10">
      <c r="A30" s="736"/>
      <c r="B30" s="616"/>
      <c r="C30" s="738"/>
      <c r="D30" s="741"/>
      <c r="F30" s="758" t="e">
        <f t="shared" si="2"/>
        <v>#VALUE!</v>
      </c>
      <c r="G30" s="838" t="e">
        <f t="shared" si="3"/>
        <v>#N/A</v>
      </c>
      <c r="I30" s="758">
        <f t="shared" si="0"/>
        <v>0</v>
      </c>
      <c r="J30" s="757" t="e">
        <f t="shared" si="1"/>
        <v>#VALUE!</v>
      </c>
    </row>
    <row r="31" spans="1:10">
      <c r="A31" s="736"/>
      <c r="B31" s="616"/>
      <c r="C31" s="738"/>
      <c r="D31" s="741"/>
      <c r="F31" s="758" t="e">
        <f t="shared" si="2"/>
        <v>#VALUE!</v>
      </c>
      <c r="G31" s="838" t="e">
        <f t="shared" si="3"/>
        <v>#N/A</v>
      </c>
      <c r="I31" s="758">
        <f t="shared" si="0"/>
        <v>0</v>
      </c>
      <c r="J31" s="757" t="e">
        <f t="shared" si="1"/>
        <v>#VALUE!</v>
      </c>
    </row>
    <row r="32" spans="1:10" ht="15" thickBot="1">
      <c r="A32" s="742"/>
      <c r="B32" s="619"/>
      <c r="C32" s="744"/>
      <c r="D32" s="747"/>
      <c r="F32" s="760" t="e">
        <f>$D32*$F$7</f>
        <v>#VALUE!</v>
      </c>
      <c r="G32" s="839" t="e">
        <f t="shared" si="3"/>
        <v>#N/A</v>
      </c>
      <c r="I32" s="760">
        <f t="shared" si="0"/>
        <v>0</v>
      </c>
      <c r="J32" s="764" t="e">
        <f t="shared" si="1"/>
        <v>#VALUE!</v>
      </c>
    </row>
    <row r="33" spans="1:10">
      <c r="A33" s="220"/>
      <c r="B33" s="566" t="s">
        <v>203</v>
      </c>
      <c r="C33" s="191">
        <f>COUNTIFS($B$14:$B$32,$B33)</f>
        <v>0</v>
      </c>
      <c r="D33" s="193">
        <f>SUMIFS(D$14:D$32,$B$14:$B$32,$B33)</f>
        <v>0</v>
      </c>
      <c r="F33" s="214">
        <f>SUMIFS(F$14:F$32,$B$14:$B$32,$B33)</f>
        <v>0</v>
      </c>
      <c r="G33" s="426">
        <f>SUMIFS(G$14:G$32,$B$14:$B$32,$B33)</f>
        <v>0</v>
      </c>
      <c r="I33" s="214"/>
      <c r="J33" s="194">
        <f>SUMIFS(J$14:J$32,$B$14:$B$32,$B33)</f>
        <v>0</v>
      </c>
    </row>
    <row r="34" spans="1:10">
      <c r="A34" s="380"/>
      <c r="B34" s="376" t="s">
        <v>258</v>
      </c>
      <c r="C34" s="441">
        <f>COUNTIFS($B$14:$B$32,$B34)</f>
        <v>0</v>
      </c>
      <c r="D34" s="442">
        <f>SUMIFS(D$14:D$32,$B$14:$B$32,$B34)</f>
        <v>0</v>
      </c>
      <c r="F34" s="195">
        <f t="shared" ref="F34:G36" si="4">SUMIFS(F$14:F$32,$B$14:$B$32,$B34)</f>
        <v>0</v>
      </c>
      <c r="G34" s="427">
        <f t="shared" si="4"/>
        <v>0</v>
      </c>
      <c r="I34" s="195"/>
      <c r="J34" s="196">
        <f>SUMIFS(J$14:J$32,$B$14:$B$32,$B34)</f>
        <v>0</v>
      </c>
    </row>
    <row r="35" spans="1:10">
      <c r="A35" s="380"/>
      <c r="B35" s="376" t="s">
        <v>262</v>
      </c>
      <c r="C35" s="441">
        <f>COUNTIFS($B$14:$B$32,$B35)</f>
        <v>0</v>
      </c>
      <c r="D35" s="442">
        <f>SUMIFS(D$14:D$32,$B$14:$B$32,$B35)</f>
        <v>0</v>
      </c>
      <c r="F35" s="195">
        <f t="shared" si="4"/>
        <v>0</v>
      </c>
      <c r="G35" s="427">
        <f t="shared" si="4"/>
        <v>0</v>
      </c>
      <c r="I35" s="195"/>
      <c r="J35" s="196">
        <f>SUMIFS(J$14:J$32,$B$14:$B$32,$B35)</f>
        <v>0</v>
      </c>
    </row>
    <row r="36" spans="1:10">
      <c r="A36" s="380"/>
      <c r="B36" s="376" t="s">
        <v>99</v>
      </c>
      <c r="C36" s="441">
        <f>COUNTIFS($B$14:$B$32,$B36)</f>
        <v>0</v>
      </c>
      <c r="D36" s="442">
        <f>SUMIFS(D$14:D$32,$B$14:$B$32,$B36)</f>
        <v>0</v>
      </c>
      <c r="F36" s="195">
        <f t="shared" si="4"/>
        <v>0</v>
      </c>
      <c r="G36" s="427">
        <f t="shared" si="4"/>
        <v>0</v>
      </c>
      <c r="I36" s="195"/>
      <c r="J36" s="196">
        <f>SUMIFS(J$14:J$32,$B$14:$B$32,$B36)</f>
        <v>0</v>
      </c>
    </row>
    <row r="37" spans="1:10" ht="15" thickBot="1">
      <c r="A37" s="219"/>
      <c r="B37" s="218" t="s">
        <v>100</v>
      </c>
      <c r="C37" s="197">
        <f>COUNTIFS($B$14:$B$32,$B37)</f>
        <v>0</v>
      </c>
      <c r="D37" s="199">
        <f>SUMIFS(D$14:D$32,$B$14:$B$32,$B37)</f>
        <v>0</v>
      </c>
      <c r="F37" s="200">
        <f>SUMIFS(F$14:F$32,$B$14:$B$32,$B37)</f>
        <v>0</v>
      </c>
      <c r="G37" s="428">
        <f>SUMIFS(G$14:G$32,$B$14:$B$32,$B37)</f>
        <v>0</v>
      </c>
      <c r="I37" s="200"/>
      <c r="J37" s="202">
        <f>SUMIFS(J$14:J$32,$B$14:$B$32,$B37)</f>
        <v>0</v>
      </c>
    </row>
    <row r="38" spans="1:10" ht="15" thickBot="1">
      <c r="A38" s="1781" t="s">
        <v>11</v>
      </c>
      <c r="B38" s="1782"/>
      <c r="C38" s="216">
        <f>COUNT(C$14:C$32)</f>
        <v>0</v>
      </c>
      <c r="D38" s="203">
        <f>SUM(D$14:D$32)</f>
        <v>0</v>
      </c>
      <c r="F38" s="204" t="e">
        <f>SUBTOTAL(109,F$14:F$32)</f>
        <v>#VALUE!</v>
      </c>
      <c r="G38" s="430" t="e">
        <f>SUBTOTAL(109,G$14:G$32)</f>
        <v>#N/A</v>
      </c>
      <c r="I38" s="204"/>
      <c r="J38" s="205" t="e">
        <f>SUBTOTAL(109,J$14:J$32)</f>
        <v>#VALUE!</v>
      </c>
    </row>
  </sheetData>
  <sheetProtection algorithmName="SHA-512" hashValue="IKS+f0IoCNSTlEyAzN4WJr4+bv0fRgApSYaDVBj0SW4+jIqt/f4aza9VirvRWJmKYNxUn1C+tZjGscuyiZEFQA==" saltValue="X6KVqLNWu6vLeacC2xP4tA==" spinCount="100000" sheet="1" objects="1" scenarios="1" insertRows="0" deleteRows="0" sort="0" autoFilter="0"/>
  <autoFilter ref="A13:J13" xr:uid="{3B76E3B9-BE4A-492F-A0E4-79F36F80CE58}"/>
  <mergeCells count="7">
    <mergeCell ref="I12:J12"/>
    <mergeCell ref="A38:B38"/>
    <mergeCell ref="F12:F13"/>
    <mergeCell ref="A1:G1"/>
    <mergeCell ref="D4:E4"/>
    <mergeCell ref="D7:D10"/>
    <mergeCell ref="G12:G13"/>
  </mergeCells>
  <dataValidations count="2">
    <dataValidation type="list" allowBlank="1" showInputMessage="1" showErrorMessage="1" sqref="B14:B32" xr:uid="{DE1CD79D-929A-43B2-B47E-5C38BEFBC650}">
      <formula1>$B$33:$B$37</formula1>
    </dataValidation>
    <dataValidation type="list" allowBlank="1" showInputMessage="1" showErrorMessage="1" sqref="C14:C32" xr:uid="{197E9411-11E8-44DE-BDBB-07FC9D32B10F}">
      <formula1>"AMR,MMR,DM - MR1,DM - MR3,KM,PROD"</formula1>
    </dataValidation>
  </dataValidation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ublished="0" codeName="Blad3">
    <pageSetUpPr fitToPage="1"/>
  </sheetPr>
  <dimension ref="A1:AF94"/>
  <sheetViews>
    <sheetView showGridLines="0" zoomScaleNormal="100" workbookViewId="0">
      <selection activeCell="I11" sqref="I11"/>
    </sheetView>
  </sheetViews>
  <sheetFormatPr defaultColWidth="10.7265625" defaultRowHeight="15" customHeight="1"/>
  <cols>
    <col min="1" max="3" width="10.7265625" style="46" customWidth="1"/>
    <col min="4" max="4" width="20.7265625" style="51" customWidth="1"/>
    <col min="5" max="5" width="10.7265625" style="46" customWidth="1"/>
    <col min="6" max="6" width="20.7265625" style="46" customWidth="1"/>
    <col min="7" max="7" width="10.7265625" style="46" customWidth="1"/>
    <col min="8" max="8" width="20.7265625" style="46" customWidth="1"/>
    <col min="9" max="9" width="10.7265625" style="46" customWidth="1"/>
    <col min="10" max="10" width="20.7265625" style="46" customWidth="1"/>
    <col min="11" max="11" width="10.7265625" style="46" customWidth="1"/>
    <col min="12" max="12" width="20.7265625" style="46" customWidth="1"/>
    <col min="13" max="16384" width="10.7265625" style="46"/>
  </cols>
  <sheetData>
    <row r="1" spans="1:32" s="39" customFormat="1" ht="30" customHeight="1" thickBot="1">
      <c r="A1" s="1713" t="str">
        <f>"TABEL 1: Budget per tariefcomponent voor gereguleerde activiteit 'elektriciteit'"</f>
        <v>TABEL 1: Budget per tariefcomponent voor gereguleerde activiteit 'elektriciteit'</v>
      </c>
      <c r="B1" s="1714"/>
      <c r="C1" s="1714"/>
      <c r="D1" s="1714"/>
      <c r="E1" s="1714"/>
      <c r="F1" s="1714"/>
      <c r="G1" s="1714"/>
      <c r="H1" s="1714"/>
      <c r="I1" s="1714"/>
      <c r="J1" s="1714"/>
      <c r="K1" s="1714"/>
      <c r="L1" s="1780"/>
    </row>
    <row r="2" spans="1:32" s="39" customFormat="1" ht="15" customHeight="1">
      <c r="A2" s="52"/>
      <c r="B2" s="52"/>
      <c r="C2" s="52"/>
      <c r="D2" s="52"/>
      <c r="E2" s="52"/>
      <c r="F2" s="52"/>
      <c r="G2" s="52"/>
      <c r="H2" s="52"/>
      <c r="I2" s="52"/>
      <c r="J2" s="52"/>
    </row>
    <row r="3" spans="1:32" s="41" customFormat="1" ht="15" customHeight="1" thickBot="1">
      <c r="A3" s="40"/>
      <c r="B3" s="40"/>
      <c r="C3" s="40"/>
      <c r="D3" s="40"/>
    </row>
    <row r="4" spans="1:32" s="3" customFormat="1" ht="20.25" customHeight="1" thickBot="1">
      <c r="B4" s="42" t="s">
        <v>6</v>
      </c>
      <c r="C4" s="43"/>
      <c r="E4" s="1722" t="str">
        <f>DNB</f>
        <v>Naam distributienetbeheerder</v>
      </c>
      <c r="F4" s="1723"/>
      <c r="G4" s="1724"/>
      <c r="H4" s="44"/>
      <c r="I4" s="44"/>
      <c r="J4" s="44"/>
      <c r="T4" s="44"/>
      <c r="U4" s="44"/>
      <c r="V4" s="44"/>
      <c r="W4" s="44"/>
      <c r="X4" s="44"/>
      <c r="Y4" s="44"/>
      <c r="Z4" s="44"/>
      <c r="AA4" s="44"/>
      <c r="AB4" s="44"/>
      <c r="AC4" s="44"/>
      <c r="AD4" s="44"/>
      <c r="AE4" s="44"/>
      <c r="AF4" s="45"/>
    </row>
    <row r="5" spans="1:32" ht="15" customHeight="1">
      <c r="A5" s="103"/>
      <c r="B5" s="103"/>
      <c r="C5" s="103"/>
      <c r="D5" s="103"/>
      <c r="E5" s="103"/>
      <c r="F5" s="103"/>
      <c r="G5" s="103"/>
      <c r="H5" s="103"/>
    </row>
    <row r="6" spans="1:32" ht="15" customHeight="1" thickBot="1">
      <c r="A6" s="103"/>
      <c r="B6" s="103"/>
      <c r="C6" s="103"/>
      <c r="D6" s="103"/>
      <c r="E6" s="103"/>
      <c r="F6" s="103"/>
      <c r="G6" s="103"/>
      <c r="H6" s="103"/>
      <c r="I6" s="103"/>
      <c r="J6" s="103"/>
    </row>
    <row r="7" spans="1:32" s="47" customFormat="1" ht="15" customHeight="1">
      <c r="A7" s="1834" t="s">
        <v>160</v>
      </c>
      <c r="B7" s="1835"/>
      <c r="C7" s="1836"/>
      <c r="D7" s="1845" t="s">
        <v>473</v>
      </c>
      <c r="E7" s="1846"/>
      <c r="F7" s="1846"/>
      <c r="G7" s="1847"/>
      <c r="H7" s="1845" t="s">
        <v>474</v>
      </c>
      <c r="I7" s="1846"/>
      <c r="J7" s="1846"/>
      <c r="K7" s="1847"/>
      <c r="L7" s="104" t="s">
        <v>23</v>
      </c>
      <c r="M7" s="103"/>
      <c r="N7" s="103"/>
    </row>
    <row r="8" spans="1:32" s="47" customFormat="1" ht="15" customHeight="1">
      <c r="A8" s="1837"/>
      <c r="B8" s="1838"/>
      <c r="C8" s="1839"/>
      <c r="D8" s="1843" t="s">
        <v>161</v>
      </c>
      <c r="E8" s="1844"/>
      <c r="F8" s="1843" t="s">
        <v>162</v>
      </c>
      <c r="G8" s="1844"/>
      <c r="H8" s="1843" t="s">
        <v>161</v>
      </c>
      <c r="I8" s="1844"/>
      <c r="J8" s="1843" t="s">
        <v>162</v>
      </c>
      <c r="K8" s="1844"/>
      <c r="L8" s="540"/>
      <c r="M8" s="103"/>
      <c r="N8" s="103"/>
    </row>
    <row r="9" spans="1:32" s="48" customFormat="1" ht="15" customHeight="1" thickBot="1">
      <c r="A9" s="1840"/>
      <c r="B9" s="1841"/>
      <c r="C9" s="1842"/>
      <c r="D9" s="105" t="s">
        <v>25</v>
      </c>
      <c r="E9" s="106" t="s">
        <v>20</v>
      </c>
      <c r="F9" s="105"/>
      <c r="G9" s="106"/>
      <c r="H9" s="105"/>
      <c r="I9" s="106"/>
      <c r="J9" s="105" t="s">
        <v>25</v>
      </c>
      <c r="K9" s="106" t="s">
        <v>20</v>
      </c>
      <c r="L9" s="107" t="s">
        <v>25</v>
      </c>
      <c r="M9" s="103"/>
      <c r="N9" s="103"/>
    </row>
    <row r="10" spans="1:32" s="2" customFormat="1" ht="20.25" customHeight="1">
      <c r="A10" s="108" t="s">
        <v>78</v>
      </c>
      <c r="B10" s="109"/>
      <c r="C10" s="109"/>
      <c r="D10" s="110">
        <f>SUMIFS(Tabel2[Afnameklanten (∑)],Tabel2[Tariefcomponent],$A10,Tabel2[Kostenindeling 1],"Exogeen")</f>
        <v>0</v>
      </c>
      <c r="E10" s="111" t="str">
        <f>IF(ISNUMBER($D10/($D10+$F10)),ROUND($D10/($D10+$F10),2),"")</f>
        <v/>
      </c>
      <c r="F10" s="110" t="e">
        <f>SUMIFS(Tabel2[Afnameklanten (∑)],Tabel2[Tariefcomponent],$A10,Tabel2[Kostenindeling 1],"Endogeen")</f>
        <v>#VALUE!</v>
      </c>
      <c r="G10" s="111" t="str">
        <f>IF(ISNUMBER($F10/($D10+$F10)),ROUND($F10/($D10+$F10),2),"")</f>
        <v/>
      </c>
      <c r="H10" s="110">
        <f>SUMIFS(Tabel2[Injectieklanten (∑)],Tabel2[Tariefcomponent],$A10,Tabel2[Kostenindeling 1],"Exogeen")</f>
        <v>0</v>
      </c>
      <c r="I10" s="111" t="str">
        <f>IF(ISNUMBER($H10/($H10+$J10)),ROUND($H10/($H10+$J10),2),"")</f>
        <v/>
      </c>
      <c r="J10" s="110" t="e">
        <f>SUMIFS(Tabel2[Injectieklanten (∑)],Tabel2[Tariefcomponent],$A10,Tabel2[Kostenindeling 1],"Endogeen")</f>
        <v>#VALUE!</v>
      </c>
      <c r="K10" s="111" t="str">
        <f>IF(ISNUMBER($J10/($H10+$J10)),ROUND($J10/($H10+$J10),2),"")</f>
        <v/>
      </c>
      <c r="L10" s="112">
        <f>SUMIFS(Tabel2[Totale budget],Tabel2[Tariefcomponent],$A10)</f>
        <v>0</v>
      </c>
      <c r="M10" s="103"/>
      <c r="N10" s="103"/>
    </row>
    <row r="11" spans="1:32" s="2" customFormat="1" ht="20.25" customHeight="1">
      <c r="A11" s="113" t="s">
        <v>13</v>
      </c>
      <c r="B11" s="114"/>
      <c r="C11" s="114"/>
      <c r="D11" s="115">
        <f>SUMIFS(Tabel2[Afnameklanten (∑)],Tabel2[Tariefcomponent],$A11,Tabel2[Kostenindeling 1],"Exogeen")</f>
        <v>0</v>
      </c>
      <c r="E11" s="116" t="str">
        <f t="shared" ref="E11:E16" si="0">IF(ISNUMBER($D11/($D11+$F11)),ROUND($D11/($D11+$F11),2),"")</f>
        <v/>
      </c>
      <c r="F11" s="115">
        <f>SUMIFS(Tabel2[Afnameklanten (∑)],Tabel2[Tariefcomponent],$A11,Tabel2[Kostenindeling 1],"Endogeen")</f>
        <v>0</v>
      </c>
      <c r="G11" s="116" t="str">
        <f t="shared" ref="G11:G16" si="1">IF(ISNUMBER($F11/($D11+$F11)),ROUND($F11/($D11+$F11),2),"")</f>
        <v/>
      </c>
      <c r="H11" s="115">
        <f>SUMIFS(Tabel2[Injectieklanten (∑)],Tabel2[Tariefcomponent],$A11,Tabel2[Kostenindeling 1],"Exogeen")</f>
        <v>0</v>
      </c>
      <c r="I11" s="116" t="str">
        <f t="shared" ref="I11:I16" si="2">IF(ISNUMBER($H11/($H11+$J11)),ROUND($H11/($H11+$J11),2),"")</f>
        <v/>
      </c>
      <c r="J11" s="115">
        <f>SUMIFS(Tabel2[Injectieklanten (∑)],Tabel2[Tariefcomponent],$A11,Tabel2[Kostenindeling 1],"Endogeen")</f>
        <v>0</v>
      </c>
      <c r="K11" s="116" t="str">
        <f t="shared" ref="K11:K16" si="3">IF(ISNUMBER($J11/($H11+$J11)),ROUND($J11/($H11+$J11),2),"")</f>
        <v/>
      </c>
      <c r="L11" s="117">
        <f>SUMIFS(Tabel2[Totale budget],Tabel2[Tariefcomponent],$A11)</f>
        <v>0</v>
      </c>
      <c r="N11" s="103"/>
    </row>
    <row r="12" spans="1:32" s="2" customFormat="1" ht="20.25" customHeight="1">
      <c r="A12" s="113" t="s">
        <v>79</v>
      </c>
      <c r="B12" s="114"/>
      <c r="C12" s="114"/>
      <c r="D12" s="115">
        <f>SUMIFS(Tabel2[Afnameklanten (∑)],Tabel2[Tariefcomponent],$A12,Tabel2[Kostenindeling 1],"Exogeen")</f>
        <v>0</v>
      </c>
      <c r="E12" s="116" t="str">
        <f t="shared" si="0"/>
        <v/>
      </c>
      <c r="F12" s="115" t="e">
        <f>SUMIFS(Tabel2[Afnameklanten (∑)],Tabel2[Tariefcomponent],$A12,Tabel2[Kostenindeling 1],"Endogeen")</f>
        <v>#VALUE!</v>
      </c>
      <c r="G12" s="116" t="str">
        <f t="shared" si="1"/>
        <v/>
      </c>
      <c r="H12" s="115">
        <f>SUMIFS(Tabel2[Injectieklanten (∑)],Tabel2[Tariefcomponent],$A12,Tabel2[Kostenindeling 1],"Exogeen")</f>
        <v>0</v>
      </c>
      <c r="I12" s="116" t="str">
        <f t="shared" si="2"/>
        <v/>
      </c>
      <c r="J12" s="115" t="e">
        <f>SUMIFS(Tabel2[Injectieklanten (∑)],Tabel2[Tariefcomponent],$A12,Tabel2[Kostenindeling 1],"Endogeen")</f>
        <v>#VALUE!</v>
      </c>
      <c r="K12" s="116" t="str">
        <f t="shared" si="3"/>
        <v/>
      </c>
      <c r="L12" s="117">
        <f>SUMIFS(Tabel2[Totale budget],Tabel2[Tariefcomponent],$A12)</f>
        <v>0</v>
      </c>
      <c r="M12" s="103"/>
      <c r="N12" s="103"/>
    </row>
    <row r="13" spans="1:32" s="2" customFormat="1" ht="20.25" customHeight="1">
      <c r="A13" s="113" t="s">
        <v>80</v>
      </c>
      <c r="B13" s="114"/>
      <c r="C13" s="114"/>
      <c r="D13" s="115">
        <f>SUMIFS(Tabel2[Afnameklanten (∑)],Tabel2[Tariefcomponent],$A13,Tabel2[Kostenindeling 1],"Exogeen")</f>
        <v>0</v>
      </c>
      <c r="E13" s="116" t="str">
        <f t="shared" si="0"/>
        <v/>
      </c>
      <c r="F13" s="115">
        <f>SUMIFS(Tabel2[Afnameklanten (∑)],Tabel2[Tariefcomponent],$A13,Tabel2[Kostenindeling 1],"Endogeen")</f>
        <v>0</v>
      </c>
      <c r="G13" s="116" t="str">
        <f t="shared" si="1"/>
        <v/>
      </c>
      <c r="H13" s="115">
        <f>SUMIFS(Tabel2[Injectieklanten (∑)],Tabel2[Tariefcomponent],$A13,Tabel2[Kostenindeling 1],"Exogeen")</f>
        <v>0</v>
      </c>
      <c r="I13" s="116" t="str">
        <f t="shared" si="2"/>
        <v/>
      </c>
      <c r="J13" s="115">
        <f>SUMIFS(Tabel2[Injectieklanten (∑)],Tabel2[Tariefcomponent],$A13,Tabel2[Kostenindeling 1],"Endogeen")</f>
        <v>0</v>
      </c>
      <c r="K13" s="116" t="str">
        <f t="shared" si="3"/>
        <v/>
      </c>
      <c r="L13" s="117">
        <f>SUMIFS(Tabel2[Totale budget],Tabel2[Tariefcomponent],$A13)</f>
        <v>0</v>
      </c>
      <c r="M13" s="103"/>
      <c r="N13" s="103"/>
    </row>
    <row r="14" spans="1:32" s="2" customFormat="1" ht="20.25" customHeight="1">
      <c r="A14" s="113" t="s">
        <v>9</v>
      </c>
      <c r="B14" s="114"/>
      <c r="C14" s="114"/>
      <c r="D14" s="115">
        <f>SUMIFS(Tabel2[Afnameklanten (∑)],Tabel2[Tariefcomponent],$A14,Tabel2[Kostenindeling 1],"Exogeen")</f>
        <v>0</v>
      </c>
      <c r="E14" s="116" t="str">
        <f t="shared" si="0"/>
        <v/>
      </c>
      <c r="F14" s="115">
        <f>SUMIFS(Tabel2[Afnameklanten (∑)],Tabel2[Tariefcomponent],$A14,Tabel2[Kostenindeling 1],"Endogeen")</f>
        <v>0</v>
      </c>
      <c r="G14" s="116" t="str">
        <f t="shared" si="1"/>
        <v/>
      </c>
      <c r="H14" s="115">
        <f>SUMIFS(Tabel2[Injectieklanten (∑)],Tabel2[Tariefcomponent],$A14,Tabel2[Kostenindeling 1],"Exogeen")</f>
        <v>0</v>
      </c>
      <c r="I14" s="116" t="str">
        <f t="shared" si="2"/>
        <v/>
      </c>
      <c r="J14" s="115">
        <f>SUMIFS(Tabel2[Injectieklanten (∑)],Tabel2[Tariefcomponent],$A14,Tabel2[Kostenindeling 1],"Endogeen")</f>
        <v>0</v>
      </c>
      <c r="K14" s="116" t="str">
        <f t="shared" si="3"/>
        <v/>
      </c>
      <c r="L14" s="117">
        <f>SUMIFS(Tabel2[Totale budget],Tabel2[Tariefcomponent],$A14)</f>
        <v>0</v>
      </c>
      <c r="M14" s="103"/>
      <c r="N14" s="103"/>
    </row>
    <row r="15" spans="1:32" s="2" customFormat="1" ht="20.25" customHeight="1" thickBot="1">
      <c r="A15" s="118" t="s">
        <v>81</v>
      </c>
      <c r="B15" s="119"/>
      <c r="C15" s="119"/>
      <c r="D15" s="120">
        <f>SUMIFS(Tabel2[Afnameklanten (∑)],Tabel2[Tariefcomponent],$A15,Tabel2[Kostenindeling 1],"Exogeen")</f>
        <v>0</v>
      </c>
      <c r="E15" s="121" t="str">
        <f t="shared" si="0"/>
        <v/>
      </c>
      <c r="F15" s="120">
        <f>SUMIFS(Tabel2[Afnameklanten (∑)],Tabel2[Tariefcomponent],$A15,Tabel2[Kostenindeling 1],"Endogeen")</f>
        <v>0</v>
      </c>
      <c r="G15" s="121" t="str">
        <f t="shared" si="1"/>
        <v/>
      </c>
      <c r="H15" s="120">
        <f>SUMIFS(Tabel2[Injectieklanten (∑)],Tabel2[Tariefcomponent],$A15,Tabel2[Kostenindeling 1],"Exogeen")</f>
        <v>0</v>
      </c>
      <c r="I15" s="121" t="str">
        <f t="shared" si="2"/>
        <v/>
      </c>
      <c r="J15" s="120">
        <f>SUMIFS(Tabel2[Injectieklanten (∑)],Tabel2[Tariefcomponent],$A15,Tabel2[Kostenindeling 1],"Endogeen")</f>
        <v>0</v>
      </c>
      <c r="K15" s="121" t="str">
        <f t="shared" si="3"/>
        <v/>
      </c>
      <c r="L15" s="122">
        <f>SUMIFS(Tabel2[Totale budget],Tabel2[Tariefcomponent],$A15)</f>
        <v>0</v>
      </c>
      <c r="M15" s="103"/>
      <c r="N15" s="103"/>
    </row>
    <row r="16" spans="1:32" s="2" customFormat="1" ht="20.25" customHeight="1" thickBot="1">
      <c r="A16" s="123" t="s">
        <v>11</v>
      </c>
      <c r="B16" s="124"/>
      <c r="C16" s="124"/>
      <c r="D16" s="125">
        <f>SUM(D$10:D$15)</f>
        <v>0</v>
      </c>
      <c r="E16" s="126" t="str">
        <f t="shared" si="0"/>
        <v/>
      </c>
      <c r="F16" s="125" t="e">
        <f>SUM(F$10:F$15)</f>
        <v>#VALUE!</v>
      </c>
      <c r="G16" s="126" t="str">
        <f t="shared" si="1"/>
        <v/>
      </c>
      <c r="H16" s="125">
        <f>SUM(H$10:H$15)</f>
        <v>0</v>
      </c>
      <c r="I16" s="126" t="str">
        <f t="shared" si="2"/>
        <v/>
      </c>
      <c r="J16" s="125" t="e">
        <f>SUM(J$10:J$15)</f>
        <v>#VALUE!</v>
      </c>
      <c r="K16" s="126" t="str">
        <f t="shared" si="3"/>
        <v/>
      </c>
      <c r="L16" s="127">
        <f>SUM(L$10:L$15)</f>
        <v>0</v>
      </c>
      <c r="M16" s="103"/>
      <c r="N16" s="103"/>
    </row>
    <row r="17" spans="1:10" s="2" customFormat="1" ht="15" customHeight="1">
      <c r="A17" s="103"/>
      <c r="B17" s="103"/>
      <c r="C17" s="103"/>
      <c r="D17" s="103"/>
      <c r="E17" s="103"/>
      <c r="F17" s="103"/>
      <c r="G17" s="103"/>
      <c r="H17" s="103"/>
      <c r="I17" s="103"/>
      <c r="J17" s="103"/>
    </row>
    <row r="18" spans="1:10" s="2" customFormat="1" ht="15" customHeight="1">
      <c r="A18" s="103"/>
      <c r="B18" s="103"/>
      <c r="C18" s="103"/>
      <c r="D18" s="103"/>
      <c r="E18" s="103"/>
      <c r="F18" s="103"/>
      <c r="G18" s="103"/>
      <c r="H18" s="303"/>
      <c r="I18" s="103"/>
      <c r="J18" s="103"/>
    </row>
    <row r="19" spans="1:10" s="2" customFormat="1" ht="15" customHeight="1">
      <c r="A19" s="7"/>
      <c r="B19" s="7"/>
      <c r="C19" s="7"/>
      <c r="D19" s="7"/>
      <c r="E19" s="7"/>
      <c r="F19" s="7"/>
      <c r="G19" s="7"/>
      <c r="H19" s="7"/>
      <c r="I19" s="7"/>
      <c r="J19" s="7"/>
    </row>
    <row r="20" spans="1:10" s="5" customFormat="1" ht="15" customHeight="1">
      <c r="A20" s="7"/>
      <c r="B20" s="7"/>
      <c r="C20" s="7"/>
      <c r="D20" s="7"/>
      <c r="E20" s="7"/>
      <c r="F20" s="7"/>
      <c r="G20" s="7"/>
      <c r="H20" s="7"/>
      <c r="I20" s="7"/>
      <c r="J20" s="7"/>
    </row>
    <row r="21" spans="1:10" s="2" customFormat="1" ht="15" customHeight="1">
      <c r="A21" s="7"/>
      <c r="B21" s="7"/>
      <c r="C21" s="7"/>
      <c r="D21" s="7"/>
      <c r="E21" s="7"/>
      <c r="F21" s="7"/>
      <c r="G21" s="7"/>
      <c r="H21" s="7"/>
      <c r="J21" s="7"/>
    </row>
    <row r="22" spans="1:10" s="2" customFormat="1" ht="15" customHeight="1">
      <c r="A22" s="7"/>
      <c r="B22" s="7"/>
      <c r="C22" s="7"/>
      <c r="D22" s="7"/>
      <c r="E22" s="7"/>
      <c r="F22" s="7"/>
      <c r="G22" s="7"/>
      <c r="H22" s="7"/>
      <c r="I22" s="7"/>
      <c r="J22" s="7"/>
    </row>
    <row r="23" spans="1:10" s="2" customFormat="1" ht="15" customHeight="1">
      <c r="A23" s="7"/>
      <c r="B23" s="7"/>
      <c r="C23" s="7"/>
      <c r="D23" s="7"/>
      <c r="E23" s="7"/>
      <c r="F23" s="7"/>
      <c r="G23" s="7"/>
      <c r="H23" s="7"/>
      <c r="I23" s="7"/>
      <c r="J23" s="7"/>
    </row>
    <row r="24" spans="1:10" s="2" customFormat="1" ht="15" customHeight="1">
      <c r="A24" s="7"/>
      <c r="B24" s="7"/>
      <c r="C24" s="7"/>
      <c r="D24" s="7"/>
      <c r="E24" s="7"/>
      <c r="F24" s="7"/>
      <c r="G24" s="7"/>
      <c r="H24" s="7"/>
      <c r="I24" s="7"/>
      <c r="J24" s="7"/>
    </row>
    <row r="25" spans="1:10" s="2" customFormat="1" ht="15" customHeight="1">
      <c r="A25" s="7"/>
      <c r="B25" s="7"/>
      <c r="C25" s="7"/>
      <c r="D25" s="7"/>
      <c r="E25" s="7"/>
      <c r="F25" s="7"/>
      <c r="G25" s="7"/>
      <c r="H25" s="7"/>
      <c r="I25" s="7"/>
      <c r="J25" s="7"/>
    </row>
    <row r="26" spans="1:10" s="2" customFormat="1" ht="15" customHeight="1">
      <c r="A26" s="7"/>
      <c r="B26" s="7"/>
      <c r="C26" s="7"/>
      <c r="D26" s="7"/>
      <c r="E26" s="7"/>
      <c r="F26" s="7"/>
      <c r="G26" s="7"/>
      <c r="H26" s="7"/>
      <c r="I26" s="7"/>
      <c r="J26" s="7"/>
    </row>
    <row r="27" spans="1:10" s="2" customFormat="1" ht="15" customHeight="1">
      <c r="A27" s="7"/>
      <c r="B27" s="7"/>
      <c r="C27" s="7"/>
      <c r="D27" s="7"/>
      <c r="E27" s="7"/>
      <c r="F27" s="7"/>
      <c r="G27" s="7"/>
      <c r="H27" s="7"/>
      <c r="I27" s="7"/>
      <c r="J27" s="7"/>
    </row>
    <row r="28" spans="1:10" s="2" customFormat="1" ht="15" customHeight="1">
      <c r="A28" s="7"/>
      <c r="B28" s="7"/>
      <c r="C28" s="7"/>
      <c r="D28" s="7"/>
      <c r="E28" s="7"/>
      <c r="F28" s="7"/>
      <c r="G28" s="7"/>
      <c r="H28" s="7"/>
      <c r="I28" s="7"/>
      <c r="J28" s="7"/>
    </row>
    <row r="29" spans="1:10" s="2" customFormat="1" ht="15" customHeight="1">
      <c r="A29" s="7"/>
      <c r="B29" s="7"/>
      <c r="C29" s="7"/>
    </row>
    <row r="30" spans="1:10" s="2" customFormat="1" ht="15" customHeight="1">
      <c r="A30"/>
      <c r="B30"/>
      <c r="C30"/>
      <c r="D30"/>
      <c r="E30"/>
      <c r="F30"/>
      <c r="G30"/>
      <c r="H30" s="44"/>
      <c r="I30" s="44"/>
    </row>
    <row r="31" spans="1:10" s="5" customFormat="1" ht="15" customHeight="1">
      <c r="A31"/>
      <c r="B31"/>
      <c r="C31"/>
      <c r="D31"/>
      <c r="E31"/>
      <c r="F31"/>
      <c r="G31"/>
      <c r="H31" s="46"/>
      <c r="I31" s="46"/>
    </row>
    <row r="32" spans="1:10" s="2" customFormat="1" ht="15" customHeight="1">
      <c r="A32"/>
      <c r="B32"/>
      <c r="C32"/>
      <c r="D32"/>
      <c r="E32"/>
      <c r="F32"/>
      <c r="G32"/>
      <c r="H32" s="46"/>
      <c r="I32" s="46"/>
    </row>
    <row r="33" spans="1:9" s="2" customFormat="1" ht="15" customHeight="1">
      <c r="A33"/>
      <c r="B33"/>
      <c r="C33"/>
      <c r="D33"/>
      <c r="E33"/>
      <c r="F33"/>
      <c r="G33"/>
      <c r="H33" s="47"/>
      <c r="I33" s="47"/>
    </row>
    <row r="34" spans="1:9" s="2" customFormat="1" ht="15" customHeight="1">
      <c r="A34"/>
      <c r="B34"/>
      <c r="C34"/>
      <c r="D34"/>
      <c r="E34"/>
      <c r="F34"/>
      <c r="G34"/>
      <c r="H34" s="48"/>
      <c r="I34" s="48"/>
    </row>
    <row r="35" spans="1:9" s="2" customFormat="1" ht="15" customHeight="1">
      <c r="A35"/>
      <c r="B35"/>
      <c r="C35"/>
      <c r="D35"/>
      <c r="E35"/>
      <c r="F35"/>
      <c r="G35"/>
    </row>
    <row r="36" spans="1:9" s="2" customFormat="1" ht="15" customHeight="1">
      <c r="A36"/>
      <c r="B36"/>
      <c r="C36"/>
      <c r="D36"/>
      <c r="E36"/>
      <c r="F36"/>
      <c r="G36"/>
    </row>
    <row r="37" spans="1:9" s="2" customFormat="1" ht="15" customHeight="1">
      <c r="A37"/>
      <c r="B37"/>
      <c r="C37"/>
      <c r="D37"/>
      <c r="E37"/>
      <c r="F37"/>
      <c r="G37"/>
    </row>
    <row r="38" spans="1:9" s="2" customFormat="1" ht="15" customHeight="1">
      <c r="A38"/>
      <c r="B38"/>
      <c r="C38"/>
      <c r="D38"/>
      <c r="E38"/>
      <c r="F38"/>
      <c r="G38"/>
    </row>
    <row r="39" spans="1:9" s="2" customFormat="1" ht="15" customHeight="1">
      <c r="A39"/>
      <c r="B39"/>
      <c r="C39"/>
      <c r="D39"/>
      <c r="E39"/>
      <c r="F39"/>
      <c r="G39"/>
    </row>
    <row r="40" spans="1:9" s="2" customFormat="1" ht="15" customHeight="1">
      <c r="A40"/>
      <c r="B40"/>
      <c r="C40"/>
      <c r="D40"/>
      <c r="E40"/>
      <c r="F40"/>
      <c r="G40"/>
    </row>
    <row r="41" spans="1:9" s="2" customFormat="1" ht="15" customHeight="1">
      <c r="A41"/>
      <c r="B41"/>
      <c r="C41"/>
      <c r="D41"/>
      <c r="E41"/>
      <c r="F41"/>
      <c r="G41"/>
    </row>
    <row r="42" spans="1:9" s="2" customFormat="1" ht="15" customHeight="1">
      <c r="A42"/>
      <c r="B42"/>
      <c r="C42"/>
      <c r="D42"/>
      <c r="E42"/>
      <c r="F42"/>
      <c r="G42"/>
    </row>
    <row r="43" spans="1:9" s="2" customFormat="1" ht="15" customHeight="1">
      <c r="A43"/>
      <c r="B43"/>
      <c r="C43"/>
      <c r="D43"/>
      <c r="E43"/>
      <c r="F43"/>
      <c r="G43"/>
    </row>
    <row r="44" spans="1:9" s="49" customFormat="1" ht="15" customHeight="1">
      <c r="A44"/>
      <c r="B44"/>
      <c r="C44"/>
      <c r="D44"/>
      <c r="E44"/>
      <c r="F44"/>
      <c r="G44"/>
      <c r="H44" s="2"/>
      <c r="I44" s="2"/>
    </row>
    <row r="45" spans="1:9" s="49" customFormat="1" ht="15" customHeight="1">
      <c r="A45"/>
      <c r="B45"/>
      <c r="C45"/>
      <c r="D45"/>
      <c r="E45"/>
      <c r="F45"/>
      <c r="G45"/>
      <c r="H45" s="5"/>
      <c r="I45" s="5"/>
    </row>
    <row r="46" spans="1:9" s="2" customFormat="1" ht="15" customHeight="1">
      <c r="A46"/>
      <c r="B46"/>
      <c r="C46"/>
      <c r="D46"/>
      <c r="E46"/>
      <c r="F46"/>
      <c r="G46"/>
    </row>
    <row r="47" spans="1:9" s="2" customFormat="1" ht="15" customHeight="1"/>
    <row r="48" spans="1:9" s="2" customFormat="1" ht="15" customHeight="1">
      <c r="B48" s="5"/>
      <c r="C48" s="5"/>
      <c r="D48" s="5"/>
    </row>
    <row r="49" spans="1:10" s="2" customFormat="1" ht="15" customHeight="1"/>
    <row r="50" spans="1:10" s="2" customFormat="1" ht="15" customHeight="1"/>
    <row r="51" spans="1:10" s="2" customFormat="1" ht="15" customHeight="1">
      <c r="J51" s="7"/>
    </row>
    <row r="52" spans="1:10" s="2" customFormat="1" ht="15" customHeight="1">
      <c r="A52" s="7"/>
      <c r="B52" s="7"/>
      <c r="C52" s="7"/>
      <c r="D52" s="7"/>
      <c r="E52" s="7"/>
      <c r="F52" s="7"/>
      <c r="G52" s="7"/>
      <c r="H52" s="7"/>
      <c r="I52" s="7"/>
      <c r="J52" s="7"/>
    </row>
    <row r="53" spans="1:10" s="2" customFormat="1" ht="15" customHeight="1">
      <c r="A53" s="7"/>
      <c r="B53" s="7"/>
      <c r="C53" s="7"/>
      <c r="D53" s="7"/>
      <c r="E53" s="7"/>
      <c r="F53" s="7"/>
      <c r="G53" s="7"/>
      <c r="H53" s="7"/>
      <c r="I53" s="7"/>
      <c r="J53" s="7"/>
    </row>
    <row r="54" spans="1:10" s="2" customFormat="1" ht="15" customHeight="1">
      <c r="A54" s="7"/>
      <c r="B54" s="7"/>
      <c r="C54" s="7"/>
      <c r="D54" s="7"/>
      <c r="E54" s="7"/>
      <c r="F54" s="7"/>
      <c r="G54" s="7"/>
      <c r="H54" s="7"/>
      <c r="I54" s="7"/>
      <c r="J54" s="7"/>
    </row>
    <row r="55" spans="1:10" s="2" customFormat="1" ht="15" customHeight="1">
      <c r="A55" s="7"/>
      <c r="B55" s="7"/>
      <c r="C55" s="7"/>
      <c r="D55" s="7"/>
      <c r="E55" s="7"/>
      <c r="F55" s="7"/>
      <c r="G55" s="7"/>
      <c r="H55" s="7"/>
      <c r="I55" s="7"/>
      <c r="J55" s="7"/>
    </row>
    <row r="56" spans="1:10" s="2" customFormat="1" ht="15" customHeight="1">
      <c r="A56" s="7"/>
      <c r="B56" s="7"/>
      <c r="C56" s="7"/>
      <c r="D56" s="7"/>
      <c r="E56" s="7"/>
      <c r="F56" s="7"/>
      <c r="G56" s="7"/>
      <c r="H56" s="7"/>
      <c r="I56" s="7"/>
      <c r="J56" s="7"/>
    </row>
    <row r="57" spans="1:10" s="2" customFormat="1" ht="15" customHeight="1">
      <c r="A57" s="7"/>
      <c r="B57" s="7"/>
      <c r="C57" s="7"/>
      <c r="D57" s="7"/>
      <c r="E57" s="7"/>
      <c r="F57" s="7"/>
      <c r="G57" s="7"/>
      <c r="H57" s="7"/>
      <c r="I57" s="7"/>
      <c r="J57" s="7"/>
    </row>
    <row r="58" spans="1:10" s="2" customFormat="1" ht="15" customHeight="1">
      <c r="A58" s="7"/>
      <c r="B58" s="7"/>
      <c r="C58" s="7"/>
      <c r="D58" s="7"/>
      <c r="E58" s="7"/>
      <c r="F58" s="7"/>
      <c r="G58" s="7"/>
      <c r="H58" s="7"/>
      <c r="I58" s="7"/>
      <c r="J58" s="7"/>
    </row>
    <row r="59" spans="1:10" s="2" customFormat="1" ht="15" customHeight="1">
      <c r="A59" s="7"/>
      <c r="B59" s="7"/>
      <c r="C59" s="7"/>
      <c r="D59" s="7"/>
      <c r="E59" s="7"/>
      <c r="F59" s="7"/>
      <c r="G59" s="7"/>
      <c r="H59" s="7"/>
      <c r="I59" s="7"/>
      <c r="J59" s="7"/>
    </row>
    <row r="60" spans="1:10" s="2" customFormat="1" ht="15" customHeight="1">
      <c r="A60" s="7"/>
      <c r="B60" s="7"/>
      <c r="C60" s="7"/>
      <c r="D60" s="7"/>
      <c r="E60" s="7"/>
      <c r="F60" s="7"/>
      <c r="G60" s="7"/>
      <c r="H60" s="7"/>
      <c r="I60" s="7"/>
      <c r="J60" s="7"/>
    </row>
    <row r="61" spans="1:10" s="2" customFormat="1" ht="15" customHeight="1">
      <c r="A61" s="7"/>
      <c r="B61" s="7"/>
      <c r="C61" s="7"/>
      <c r="D61" s="7"/>
      <c r="E61" s="7"/>
      <c r="F61" s="7"/>
      <c r="G61" s="7"/>
      <c r="H61" s="7"/>
      <c r="I61" s="7"/>
      <c r="J61" s="7"/>
    </row>
    <row r="62" spans="1:10" s="2" customFormat="1" ht="15" customHeight="1">
      <c r="A62" s="7"/>
      <c r="B62" s="7"/>
      <c r="C62" s="7"/>
      <c r="D62" s="7"/>
      <c r="E62" s="7"/>
      <c r="F62" s="7"/>
      <c r="G62" s="7"/>
      <c r="H62" s="7"/>
      <c r="I62" s="7"/>
      <c r="J62" s="7"/>
    </row>
    <row r="63" spans="1:10" s="2" customFormat="1" ht="15" customHeight="1">
      <c r="A63" s="7"/>
      <c r="B63" s="7"/>
      <c r="C63" s="7"/>
      <c r="D63" s="7"/>
      <c r="E63" s="7"/>
      <c r="F63" s="7"/>
      <c r="G63" s="7"/>
      <c r="H63" s="7"/>
      <c r="I63" s="7"/>
      <c r="J63" s="7"/>
    </row>
    <row r="64" spans="1:10" s="2" customFormat="1" ht="15" customHeight="1">
      <c r="A64" s="7"/>
      <c r="B64" s="7"/>
      <c r="C64" s="7"/>
      <c r="D64" s="7"/>
      <c r="E64" s="7"/>
      <c r="F64" s="7"/>
      <c r="G64" s="7"/>
      <c r="H64" s="7"/>
      <c r="I64" s="7"/>
      <c r="J64" s="7"/>
    </row>
    <row r="65" spans="1:16" s="2" customFormat="1" ht="15" customHeight="1">
      <c r="A65" s="7"/>
      <c r="B65" s="7"/>
      <c r="C65" s="7"/>
      <c r="D65" s="7"/>
      <c r="E65" s="7"/>
      <c r="F65" s="7"/>
      <c r="G65" s="7"/>
      <c r="H65" s="7"/>
      <c r="I65" s="7"/>
      <c r="J65" s="7"/>
    </row>
    <row r="66" spans="1:16" s="2" customFormat="1" ht="15" customHeight="1">
      <c r="A66" s="7"/>
      <c r="B66" s="7"/>
      <c r="C66" s="7"/>
      <c r="D66" s="7"/>
      <c r="E66" s="7"/>
      <c r="F66" s="7"/>
      <c r="G66" s="7"/>
      <c r="H66" s="7"/>
      <c r="I66" s="7"/>
      <c r="J66" s="7"/>
    </row>
    <row r="67" spans="1:16" s="2" customFormat="1" ht="15" customHeight="1">
      <c r="A67" s="7"/>
      <c r="B67" s="7"/>
      <c r="C67" s="7"/>
      <c r="D67" s="7"/>
      <c r="E67" s="7"/>
      <c r="F67" s="7"/>
      <c r="G67" s="7"/>
      <c r="H67" s="7"/>
      <c r="I67" s="7"/>
      <c r="J67" s="7"/>
    </row>
    <row r="68" spans="1:16" s="2" customFormat="1" ht="15" customHeight="1">
      <c r="A68" s="7"/>
      <c r="B68" s="7"/>
      <c r="C68" s="7"/>
      <c r="D68" s="7"/>
      <c r="E68" s="7"/>
      <c r="F68" s="7"/>
      <c r="G68" s="7"/>
      <c r="H68" s="7"/>
      <c r="I68" s="7"/>
      <c r="J68" s="7"/>
    </row>
    <row r="69" spans="1:16" s="2" customFormat="1" ht="15" customHeight="1">
      <c r="A69" s="7"/>
      <c r="B69" s="7"/>
      <c r="C69" s="7"/>
      <c r="D69" s="7"/>
      <c r="E69" s="7"/>
      <c r="F69" s="7"/>
      <c r="G69" s="7"/>
      <c r="H69" s="7"/>
      <c r="I69" s="7"/>
      <c r="J69" s="7"/>
    </row>
    <row r="70" spans="1:16" s="2" customFormat="1" ht="15" customHeight="1">
      <c r="A70" s="7"/>
      <c r="B70" s="7"/>
      <c r="C70" s="7"/>
      <c r="D70" s="7"/>
      <c r="E70" s="7"/>
      <c r="F70" s="7"/>
      <c r="G70" s="7"/>
      <c r="H70" s="7"/>
      <c r="I70" s="7"/>
      <c r="J70" s="7"/>
    </row>
    <row r="71" spans="1:16" s="2" customFormat="1" ht="15" customHeight="1">
      <c r="A71" s="7"/>
      <c r="B71" s="7"/>
      <c r="C71" s="7"/>
      <c r="D71" s="7"/>
      <c r="E71" s="7"/>
      <c r="F71" s="7"/>
      <c r="G71" s="7"/>
      <c r="H71" s="7"/>
      <c r="I71" s="7"/>
      <c r="J71" s="7"/>
    </row>
    <row r="72" spans="1:16" s="2" customFormat="1" ht="15" customHeight="1">
      <c r="A72" s="7"/>
      <c r="B72" s="7"/>
      <c r="C72" s="7"/>
      <c r="D72" s="7"/>
      <c r="E72" s="7"/>
      <c r="F72" s="7"/>
      <c r="G72" s="7"/>
      <c r="H72" s="7"/>
      <c r="I72" s="7"/>
      <c r="J72" s="7"/>
      <c r="L72" s="5"/>
      <c r="M72" s="5"/>
      <c r="N72" s="5"/>
    </row>
    <row r="73" spans="1:16" s="2" customFormat="1" ht="15" customHeight="1">
      <c r="A73" s="7"/>
      <c r="B73" s="7"/>
      <c r="C73" s="7"/>
      <c r="D73" s="7"/>
      <c r="E73" s="7"/>
      <c r="F73" s="7"/>
      <c r="G73" s="7"/>
      <c r="H73" s="7"/>
      <c r="I73" s="7"/>
      <c r="J73" s="7"/>
      <c r="L73" s="5"/>
      <c r="M73" s="5"/>
      <c r="N73" s="5"/>
    </row>
    <row r="74" spans="1:16" s="2" customFormat="1" ht="15" customHeight="1">
      <c r="A74" s="7"/>
      <c r="B74" s="7"/>
      <c r="C74" s="7"/>
      <c r="D74" s="7"/>
      <c r="E74" s="7"/>
      <c r="F74" s="7"/>
      <c r="G74" s="7"/>
      <c r="H74" s="7"/>
      <c r="I74" s="7"/>
      <c r="J74" s="7"/>
      <c r="L74" s="5"/>
      <c r="M74" s="5"/>
      <c r="N74" s="5"/>
    </row>
    <row r="75" spans="1:16" s="2" customFormat="1" ht="15" customHeight="1">
      <c r="A75" s="7"/>
      <c r="B75" s="7"/>
      <c r="C75" s="7"/>
      <c r="D75" s="7"/>
      <c r="E75" s="7"/>
      <c r="F75" s="7"/>
      <c r="G75" s="7"/>
      <c r="H75" s="7"/>
      <c r="I75" s="7"/>
      <c r="J75" s="7"/>
      <c r="L75" s="5"/>
      <c r="M75" s="5"/>
      <c r="N75" s="5"/>
    </row>
    <row r="76" spans="1:16" s="2" customFormat="1" ht="15" customHeight="1">
      <c r="A76" s="7"/>
      <c r="B76" s="7"/>
      <c r="C76" s="7"/>
      <c r="D76" s="7"/>
      <c r="E76" s="7"/>
      <c r="F76" s="7"/>
      <c r="G76" s="7"/>
      <c r="H76" s="7"/>
      <c r="I76" s="7"/>
      <c r="J76" s="7"/>
      <c r="L76" s="5"/>
      <c r="M76" s="5"/>
      <c r="N76" s="5"/>
    </row>
    <row r="77" spans="1:16" s="2" customFormat="1" ht="15" customHeight="1">
      <c r="A77" s="7"/>
      <c r="B77" s="7"/>
      <c r="C77" s="7"/>
      <c r="D77" s="7"/>
      <c r="E77" s="7"/>
      <c r="F77" s="7"/>
      <c r="G77" s="7"/>
      <c r="H77" s="7"/>
      <c r="I77" s="7"/>
      <c r="J77" s="7"/>
      <c r="L77" s="5"/>
      <c r="M77" s="5"/>
      <c r="N77" s="5"/>
    </row>
    <row r="78" spans="1:16" s="2" customFormat="1" ht="15" customHeight="1">
      <c r="A78" s="7"/>
      <c r="B78" s="7"/>
      <c r="C78" s="7"/>
      <c r="D78" s="7"/>
      <c r="E78" s="7"/>
      <c r="F78" s="7"/>
      <c r="G78" s="7"/>
      <c r="H78" s="7"/>
      <c r="I78" s="7"/>
      <c r="J78" s="7"/>
      <c r="L78" s="48"/>
      <c r="M78" s="48"/>
      <c r="N78" s="48"/>
    </row>
    <row r="79" spans="1:16" s="2" customFormat="1" ht="15" customHeight="1">
      <c r="A79" s="7"/>
      <c r="B79" s="7"/>
      <c r="C79" s="7"/>
      <c r="D79" s="7"/>
      <c r="E79" s="7"/>
      <c r="F79" s="7"/>
      <c r="G79" s="7"/>
      <c r="H79" s="7"/>
      <c r="I79" s="7"/>
      <c r="J79" s="7"/>
      <c r="L79" s="50"/>
      <c r="M79" s="50"/>
      <c r="N79" s="50"/>
    </row>
    <row r="80" spans="1:16" s="5" customFormat="1" ht="15" customHeight="1">
      <c r="A80" s="7"/>
      <c r="B80" s="7"/>
      <c r="C80" s="7"/>
      <c r="D80" s="7"/>
      <c r="E80" s="7"/>
      <c r="F80" s="7"/>
      <c r="G80" s="7"/>
      <c r="H80" s="7"/>
      <c r="I80" s="7"/>
      <c r="J80" s="7"/>
      <c r="L80" s="50"/>
      <c r="M80" s="50"/>
      <c r="N80" s="50"/>
      <c r="O80" s="2"/>
      <c r="P80" s="2"/>
    </row>
    <row r="81" spans="1:16" s="5" customFormat="1" ht="15" customHeight="1">
      <c r="A81" s="7"/>
      <c r="B81" s="7"/>
      <c r="C81" s="7"/>
      <c r="D81" s="7"/>
      <c r="E81" s="7"/>
      <c r="F81" s="7"/>
      <c r="G81" s="7"/>
      <c r="H81" s="7"/>
      <c r="I81" s="7"/>
      <c r="J81" s="7"/>
      <c r="L81" s="50"/>
      <c r="M81" s="50"/>
      <c r="N81" s="50"/>
    </row>
    <row r="82" spans="1:16" s="5" customFormat="1" ht="15" customHeight="1">
      <c r="A82" s="7"/>
      <c r="B82" s="7"/>
      <c r="C82" s="7"/>
      <c r="D82" s="7"/>
      <c r="E82" s="7"/>
      <c r="F82" s="7"/>
      <c r="G82" s="7"/>
      <c r="H82" s="7"/>
      <c r="I82" s="7"/>
      <c r="J82" s="7"/>
      <c r="L82" s="46"/>
      <c r="M82" s="46"/>
      <c r="N82" s="46"/>
    </row>
    <row r="83" spans="1:16" s="5" customFormat="1" ht="15" customHeight="1">
      <c r="A83" s="7"/>
      <c r="B83" s="7"/>
      <c r="C83" s="7"/>
      <c r="D83" s="7"/>
      <c r="E83" s="7"/>
      <c r="F83" s="7"/>
      <c r="G83" s="7"/>
      <c r="H83" s="7"/>
      <c r="I83" s="7"/>
      <c r="J83" s="7"/>
      <c r="L83" s="46"/>
      <c r="M83" s="46"/>
      <c r="N83" s="46"/>
    </row>
    <row r="84" spans="1:16" s="5" customFormat="1" ht="15" customHeight="1">
      <c r="A84" s="7"/>
      <c r="B84" s="7"/>
      <c r="C84" s="7"/>
      <c r="D84" s="7"/>
      <c r="E84" s="7"/>
      <c r="F84" s="7"/>
      <c r="G84" s="7"/>
      <c r="H84" s="7"/>
      <c r="I84" s="7"/>
      <c r="J84" s="7"/>
      <c r="L84" s="46"/>
      <c r="M84" s="46"/>
      <c r="N84" s="46"/>
    </row>
    <row r="85" spans="1:16" s="5" customFormat="1" ht="15" customHeight="1">
      <c r="A85" s="7"/>
      <c r="B85" s="7"/>
      <c r="C85" s="7"/>
      <c r="D85" s="7"/>
      <c r="E85" s="7"/>
      <c r="F85" s="7"/>
      <c r="G85" s="7"/>
      <c r="H85" s="7"/>
      <c r="I85" s="7"/>
      <c r="J85" s="7"/>
      <c r="L85" s="46"/>
      <c r="M85" s="46"/>
      <c r="N85" s="46"/>
    </row>
    <row r="86" spans="1:16" s="48" customFormat="1" ht="15" customHeight="1">
      <c r="A86" s="7"/>
      <c r="B86" s="7"/>
      <c r="C86" s="7"/>
      <c r="D86" s="7"/>
      <c r="E86" s="7"/>
      <c r="F86" s="7"/>
      <c r="G86" s="7"/>
      <c r="H86" s="7"/>
      <c r="I86" s="7"/>
      <c r="J86" s="7"/>
      <c r="L86" s="46"/>
      <c r="M86" s="46"/>
      <c r="N86" s="46"/>
      <c r="O86" s="5"/>
      <c r="P86" s="5"/>
    </row>
    <row r="87" spans="1:16" s="50" customFormat="1" ht="15" customHeight="1">
      <c r="A87" s="7"/>
      <c r="B87" s="7"/>
      <c r="C87" s="7"/>
      <c r="D87" s="7"/>
      <c r="E87" s="7"/>
      <c r="F87" s="7"/>
      <c r="G87" s="7"/>
      <c r="H87" s="7"/>
      <c r="I87" s="7"/>
      <c r="J87" s="7"/>
      <c r="L87" s="46"/>
      <c r="M87" s="46"/>
      <c r="N87" s="46"/>
      <c r="O87" s="48"/>
      <c r="P87" s="48"/>
    </row>
    <row r="88" spans="1:16" s="50" customFormat="1" ht="15" customHeight="1">
      <c r="A88" s="7"/>
      <c r="B88" s="7"/>
      <c r="C88" s="7"/>
      <c r="D88" s="7"/>
      <c r="E88" s="7"/>
      <c r="F88" s="7"/>
      <c r="G88" s="7"/>
      <c r="H88" s="7"/>
      <c r="I88" s="7"/>
      <c r="J88" s="7"/>
      <c r="L88" s="46"/>
      <c r="M88" s="46"/>
      <c r="N88" s="46"/>
    </row>
    <row r="89" spans="1:16" s="50" customFormat="1" ht="15" customHeight="1">
      <c r="A89" s="7"/>
      <c r="B89" s="7"/>
      <c r="C89" s="7"/>
      <c r="D89" s="7"/>
      <c r="E89" s="7"/>
      <c r="F89" s="7"/>
      <c r="G89" s="7"/>
      <c r="H89" s="7"/>
      <c r="I89" s="7"/>
      <c r="J89" s="7"/>
      <c r="L89" s="46"/>
      <c r="M89" s="46"/>
      <c r="N89" s="46"/>
    </row>
    <row r="90" spans="1:16" ht="15" customHeight="1">
      <c r="A90" s="7"/>
      <c r="B90" s="7"/>
      <c r="C90" s="7"/>
      <c r="D90" s="7"/>
      <c r="E90" s="7"/>
      <c r="F90" s="7"/>
      <c r="G90" s="7"/>
      <c r="H90" s="7"/>
      <c r="I90" s="7"/>
      <c r="J90" s="7"/>
      <c r="O90" s="50"/>
      <c r="P90" s="50"/>
    </row>
    <row r="91" spans="1:16" ht="15" customHeight="1">
      <c r="B91" s="7"/>
      <c r="C91" s="7"/>
      <c r="D91" s="7"/>
      <c r="E91" s="7"/>
      <c r="F91" s="7"/>
      <c r="G91" s="7"/>
      <c r="H91" s="7"/>
      <c r="I91" s="7"/>
      <c r="J91" s="7"/>
    </row>
    <row r="92" spans="1:16" ht="15" customHeight="1">
      <c r="B92" s="7"/>
      <c r="C92" s="7"/>
      <c r="D92" s="7"/>
      <c r="E92" s="7"/>
      <c r="F92" s="7"/>
      <c r="G92" s="7"/>
      <c r="H92" s="7"/>
      <c r="I92" s="7"/>
      <c r="J92" s="7"/>
    </row>
    <row r="93" spans="1:16" ht="15" customHeight="1">
      <c r="B93" s="7"/>
      <c r="C93" s="7"/>
      <c r="D93" s="7"/>
      <c r="E93" s="7"/>
      <c r="F93" s="7"/>
      <c r="G93" s="7"/>
      <c r="H93" s="7"/>
      <c r="I93" s="7"/>
      <c r="J93" s="7"/>
    </row>
    <row r="94" spans="1:16" ht="15" customHeight="1">
      <c r="B94" s="7"/>
      <c r="C94" s="7"/>
      <c r="D94" s="7"/>
      <c r="E94" s="7"/>
      <c r="F94" s="7"/>
      <c r="G94" s="7"/>
      <c r="H94" s="7"/>
      <c r="I94" s="7"/>
      <c r="J94" s="7"/>
    </row>
  </sheetData>
  <sheetProtection algorithmName="SHA-512" hashValue="I+0FEibHRthNQAs5loVCXCkgwvLXat7UGVnFl3Bl9IMfSsAIuDasbh22M452DlZGthPW4oGDDUdZxsZRBiM/ag==" saltValue="A2D/v6mZska8Skad6jR7HQ==" spinCount="100000" sheet="1" objects="1" scenarios="1"/>
  <mergeCells count="9">
    <mergeCell ref="A7:C9"/>
    <mergeCell ref="A1:L1"/>
    <mergeCell ref="J8:K8"/>
    <mergeCell ref="H8:I8"/>
    <mergeCell ref="F8:G8"/>
    <mergeCell ref="D8:E8"/>
    <mergeCell ref="D7:G7"/>
    <mergeCell ref="H7:K7"/>
    <mergeCell ref="E4:G4"/>
  </mergeCells>
  <pageMargins left="0.55118110236220474" right="0.23622047244094491" top="0.43307086614173229" bottom="0.43307086614173229" header="0.27559055118110237" footer="0.27559055118110237"/>
  <pageSetup paperSize="8" scale="35" orientation="portrait" r:id="rId1"/>
  <headerFooter scaleWithDoc="0" alignWithMargins="0">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codeName="Blad15"/>
  <dimension ref="A1:AG98"/>
  <sheetViews>
    <sheetView zoomScaleNormal="100" workbookViewId="0">
      <selection activeCell="E4" sqref="E4:F4"/>
    </sheetView>
  </sheetViews>
  <sheetFormatPr defaultColWidth="10.7265625" defaultRowHeight="14.5" outlineLevelCol="2"/>
  <cols>
    <col min="1" max="1" width="20.7265625" style="60" customWidth="1"/>
    <col min="2" max="2" width="30.7265625" style="60" customWidth="1"/>
    <col min="3" max="3" width="20.7265625" style="60" customWidth="1"/>
    <col min="4" max="4" width="30.7265625" style="60" customWidth="1"/>
    <col min="5" max="5" width="20.7265625" style="60" customWidth="1"/>
    <col min="6" max="6" width="30.7265625" style="563" customWidth="1"/>
    <col min="7" max="7" width="100.7265625" style="563" customWidth="1"/>
    <col min="8" max="10" width="30.7265625" style="60" customWidth="1"/>
    <col min="11" max="12" width="20.7265625" style="60" customWidth="1"/>
    <col min="13" max="16" width="20.7265625" style="60" customWidth="1" outlineLevel="1"/>
    <col min="17" max="18" width="20.7265625" style="60" customWidth="1" outlineLevel="2"/>
    <col min="19" max="20" width="20.7265625" style="60" customWidth="1"/>
    <col min="21" max="21" width="5.7265625" style="563" customWidth="1"/>
    <col min="22" max="33" width="10.7265625" style="563" customWidth="1"/>
    <col min="34" max="16384" width="10.7265625" style="60"/>
  </cols>
  <sheetData>
    <row r="1" spans="1:33" s="53" customFormat="1" ht="30" customHeight="1" thickBot="1">
      <c r="A1" s="1725" t="s">
        <v>164</v>
      </c>
      <c r="B1" s="1726"/>
      <c r="C1" s="1726"/>
      <c r="D1" s="1726"/>
      <c r="E1" s="1726"/>
      <c r="F1" s="1726"/>
      <c r="G1" s="1727"/>
      <c r="H1" s="1"/>
      <c r="I1" s="1"/>
      <c r="J1" s="1"/>
      <c r="K1" s="1"/>
      <c r="L1" s="1"/>
      <c r="M1" s="1"/>
      <c r="U1" s="67"/>
      <c r="V1" s="67"/>
      <c r="W1" s="67"/>
      <c r="X1" s="67"/>
      <c r="Y1" s="67"/>
      <c r="Z1" s="67"/>
      <c r="AA1" s="67"/>
      <c r="AB1" s="67"/>
      <c r="AC1" s="67"/>
      <c r="AD1" s="67"/>
      <c r="AE1" s="67"/>
      <c r="AF1" s="67"/>
      <c r="AG1" s="67"/>
    </row>
    <row r="2" spans="1:33" s="53" customFormat="1" ht="15" customHeight="1">
      <c r="A2" s="52"/>
      <c r="B2" s="52"/>
      <c r="C2" s="52"/>
      <c r="D2" s="52"/>
      <c r="E2" s="52"/>
      <c r="F2" s="63"/>
      <c r="G2" s="63"/>
      <c r="H2" s="52"/>
      <c r="I2" s="52"/>
      <c r="J2" s="52"/>
      <c r="K2" s="52"/>
      <c r="L2" s="52"/>
      <c r="M2" s="52"/>
      <c r="U2" s="67"/>
      <c r="V2" s="67"/>
      <c r="W2" s="67"/>
      <c r="X2" s="67"/>
      <c r="Y2" s="67"/>
      <c r="Z2" s="67"/>
      <c r="AA2" s="67"/>
      <c r="AB2" s="67"/>
      <c r="AC2" s="67"/>
      <c r="AD2" s="67"/>
      <c r="AE2" s="67"/>
      <c r="AF2" s="67"/>
      <c r="AG2" s="67"/>
    </row>
    <row r="3" spans="1:33" s="55" customFormat="1" ht="15" customHeight="1" thickBot="1">
      <c r="A3" s="54"/>
      <c r="B3" s="54"/>
      <c r="C3" s="54"/>
      <c r="D3" s="54"/>
      <c r="F3" s="64"/>
      <c r="G3" s="64"/>
      <c r="U3" s="64"/>
      <c r="V3" s="64"/>
      <c r="W3" s="64"/>
      <c r="X3" s="64"/>
      <c r="Y3" s="64"/>
      <c r="Z3" s="64"/>
      <c r="AA3" s="64"/>
      <c r="AB3" s="64"/>
      <c r="AC3" s="64"/>
      <c r="AD3" s="64"/>
      <c r="AE3" s="64"/>
      <c r="AF3" s="64"/>
      <c r="AG3" s="64"/>
    </row>
    <row r="4" spans="1:33" s="56" customFormat="1" ht="20.25" customHeight="1" thickBot="1">
      <c r="B4" s="57" t="s">
        <v>6</v>
      </c>
      <c r="C4" s="58"/>
      <c r="E4" s="1706" t="str">
        <f>DNB</f>
        <v>Naam distributienetbeheerder</v>
      </c>
      <c r="F4" s="1708"/>
      <c r="G4" s="66"/>
      <c r="H4" s="1848"/>
      <c r="I4" s="1848"/>
      <c r="J4" s="576"/>
      <c r="K4" s="59"/>
      <c r="L4" s="59"/>
      <c r="M4" s="59"/>
      <c r="P4" s="59"/>
      <c r="Q4" s="59"/>
      <c r="R4" s="59"/>
      <c r="S4" s="59"/>
      <c r="T4" s="59"/>
      <c r="U4" s="68"/>
      <c r="V4" s="69"/>
      <c r="W4" s="70"/>
      <c r="X4" s="70"/>
      <c r="Y4" s="70"/>
      <c r="Z4" s="70"/>
      <c r="AA4" s="70"/>
      <c r="AB4" s="70"/>
      <c r="AC4" s="70"/>
      <c r="AD4" s="70"/>
      <c r="AE4" s="70"/>
      <c r="AF4" s="70"/>
      <c r="AG4" s="70"/>
    </row>
    <row r="5" spans="1:33" s="61" customFormat="1" ht="15" customHeight="1">
      <c r="A5" s="60"/>
      <c r="B5" s="60"/>
      <c r="C5" s="60"/>
      <c r="D5" s="60"/>
      <c r="E5" s="60"/>
      <c r="F5" s="563"/>
      <c r="G5" s="563"/>
      <c r="H5" s="60"/>
      <c r="I5" s="60"/>
      <c r="J5" s="60"/>
      <c r="U5" s="71"/>
      <c r="V5" s="71"/>
      <c r="W5" s="71"/>
      <c r="X5" s="71"/>
      <c r="Y5" s="71"/>
      <c r="Z5" s="71"/>
      <c r="AA5" s="71"/>
      <c r="AB5" s="71"/>
      <c r="AC5" s="71"/>
      <c r="AD5" s="71"/>
      <c r="AE5" s="71"/>
      <c r="AF5" s="71"/>
      <c r="AG5" s="71"/>
    </row>
    <row r="6" spans="1:33" s="61" customFormat="1" ht="15" customHeight="1" thickBot="1">
      <c r="A6" s="60"/>
      <c r="B6" s="60"/>
      <c r="C6" s="60"/>
      <c r="D6" s="60"/>
      <c r="E6" s="60"/>
      <c r="F6" s="563"/>
      <c r="G6" s="563"/>
      <c r="H6" s="60"/>
      <c r="I6" s="60"/>
      <c r="J6" s="60"/>
      <c r="K6" s="60"/>
      <c r="L6" s="60"/>
      <c r="M6" s="60"/>
      <c r="U6" s="71"/>
      <c r="V6" s="71"/>
      <c r="W6" s="71"/>
      <c r="X6" s="71"/>
      <c r="Y6" s="71"/>
      <c r="Z6" s="71"/>
      <c r="AA6" s="71"/>
      <c r="AB6" s="71"/>
      <c r="AC6" s="71"/>
      <c r="AD6" s="71"/>
      <c r="AE6" s="71"/>
      <c r="AF6" s="71"/>
      <c r="AG6" s="71"/>
    </row>
    <row r="7" spans="1:33" s="62" customFormat="1" ht="50.25" customHeight="1" thickBot="1">
      <c r="A7" s="296" t="s">
        <v>82</v>
      </c>
      <c r="B7" s="72" t="s">
        <v>77</v>
      </c>
      <c r="C7" s="72" t="s">
        <v>88</v>
      </c>
      <c r="D7" s="72" t="s">
        <v>89</v>
      </c>
      <c r="E7" s="72" t="s">
        <v>90</v>
      </c>
      <c r="F7" s="73" t="s">
        <v>91</v>
      </c>
      <c r="G7" s="369" t="s">
        <v>94</v>
      </c>
      <c r="H7" s="236" t="s">
        <v>248</v>
      </c>
      <c r="I7" s="76" t="s">
        <v>249</v>
      </c>
      <c r="J7" s="370" t="s">
        <v>305</v>
      </c>
      <c r="K7" s="244" t="s">
        <v>96</v>
      </c>
      <c r="L7" s="244" t="s">
        <v>270</v>
      </c>
      <c r="M7" s="75" t="s">
        <v>293</v>
      </c>
      <c r="N7" s="75" t="s">
        <v>294</v>
      </c>
      <c r="O7" s="75" t="s">
        <v>303</v>
      </c>
      <c r="P7" s="75" t="s">
        <v>295</v>
      </c>
      <c r="Q7" s="275" t="s">
        <v>292</v>
      </c>
      <c r="R7" s="77" t="s">
        <v>496</v>
      </c>
      <c r="S7" s="297" t="s">
        <v>269</v>
      </c>
      <c r="T7" s="65"/>
      <c r="U7" s="65"/>
      <c r="V7" s="65"/>
      <c r="W7" s="65"/>
      <c r="X7" s="65"/>
      <c r="Y7" s="65"/>
      <c r="Z7" s="65"/>
      <c r="AA7" s="65"/>
      <c r="AB7" s="65"/>
      <c r="AC7" s="65"/>
      <c r="AD7" s="65"/>
      <c r="AE7" s="65"/>
      <c r="AF7" s="65"/>
    </row>
    <row r="8" spans="1:33" ht="15" customHeight="1">
      <c r="A8" s="78" t="s">
        <v>83</v>
      </c>
      <c r="B8" s="79" t="s">
        <v>78</v>
      </c>
      <c r="C8" s="79" t="s">
        <v>22</v>
      </c>
      <c r="D8" s="79" t="s">
        <v>26</v>
      </c>
      <c r="E8" s="79" t="s">
        <v>84</v>
      </c>
      <c r="F8" s="79" t="s">
        <v>86</v>
      </c>
      <c r="G8" s="80" t="s">
        <v>253</v>
      </c>
      <c r="H8" s="179" t="s">
        <v>230</v>
      </c>
      <c r="I8" s="180" t="s">
        <v>525</v>
      </c>
      <c r="J8" s="79" t="s">
        <v>302</v>
      </c>
      <c r="K8" s="841"/>
      <c r="L8" s="92" t="e">
        <f>IF(ISTEXT($H8),INDEX(VDSL1[Afname (%)],MATCH($H8,VDSL1[Verdeelsleutel],0))*$K8,"")</f>
        <v>#VALUE!</v>
      </c>
      <c r="M8" s="89" t="e">
        <f>IF(ISTEXT($I8),INDEX(VDSL2[TRHS (%)],MATCH($I8,VDSL2[Verdeelsleutel],0))*$L8,"")</f>
        <v>#VALUE!</v>
      </c>
      <c r="N8" s="89" t="e">
        <f>IF(ISTEXT($I8),INDEX(VDSL2[MS (%)],MATCH($I8,VDSL2[Verdeelsleutel],0))*$L8,"")</f>
        <v>#VALUE!</v>
      </c>
      <c r="O8" s="89" t="e">
        <f>IF(ISTEXT($I8),INDEX(VDSL2[TRLS (%)],MATCH($I8,VDSL2[Verdeelsleutel],0))*$L8,"")</f>
        <v>#VALUE!</v>
      </c>
      <c r="P8" s="89" t="e">
        <f>IF(ISTEXT($I8),INDEX(VDSL2[LS (%)],MATCH($I8,VDSL2[Verdeelsleutel],0))*$L8,"")</f>
        <v>#VALUE!</v>
      </c>
      <c r="Q8" s="89" t="e">
        <f>IF(ISTEXT($J8),INDEX(VDSL3[Afnameklanten op LS met piekmeting (%)],MATCH($J8,VDSL3[Verdeelsleutel],0))*$P8,"")</f>
        <v>#DIV/0!</v>
      </c>
      <c r="R8" s="91" t="e">
        <f>IF(ISTEXT($J8),INDEX(VDSL3[Afnameklanten met KM/TT (%)],MATCH($J8,VDSL3[Verdeelsleutel],0))*$P8,"")</f>
        <v>#DIV/0!</v>
      </c>
      <c r="S8" s="92" t="e">
        <f>IF(ISTEXT($H8),INDEX(VDSL1[Injectie (%)],MATCH($H8,VDSL1[Verdeelsleutel],0))*$K8,"")</f>
        <v>#VALUE!</v>
      </c>
      <c r="T8" s="563"/>
      <c r="U8" s="1"/>
      <c r="V8" s="1"/>
      <c r="AG8" s="60"/>
    </row>
    <row r="9" spans="1:33" ht="15" customHeight="1">
      <c r="A9" s="81" t="s">
        <v>83</v>
      </c>
      <c r="B9" s="82" t="s">
        <v>78</v>
      </c>
      <c r="C9" s="82" t="s">
        <v>22</v>
      </c>
      <c r="D9" s="82" t="s">
        <v>26</v>
      </c>
      <c r="E9" s="82" t="s">
        <v>84</v>
      </c>
      <c r="F9" s="82" t="s">
        <v>86</v>
      </c>
      <c r="G9" s="83" t="s">
        <v>252</v>
      </c>
      <c r="H9" s="181" t="s">
        <v>230</v>
      </c>
      <c r="I9" s="182" t="s">
        <v>300</v>
      </c>
      <c r="J9" s="82" t="s">
        <v>302</v>
      </c>
      <c r="K9" s="842"/>
      <c r="L9" s="95" t="e">
        <f>IF(ISTEXT($H9),INDEX(VDSL1[Afname (%)],MATCH($H9,VDSL1[Verdeelsleutel],0))*$K9,"")</f>
        <v>#VALUE!</v>
      </c>
      <c r="M9" s="93" t="e">
        <f>IF(ISTEXT($I9),INDEX(VDSL2[TRHS (%)],MATCH($I9,VDSL2[Verdeelsleutel],0))*$L9,"")</f>
        <v>#DIV/0!</v>
      </c>
      <c r="N9" s="93" t="e">
        <f>IF(ISTEXT($I9),INDEX(VDSL2[MS (%)],MATCH($I9,VDSL2[Verdeelsleutel],0))*$L9,"")</f>
        <v>#VALUE!</v>
      </c>
      <c r="O9" s="93" t="e">
        <f>IF(ISTEXT($I9),INDEX(VDSL2[TRLS (%)],MATCH($I9,VDSL2[Verdeelsleutel],0))*$L9,"")</f>
        <v>#VALUE!</v>
      </c>
      <c r="P9" s="93" t="e">
        <f>IF(ISTEXT($I9),INDEX(VDSL2[LS (%)],MATCH($I9,VDSL2[Verdeelsleutel],0))*$L9,"")</f>
        <v>#VALUE!</v>
      </c>
      <c r="Q9" s="93" t="e">
        <f>IF(ISTEXT($J9),INDEX(VDSL3[Afnameklanten op LS met piekmeting (%)],MATCH($J9,VDSL3[Verdeelsleutel],0))*$P9,"")</f>
        <v>#DIV/0!</v>
      </c>
      <c r="R9" s="94" t="e">
        <f>IF(ISTEXT($J9),INDEX(VDSL3[Afnameklanten met KM/TT (%)],MATCH($J9,VDSL3[Verdeelsleutel],0))*$P9,"")</f>
        <v>#DIV/0!</v>
      </c>
      <c r="S9" s="95" t="e">
        <f>IF(ISTEXT($H9),INDEX(VDSL1[Injectie (%)],MATCH($H9,VDSL1[Verdeelsleutel],0))*$K9,"")</f>
        <v>#VALUE!</v>
      </c>
      <c r="T9" s="563"/>
      <c r="U9" s="1"/>
      <c r="V9" s="1"/>
      <c r="AG9" s="60"/>
    </row>
    <row r="10" spans="1:33" ht="15" customHeight="1">
      <c r="A10" s="81" t="s">
        <v>83</v>
      </c>
      <c r="B10" s="82" t="s">
        <v>78</v>
      </c>
      <c r="C10" s="82" t="s">
        <v>22</v>
      </c>
      <c r="D10" s="82" t="s">
        <v>26</v>
      </c>
      <c r="E10" s="82" t="s">
        <v>84</v>
      </c>
      <c r="F10" s="82" t="s">
        <v>86</v>
      </c>
      <c r="G10" s="83" t="s">
        <v>221</v>
      </c>
      <c r="H10" s="181" t="s">
        <v>230</v>
      </c>
      <c r="I10" s="182" t="s">
        <v>527</v>
      </c>
      <c r="J10" s="82" t="s">
        <v>302</v>
      </c>
      <c r="K10" s="842"/>
      <c r="L10" s="95" t="e">
        <f>IF(ISTEXT($H10),INDEX(VDSL1[Afname (%)],MATCH($H10,VDSL1[Verdeelsleutel],0))*$K10,"")</f>
        <v>#VALUE!</v>
      </c>
      <c r="M10" s="93" t="e">
        <f>IF(ISTEXT($I10),INDEX(VDSL2[TRHS (%)],MATCH($I10,VDSL2[Verdeelsleutel],0))*$L10,"")</f>
        <v>#VALUE!</v>
      </c>
      <c r="N10" s="93" t="e">
        <f>IF(ISTEXT($I10),INDEX(VDSL2[MS (%)],MATCH($I10,VDSL2[Verdeelsleutel],0))*$L10,"")</f>
        <v>#VALUE!</v>
      </c>
      <c r="O10" s="93" t="e">
        <f>IF(ISTEXT($I10),INDEX(VDSL2[TRLS (%)],MATCH($I10,VDSL2[Verdeelsleutel],0))*$L10,"")</f>
        <v>#VALUE!</v>
      </c>
      <c r="P10" s="93" t="e">
        <f>IF(ISTEXT($I10),INDEX(VDSL2[LS (%)],MATCH($I10,VDSL2[Verdeelsleutel],0))*$L10,"")</f>
        <v>#VALUE!</v>
      </c>
      <c r="Q10" s="93" t="e">
        <f>IF(ISTEXT($J10),INDEX(VDSL3[Afnameklanten op LS met piekmeting (%)],MATCH($J10,VDSL3[Verdeelsleutel],0))*$P10,"")</f>
        <v>#DIV/0!</v>
      </c>
      <c r="R10" s="94" t="e">
        <f>IF(ISTEXT($J10),INDEX(VDSL3[Afnameklanten met KM/TT (%)],MATCH($J10,VDSL3[Verdeelsleutel],0))*$P10,"")</f>
        <v>#DIV/0!</v>
      </c>
      <c r="S10" s="95" t="e">
        <f>IF(ISTEXT($H10),INDEX(VDSL1[Injectie (%)],MATCH($H10,VDSL1[Verdeelsleutel],0))*$K10,"")</f>
        <v>#VALUE!</v>
      </c>
      <c r="T10" s="563"/>
      <c r="U10" s="1"/>
      <c r="V10" s="1"/>
      <c r="AG10" s="60"/>
    </row>
    <row r="11" spans="1:33" ht="15" customHeight="1">
      <c r="A11" s="81" t="s">
        <v>83</v>
      </c>
      <c r="B11" s="82" t="s">
        <v>78</v>
      </c>
      <c r="C11" s="82" t="s">
        <v>22</v>
      </c>
      <c r="D11" s="82" t="s">
        <v>26</v>
      </c>
      <c r="E11" s="82" t="s">
        <v>84</v>
      </c>
      <c r="F11" s="82" t="s">
        <v>86</v>
      </c>
      <c r="G11" s="83" t="s">
        <v>31</v>
      </c>
      <c r="H11" s="181" t="s">
        <v>230</v>
      </c>
      <c r="I11" s="182" t="s">
        <v>533</v>
      </c>
      <c r="J11" s="82" t="s">
        <v>302</v>
      </c>
      <c r="K11" s="842"/>
      <c r="L11" s="95" t="e">
        <f>IF(ISTEXT($H11),INDEX(VDSL1[Afname (%)],MATCH($H11,VDSL1[Verdeelsleutel],0))*$K11,"")</f>
        <v>#VALUE!</v>
      </c>
      <c r="M11" s="93" t="e">
        <f>IF(ISTEXT($I11),INDEX(VDSL2[TRHS (%)],MATCH($I11,VDSL2[Verdeelsleutel],0))*$L11,"")</f>
        <v>#DIV/0!</v>
      </c>
      <c r="N11" s="93" t="e">
        <f>IF(ISTEXT($I11),INDEX(VDSL2[MS (%)],MATCH($I11,VDSL2[Verdeelsleutel],0))*$L11,"")</f>
        <v>#DIV/0!</v>
      </c>
      <c r="O11" s="93" t="e">
        <f>IF(ISTEXT($I11),INDEX(VDSL2[TRLS (%)],MATCH($I11,VDSL2[Verdeelsleutel],0))*$L11,"")</f>
        <v>#DIV/0!</v>
      </c>
      <c r="P11" s="93" t="e">
        <f>IF(ISTEXT($I11),INDEX(VDSL2[LS (%)],MATCH($I11,VDSL2[Verdeelsleutel],0))*$L11,"")</f>
        <v>#VALUE!</v>
      </c>
      <c r="Q11" s="93" t="e">
        <f>IF(ISTEXT($J11),INDEX(VDSL3[Afnameklanten op LS met piekmeting (%)],MATCH($J11,VDSL3[Verdeelsleutel],0))*$P11,"")</f>
        <v>#DIV/0!</v>
      </c>
      <c r="R11" s="94" t="e">
        <f>IF(ISTEXT($J11),INDEX(VDSL3[Afnameklanten met KM/TT (%)],MATCH($J11,VDSL3[Verdeelsleutel],0))*$P11,"")</f>
        <v>#DIV/0!</v>
      </c>
      <c r="S11" s="95" t="e">
        <f>IF(ISTEXT($H11),INDEX(VDSL1[Injectie (%)],MATCH($H11,VDSL1[Verdeelsleutel],0))*$K11,"")</f>
        <v>#VALUE!</v>
      </c>
      <c r="T11" s="563"/>
      <c r="U11" s="1"/>
      <c r="V11" s="1"/>
      <c r="AG11" s="60"/>
    </row>
    <row r="12" spans="1:33" ht="15" customHeight="1">
      <c r="A12" s="81" t="s">
        <v>83</v>
      </c>
      <c r="B12" s="82" t="s">
        <v>78</v>
      </c>
      <c r="C12" s="82" t="s">
        <v>22</v>
      </c>
      <c r="D12" s="82" t="s">
        <v>26</v>
      </c>
      <c r="E12" s="82" t="s">
        <v>84</v>
      </c>
      <c r="F12" s="82" t="s">
        <v>86</v>
      </c>
      <c r="G12" s="83" t="s">
        <v>247</v>
      </c>
      <c r="H12" s="181" t="s">
        <v>230</v>
      </c>
      <c r="I12" s="182" t="s">
        <v>525</v>
      </c>
      <c r="J12" s="82" t="s">
        <v>302</v>
      </c>
      <c r="K12" s="842"/>
      <c r="L12" s="95" t="e">
        <f>IF(ISTEXT($H12),INDEX(VDSL1[Afname (%)],MATCH($H12,VDSL1[Verdeelsleutel],0))*$K12,"")</f>
        <v>#VALUE!</v>
      </c>
      <c r="M12" s="93" t="e">
        <f>IF(ISTEXT($I12),INDEX(VDSL2[TRHS (%)],MATCH($I12,VDSL2[Verdeelsleutel],0))*$L12,"")</f>
        <v>#VALUE!</v>
      </c>
      <c r="N12" s="93" t="e">
        <f>IF(ISTEXT($I12),INDEX(VDSL2[MS (%)],MATCH($I12,VDSL2[Verdeelsleutel],0))*$L12,"")</f>
        <v>#VALUE!</v>
      </c>
      <c r="O12" s="93" t="e">
        <f>IF(ISTEXT($I12),INDEX(VDSL2[TRLS (%)],MATCH($I12,VDSL2[Verdeelsleutel],0))*$L12,"")</f>
        <v>#VALUE!</v>
      </c>
      <c r="P12" s="93" t="e">
        <f>IF(ISTEXT($I12),INDEX(VDSL2[LS (%)],MATCH($I12,VDSL2[Verdeelsleutel],0))*$L12,"")</f>
        <v>#VALUE!</v>
      </c>
      <c r="Q12" s="93" t="e">
        <f>IF(ISTEXT($J12),INDEX(VDSL3[Afnameklanten op LS met piekmeting (%)],MATCH($J12,VDSL3[Verdeelsleutel],0))*$P12,"")</f>
        <v>#DIV/0!</v>
      </c>
      <c r="R12" s="94" t="e">
        <f>IF(ISTEXT($J12),INDEX(VDSL3[Afnameklanten met KM/TT (%)],MATCH($J12,VDSL3[Verdeelsleutel],0))*$P12,"")</f>
        <v>#DIV/0!</v>
      </c>
      <c r="S12" s="95" t="e">
        <f>IF(ISTEXT($H12),INDEX(VDSL1[Injectie (%)],MATCH($H12,VDSL1[Verdeelsleutel],0))*$K12,"")</f>
        <v>#VALUE!</v>
      </c>
      <c r="T12" s="563"/>
      <c r="U12" s="1"/>
      <c r="V12" s="1"/>
      <c r="AG12" s="60"/>
    </row>
    <row r="13" spans="1:33" ht="15" customHeight="1">
      <c r="A13" s="81" t="s">
        <v>83</v>
      </c>
      <c r="B13" s="82" t="s">
        <v>78</v>
      </c>
      <c r="C13" s="82" t="s">
        <v>22</v>
      </c>
      <c r="D13" s="82" t="s">
        <v>26</v>
      </c>
      <c r="E13" s="82" t="s">
        <v>84</v>
      </c>
      <c r="F13" s="82" t="s">
        <v>86</v>
      </c>
      <c r="G13" s="83" t="s">
        <v>29</v>
      </c>
      <c r="H13" s="181" t="s">
        <v>230</v>
      </c>
      <c r="I13" s="182" t="s">
        <v>300</v>
      </c>
      <c r="J13" s="82" t="s">
        <v>302</v>
      </c>
      <c r="K13" s="842"/>
      <c r="L13" s="95" t="e">
        <f>IF(ISTEXT($H13),INDEX(VDSL1[Afname (%)],MATCH($H13,VDSL1[Verdeelsleutel],0))*$K13,"")</f>
        <v>#VALUE!</v>
      </c>
      <c r="M13" s="93" t="e">
        <f>IF(ISTEXT($I13),INDEX(VDSL2[TRHS (%)],MATCH($I13,VDSL2[Verdeelsleutel],0))*$L13,"")</f>
        <v>#DIV/0!</v>
      </c>
      <c r="N13" s="93" t="e">
        <f>IF(ISTEXT($I13),INDEX(VDSL2[MS (%)],MATCH($I13,VDSL2[Verdeelsleutel],0))*$L13,"")</f>
        <v>#VALUE!</v>
      </c>
      <c r="O13" s="93" t="e">
        <f>IF(ISTEXT($I13),INDEX(VDSL2[TRLS (%)],MATCH($I13,VDSL2[Verdeelsleutel],0))*$L13,"")</f>
        <v>#VALUE!</v>
      </c>
      <c r="P13" s="93" t="e">
        <f>IF(ISTEXT($I13),INDEX(VDSL2[LS (%)],MATCH($I13,VDSL2[Verdeelsleutel],0))*$L13,"")</f>
        <v>#VALUE!</v>
      </c>
      <c r="Q13" s="93" t="e">
        <f>IF(ISTEXT($J13),INDEX(VDSL3[Afnameklanten op LS met piekmeting (%)],MATCH($J13,VDSL3[Verdeelsleutel],0))*$P13,"")</f>
        <v>#DIV/0!</v>
      </c>
      <c r="R13" s="94" t="e">
        <f>IF(ISTEXT($J13),INDEX(VDSL3[Afnameklanten met KM/TT (%)],MATCH($J13,VDSL3[Verdeelsleutel],0))*$P13,"")</f>
        <v>#DIV/0!</v>
      </c>
      <c r="S13" s="95" t="e">
        <f>IF(ISTEXT($H13),INDEX(VDSL1[Injectie (%)],MATCH($H13,VDSL1[Verdeelsleutel],0))*$K13,"")</f>
        <v>#VALUE!</v>
      </c>
      <c r="T13" s="563"/>
      <c r="U13" s="1"/>
      <c r="V13" s="1"/>
      <c r="AG13" s="60"/>
    </row>
    <row r="14" spans="1:33" ht="15" customHeight="1">
      <c r="A14" s="81" t="s">
        <v>83</v>
      </c>
      <c r="B14" s="82" t="s">
        <v>78</v>
      </c>
      <c r="C14" s="82" t="s">
        <v>22</v>
      </c>
      <c r="D14" s="82" t="s">
        <v>26</v>
      </c>
      <c r="E14" s="82" t="s">
        <v>84</v>
      </c>
      <c r="F14" s="82" t="s">
        <v>86</v>
      </c>
      <c r="G14" s="83" t="s">
        <v>28</v>
      </c>
      <c r="H14" s="181" t="s">
        <v>230</v>
      </c>
      <c r="I14" s="182" t="s">
        <v>524</v>
      </c>
      <c r="J14" s="82" t="s">
        <v>302</v>
      </c>
      <c r="K14" s="842"/>
      <c r="L14" s="95" t="e">
        <f>IF(ISTEXT($H14),INDEX(VDSL1[Afname (%)],MATCH($H14,VDSL1[Verdeelsleutel],0))*$K14,"")</f>
        <v>#VALUE!</v>
      </c>
      <c r="M14" s="93" t="e">
        <f>IF(ISTEXT($I14),INDEX(VDSL2[TRHS (%)],MATCH($I14,VDSL2[Verdeelsleutel],0))*$L14,"")</f>
        <v>#VALUE!</v>
      </c>
      <c r="N14" s="93" t="e">
        <f>IF(ISTEXT($I14),INDEX(VDSL2[MS (%)],MATCH($I14,VDSL2[Verdeelsleutel],0))*$L14,"")</f>
        <v>#VALUE!</v>
      </c>
      <c r="O14" s="93" t="e">
        <f>IF(ISTEXT($I14),INDEX(VDSL2[TRLS (%)],MATCH($I14,VDSL2[Verdeelsleutel],0))*$L14,"")</f>
        <v>#VALUE!</v>
      </c>
      <c r="P14" s="93" t="e">
        <f>IF(ISTEXT($I14),INDEX(VDSL2[LS (%)],MATCH($I14,VDSL2[Verdeelsleutel],0))*$L14,"")</f>
        <v>#VALUE!</v>
      </c>
      <c r="Q14" s="93" t="e">
        <f>IF(ISTEXT($J14),INDEX(VDSL3[Afnameklanten op LS met piekmeting (%)],MATCH($J14,VDSL3[Verdeelsleutel],0))*$P14,"")</f>
        <v>#DIV/0!</v>
      </c>
      <c r="R14" s="94" t="e">
        <f>IF(ISTEXT($J14),INDEX(VDSL3[Afnameklanten met KM/TT (%)],MATCH($J14,VDSL3[Verdeelsleutel],0))*$P14,"")</f>
        <v>#DIV/0!</v>
      </c>
      <c r="S14" s="95" t="e">
        <f>IF(ISTEXT($H14),INDEX(VDSL1[Injectie (%)],MATCH($H14,VDSL1[Verdeelsleutel],0))*$K14,"")</f>
        <v>#VALUE!</v>
      </c>
      <c r="T14" s="563"/>
      <c r="U14" s="1"/>
      <c r="V14" s="1"/>
      <c r="AG14" s="60"/>
    </row>
    <row r="15" spans="1:33" ht="15" customHeight="1">
      <c r="A15" s="81" t="s">
        <v>83</v>
      </c>
      <c r="B15" s="82" t="s">
        <v>78</v>
      </c>
      <c r="C15" s="82" t="s">
        <v>22</v>
      </c>
      <c r="D15" s="82" t="s">
        <v>26</v>
      </c>
      <c r="E15" s="82" t="s">
        <v>84</v>
      </c>
      <c r="F15" s="82" t="s">
        <v>86</v>
      </c>
      <c r="G15" s="83" t="s">
        <v>27</v>
      </c>
      <c r="H15" s="181" t="s">
        <v>230</v>
      </c>
      <c r="I15" s="182" t="s">
        <v>299</v>
      </c>
      <c r="J15" s="82" t="s">
        <v>302</v>
      </c>
      <c r="K15" s="842"/>
      <c r="L15" s="95" t="e">
        <f>IF(ISTEXT($H15),INDEX(VDSL1[Afname (%)],MATCH($H15,VDSL1[Verdeelsleutel],0))*$K15,"")</f>
        <v>#VALUE!</v>
      </c>
      <c r="M15" s="93" t="e">
        <f>IF(ISTEXT($I15),INDEX(VDSL2[TRHS (%)],MATCH($I15,VDSL2[Verdeelsleutel],0))*$L15,"")</f>
        <v>#VALUE!</v>
      </c>
      <c r="N15" s="93" t="e">
        <f>IF(ISTEXT($I15),INDEX(VDSL2[MS (%)],MATCH($I15,VDSL2[Verdeelsleutel],0))*$L15,"")</f>
        <v>#VALUE!</v>
      </c>
      <c r="O15" s="93" t="e">
        <f>IF(ISTEXT($I15),INDEX(VDSL2[TRLS (%)],MATCH($I15,VDSL2[Verdeelsleutel],0))*$L15,"")</f>
        <v>#VALUE!</v>
      </c>
      <c r="P15" s="93" t="e">
        <f>IF(ISTEXT($I15),INDEX(VDSL2[LS (%)],MATCH($I15,VDSL2[Verdeelsleutel],0))*$L15,"")</f>
        <v>#VALUE!</v>
      </c>
      <c r="Q15" s="93" t="e">
        <f>IF(ISTEXT($J15),INDEX(VDSL3[Afnameklanten op LS met piekmeting (%)],MATCH($J15,VDSL3[Verdeelsleutel],0))*$P15,"")</f>
        <v>#DIV/0!</v>
      </c>
      <c r="R15" s="94" t="e">
        <f>IF(ISTEXT($J15),INDEX(VDSL3[Afnameklanten met KM/TT (%)],MATCH($J15,VDSL3[Verdeelsleutel],0))*$P15,"")</f>
        <v>#DIV/0!</v>
      </c>
      <c r="S15" s="95" t="e">
        <f>IF(ISTEXT($H15),INDEX(VDSL1[Injectie (%)],MATCH($H15,VDSL1[Verdeelsleutel],0))*$K15,"")</f>
        <v>#VALUE!</v>
      </c>
      <c r="T15" s="563"/>
      <c r="U15" s="1"/>
      <c r="V15" s="1"/>
      <c r="AG15" s="60"/>
    </row>
    <row r="16" spans="1:33" ht="15" customHeight="1">
      <c r="A16" s="81" t="s">
        <v>83</v>
      </c>
      <c r="B16" s="82" t="s">
        <v>78</v>
      </c>
      <c r="C16" s="82" t="s">
        <v>22</v>
      </c>
      <c r="D16" s="82" t="s">
        <v>26</v>
      </c>
      <c r="E16" s="82" t="s">
        <v>84</v>
      </c>
      <c r="F16" s="82" t="s">
        <v>86</v>
      </c>
      <c r="G16" s="83" t="s">
        <v>220</v>
      </c>
      <c r="H16" s="181" t="s">
        <v>230</v>
      </c>
      <c r="I16" s="182" t="s">
        <v>526</v>
      </c>
      <c r="J16" s="82" t="s">
        <v>302</v>
      </c>
      <c r="K16" s="842"/>
      <c r="L16" s="95" t="e">
        <f>IF(ISTEXT($H16),INDEX(VDSL1[Afname (%)],MATCH($H16,VDSL1[Verdeelsleutel],0))*$K16,"")</f>
        <v>#VALUE!</v>
      </c>
      <c r="M16" s="93" t="e">
        <f>IF(ISTEXT($I16),INDEX(VDSL2[TRHS (%)],MATCH($I16,VDSL2[Verdeelsleutel],0))*$L16,"")</f>
        <v>#VALUE!</v>
      </c>
      <c r="N16" s="93" t="e">
        <f>IF(ISTEXT($I16),INDEX(VDSL2[MS (%)],MATCH($I16,VDSL2[Verdeelsleutel],0))*$L16,"")</f>
        <v>#VALUE!</v>
      </c>
      <c r="O16" s="93" t="e">
        <f>IF(ISTEXT($I16),INDEX(VDSL2[TRLS (%)],MATCH($I16,VDSL2[Verdeelsleutel],0))*$L16,"")</f>
        <v>#VALUE!</v>
      </c>
      <c r="P16" s="93" t="e">
        <f>IF(ISTEXT($I16),INDEX(VDSL2[LS (%)],MATCH($I16,VDSL2[Verdeelsleutel],0))*$L16,"")</f>
        <v>#VALUE!</v>
      </c>
      <c r="Q16" s="93" t="e">
        <f>IF(ISTEXT($J16),INDEX(VDSL3[Afnameklanten op LS met piekmeting (%)],MATCH($J16,VDSL3[Verdeelsleutel],0))*$P16,"")</f>
        <v>#DIV/0!</v>
      </c>
      <c r="R16" s="94" t="e">
        <f>IF(ISTEXT($J16),INDEX(VDSL3[Afnameklanten met KM/TT (%)],MATCH($J16,VDSL3[Verdeelsleutel],0))*$P16,"")</f>
        <v>#DIV/0!</v>
      </c>
      <c r="S16" s="95" t="e">
        <f>IF(ISTEXT($H16),INDEX(VDSL1[Injectie (%)],MATCH($H16,VDSL1[Verdeelsleutel],0))*$K16,"")</f>
        <v>#VALUE!</v>
      </c>
      <c r="T16" s="563"/>
      <c r="U16" s="1"/>
      <c r="V16" s="1"/>
      <c r="AG16" s="60"/>
    </row>
    <row r="17" spans="1:33" ht="15" customHeight="1">
      <c r="A17" s="81" t="s">
        <v>83</v>
      </c>
      <c r="B17" s="82" t="s">
        <v>78</v>
      </c>
      <c r="C17" s="82" t="s">
        <v>22</v>
      </c>
      <c r="D17" s="82" t="s">
        <v>26</v>
      </c>
      <c r="E17" s="82" t="s">
        <v>84</v>
      </c>
      <c r="F17" s="82" t="s">
        <v>86</v>
      </c>
      <c r="G17" s="83" t="s">
        <v>30</v>
      </c>
      <c r="H17" s="181" t="s">
        <v>230</v>
      </c>
      <c r="I17" s="182" t="s">
        <v>301</v>
      </c>
      <c r="J17" s="82" t="s">
        <v>302</v>
      </c>
      <c r="K17" s="842"/>
      <c r="L17" s="95" t="e">
        <f>IF(ISTEXT($H17),INDEX(VDSL1[Afname (%)],MATCH($H17,VDSL1[Verdeelsleutel],0))*$K17,"")</f>
        <v>#VALUE!</v>
      </c>
      <c r="M17" s="93" t="e">
        <f>IF(ISTEXT($I17),INDEX(VDSL2[TRHS (%)],MATCH($I17,VDSL2[Verdeelsleutel],0))*$L17,"")</f>
        <v>#DIV/0!</v>
      </c>
      <c r="N17" s="93" t="e">
        <f>IF(ISTEXT($I17),INDEX(VDSL2[MS (%)],MATCH($I17,VDSL2[Verdeelsleutel],0))*$L17,"")</f>
        <v>#DIV/0!</v>
      </c>
      <c r="O17" s="93" t="e">
        <f>IF(ISTEXT($I17),INDEX(VDSL2[TRLS (%)],MATCH($I17,VDSL2[Verdeelsleutel],0))*$L17,"")</f>
        <v>#VALUE!</v>
      </c>
      <c r="P17" s="93" t="e">
        <f>IF(ISTEXT($I17),INDEX(VDSL2[LS (%)],MATCH($I17,VDSL2[Verdeelsleutel],0))*$L17,"")</f>
        <v>#VALUE!</v>
      </c>
      <c r="Q17" s="93" t="e">
        <f>IF(ISTEXT($J17),INDEX(VDSL3[Afnameklanten op LS met piekmeting (%)],MATCH($J17,VDSL3[Verdeelsleutel],0))*$P17,"")</f>
        <v>#DIV/0!</v>
      </c>
      <c r="R17" s="94" t="e">
        <f>IF(ISTEXT($J17),INDEX(VDSL3[Afnameklanten met KM/TT (%)],MATCH($J17,VDSL3[Verdeelsleutel],0))*$P17,"")</f>
        <v>#DIV/0!</v>
      </c>
      <c r="S17" s="95" t="e">
        <f>IF(ISTEXT($H17),INDEX(VDSL1[Injectie (%)],MATCH($H17,VDSL1[Verdeelsleutel],0))*$K17,"")</f>
        <v>#VALUE!</v>
      </c>
      <c r="T17" s="563"/>
      <c r="U17" s="1"/>
      <c r="V17" s="1"/>
      <c r="AG17" s="60"/>
    </row>
    <row r="18" spans="1:33" ht="15" customHeight="1">
      <c r="A18" s="81" t="s">
        <v>83</v>
      </c>
      <c r="B18" s="82" t="s">
        <v>78</v>
      </c>
      <c r="C18" s="82" t="s">
        <v>22</v>
      </c>
      <c r="D18" s="82" t="s">
        <v>26</v>
      </c>
      <c r="E18" s="82" t="s">
        <v>85</v>
      </c>
      <c r="F18" s="82" t="s">
        <v>87</v>
      </c>
      <c r="G18" s="83" t="s">
        <v>151</v>
      </c>
      <c r="H18" s="181" t="s">
        <v>231</v>
      </c>
      <c r="I18" s="182" t="s">
        <v>153</v>
      </c>
      <c r="J18" s="82" t="s">
        <v>14</v>
      </c>
      <c r="K18" s="842"/>
      <c r="L18" s="95">
        <f>IF(ISTEXT($H18),INDEX(VDSL1[Afname (%)],MATCH($H18,VDSL1[Verdeelsleutel],0))*$K18,"")</f>
        <v>0</v>
      </c>
      <c r="M18" s="93" t="e">
        <f>IF(ISTEXT($I18),INDEX(VDSL2[TRHS (%)],MATCH($I18,VDSL2[Verdeelsleutel],0))*$L18,"")</f>
        <v>#DIV/0!</v>
      </c>
      <c r="N18" s="93" t="e">
        <f>IF(ISTEXT($I18),INDEX(VDSL2[MS (%)],MATCH($I18,VDSL2[Verdeelsleutel],0))*$L18,"")</f>
        <v>#DIV/0!</v>
      </c>
      <c r="O18" s="93" t="e">
        <f>IF(ISTEXT($I18),INDEX(VDSL2[TRLS (%)],MATCH($I18,VDSL2[Verdeelsleutel],0))*$L18,"")</f>
        <v>#DIV/0!</v>
      </c>
      <c r="P18" s="93" t="e">
        <f>IF(ISTEXT($I18),INDEX(VDSL2[LS (%)],MATCH($I18,VDSL2[Verdeelsleutel],0))*$L18,"")</f>
        <v>#DIV/0!</v>
      </c>
      <c r="Q18" s="93" t="e">
        <f>IF(ISTEXT($J18),INDEX(VDSL3[Afnameklanten op LS met piekmeting (%)],MATCH($J18,VDSL3[Verdeelsleutel],0))*$P18,"")</f>
        <v>#DIV/0!</v>
      </c>
      <c r="R18" s="94" t="e">
        <f>IF(ISTEXT($J18),INDEX(VDSL3[Afnameklanten met KM/TT (%)],MATCH($J18,VDSL3[Verdeelsleutel],0))*$P18,"")</f>
        <v>#DIV/0!</v>
      </c>
      <c r="S18" s="95">
        <f>IF(ISTEXT($H18),INDEX(VDSL1[Injectie (%)],MATCH($H18,VDSL1[Verdeelsleutel],0))*$K18,"")</f>
        <v>0</v>
      </c>
      <c r="T18" s="563"/>
      <c r="U18" s="1"/>
      <c r="V18" s="1"/>
      <c r="AG18" s="60"/>
    </row>
    <row r="19" spans="1:33" ht="15" customHeight="1">
      <c r="A19" s="81" t="s">
        <v>83</v>
      </c>
      <c r="B19" s="82" t="s">
        <v>78</v>
      </c>
      <c r="C19" s="82" t="s">
        <v>22</v>
      </c>
      <c r="D19" s="82" t="s">
        <v>26</v>
      </c>
      <c r="E19" s="82" t="s">
        <v>85</v>
      </c>
      <c r="F19" s="82" t="s">
        <v>87</v>
      </c>
      <c r="G19" s="83" t="s">
        <v>150</v>
      </c>
      <c r="H19" s="181" t="s">
        <v>231</v>
      </c>
      <c r="I19" s="182" t="s">
        <v>153</v>
      </c>
      <c r="J19" s="82" t="s">
        <v>14</v>
      </c>
      <c r="K19" s="842"/>
      <c r="L19" s="95">
        <f>IF(ISTEXT($H19),INDEX(VDSL1[Afname (%)],MATCH($H19,VDSL1[Verdeelsleutel],0))*$K19,"")</f>
        <v>0</v>
      </c>
      <c r="M19" s="93" t="e">
        <f>IF(ISTEXT($I19),INDEX(VDSL2[TRHS (%)],MATCH($I19,VDSL2[Verdeelsleutel],0))*$L19,"")</f>
        <v>#DIV/0!</v>
      </c>
      <c r="N19" s="93" t="e">
        <f>IF(ISTEXT($I19),INDEX(VDSL2[MS (%)],MATCH($I19,VDSL2[Verdeelsleutel],0))*$L19,"")</f>
        <v>#DIV/0!</v>
      </c>
      <c r="O19" s="93" t="e">
        <f>IF(ISTEXT($I19),INDEX(VDSL2[TRLS (%)],MATCH($I19,VDSL2[Verdeelsleutel],0))*$L19,"")</f>
        <v>#DIV/0!</v>
      </c>
      <c r="P19" s="93" t="e">
        <f>IF(ISTEXT($I19),INDEX(VDSL2[LS (%)],MATCH($I19,VDSL2[Verdeelsleutel],0))*$L19,"")</f>
        <v>#DIV/0!</v>
      </c>
      <c r="Q19" s="93" t="e">
        <f>IF(ISTEXT($J19),INDEX(VDSL3[Afnameklanten op LS met piekmeting (%)],MATCH($J19,VDSL3[Verdeelsleutel],0))*$P19,"")</f>
        <v>#DIV/0!</v>
      </c>
      <c r="R19" s="94" t="e">
        <f>IF(ISTEXT($J19),INDEX(VDSL3[Afnameklanten met KM/TT (%)],MATCH($J19,VDSL3[Verdeelsleutel],0))*$P19,"")</f>
        <v>#DIV/0!</v>
      </c>
      <c r="S19" s="95">
        <f>IF(ISTEXT($H19),INDEX(VDSL1[Injectie (%)],MATCH($H19,VDSL1[Verdeelsleutel],0))*$K19,"")</f>
        <v>0</v>
      </c>
      <c r="T19" s="563"/>
      <c r="U19" s="1"/>
      <c r="V19" s="1"/>
      <c r="AG19" s="60"/>
    </row>
    <row r="20" spans="1:33" ht="15" customHeight="1">
      <c r="A20" s="81" t="s">
        <v>83</v>
      </c>
      <c r="B20" s="82" t="s">
        <v>78</v>
      </c>
      <c r="C20" s="82" t="s">
        <v>22</v>
      </c>
      <c r="D20" s="82" t="s">
        <v>26</v>
      </c>
      <c r="E20" s="82" t="s">
        <v>85</v>
      </c>
      <c r="F20" s="82" t="s">
        <v>87</v>
      </c>
      <c r="G20" s="83" t="s">
        <v>32</v>
      </c>
      <c r="H20" s="181" t="s">
        <v>231</v>
      </c>
      <c r="I20" s="182" t="s">
        <v>14</v>
      </c>
      <c r="J20" s="82" t="s">
        <v>14</v>
      </c>
      <c r="K20" s="842"/>
      <c r="L20" s="95">
        <f>IF(ISTEXT($H20),INDEX(VDSL1[Afname (%)],MATCH($H20,VDSL1[Verdeelsleutel],0))*$K20,"")</f>
        <v>0</v>
      </c>
      <c r="M20" s="93" t="e">
        <f>IF(ISTEXT($I20),INDEX(VDSL2[TRHS (%)],MATCH($I20,VDSL2[Verdeelsleutel],0))*$L20,"")</f>
        <v>#DIV/0!</v>
      </c>
      <c r="N20" s="93" t="e">
        <f>IF(ISTEXT($I20),INDEX(VDSL2[MS (%)],MATCH($I20,VDSL2[Verdeelsleutel],0))*$L20,"")</f>
        <v>#DIV/0!</v>
      </c>
      <c r="O20" s="93" t="e">
        <f>IF(ISTEXT($I20),INDEX(VDSL2[TRLS (%)],MATCH($I20,VDSL2[Verdeelsleutel],0))*$L20,"")</f>
        <v>#DIV/0!</v>
      </c>
      <c r="P20" s="93" t="e">
        <f>IF(ISTEXT($I20),INDEX(VDSL2[LS (%)],MATCH($I20,VDSL2[Verdeelsleutel],0))*$L20,"")</f>
        <v>#DIV/0!</v>
      </c>
      <c r="Q20" s="93" t="e">
        <f>IF(ISTEXT($J20),INDEX(VDSL3[Afnameklanten op LS met piekmeting (%)],MATCH($J20,VDSL3[Verdeelsleutel],0))*$P20,"")</f>
        <v>#DIV/0!</v>
      </c>
      <c r="R20" s="94" t="e">
        <f>IF(ISTEXT($J20),INDEX(VDSL3[Afnameklanten met KM/TT (%)],MATCH($J20,VDSL3[Verdeelsleutel],0))*$P20,"")</f>
        <v>#DIV/0!</v>
      </c>
      <c r="S20" s="95">
        <f>IF(ISTEXT($H20),INDEX(VDSL1[Injectie (%)],MATCH($H20,VDSL1[Verdeelsleutel],0))*$K20,"")</f>
        <v>0</v>
      </c>
      <c r="T20" s="563"/>
      <c r="U20" s="1"/>
      <c r="V20" s="1"/>
      <c r="AG20" s="60"/>
    </row>
    <row r="21" spans="1:33" ht="15" customHeight="1">
      <c r="A21" s="81" t="s">
        <v>83</v>
      </c>
      <c r="B21" s="82" t="s">
        <v>78</v>
      </c>
      <c r="C21" s="82" t="s">
        <v>22</v>
      </c>
      <c r="D21" s="82" t="s">
        <v>26</v>
      </c>
      <c r="E21" s="82" t="s">
        <v>85</v>
      </c>
      <c r="F21" s="82" t="s">
        <v>87</v>
      </c>
      <c r="G21" s="83" t="s">
        <v>33</v>
      </c>
      <c r="H21" s="181" t="s">
        <v>231</v>
      </c>
      <c r="I21" s="182" t="s">
        <v>153</v>
      </c>
      <c r="J21" s="82" t="s">
        <v>14</v>
      </c>
      <c r="K21" s="842"/>
      <c r="L21" s="95">
        <f>IF(ISTEXT($H21),INDEX(VDSL1[Afname (%)],MATCH($H21,VDSL1[Verdeelsleutel],0))*$K21,"")</f>
        <v>0</v>
      </c>
      <c r="M21" s="93" t="e">
        <f>IF(ISTEXT($I21),INDEX(VDSL2[TRHS (%)],MATCH($I21,VDSL2[Verdeelsleutel],0))*$L21,"")</f>
        <v>#DIV/0!</v>
      </c>
      <c r="N21" s="93" t="e">
        <f>IF(ISTEXT($I21),INDEX(VDSL2[MS (%)],MATCH($I21,VDSL2[Verdeelsleutel],0))*$L21,"")</f>
        <v>#DIV/0!</v>
      </c>
      <c r="O21" s="93" t="e">
        <f>IF(ISTEXT($I21),INDEX(VDSL2[TRLS (%)],MATCH($I21,VDSL2[Verdeelsleutel],0))*$L21,"")</f>
        <v>#DIV/0!</v>
      </c>
      <c r="P21" s="93" t="e">
        <f>IF(ISTEXT($I21),INDEX(VDSL2[LS (%)],MATCH($I21,VDSL2[Verdeelsleutel],0))*$L21,"")</f>
        <v>#DIV/0!</v>
      </c>
      <c r="Q21" s="93" t="e">
        <f>IF(ISTEXT($J21),INDEX(VDSL3[Afnameklanten op LS met piekmeting (%)],MATCH($J21,VDSL3[Verdeelsleutel],0))*$P21,"")</f>
        <v>#DIV/0!</v>
      </c>
      <c r="R21" s="94" t="e">
        <f>IF(ISTEXT($J21),INDEX(VDSL3[Afnameklanten met KM/TT (%)],MATCH($J21,VDSL3[Verdeelsleutel],0))*$P21,"")</f>
        <v>#DIV/0!</v>
      </c>
      <c r="S21" s="95">
        <f>IF(ISTEXT($H21),INDEX(VDSL1[Injectie (%)],MATCH($H21,VDSL1[Verdeelsleutel],0))*$K21,"")</f>
        <v>0</v>
      </c>
      <c r="T21" s="563"/>
      <c r="U21" s="1"/>
      <c r="V21" s="1"/>
      <c r="AG21" s="60"/>
    </row>
    <row r="22" spans="1:33" ht="15" customHeight="1">
      <c r="A22" s="81" t="s">
        <v>83</v>
      </c>
      <c r="B22" s="82" t="s">
        <v>78</v>
      </c>
      <c r="C22" s="82" t="s">
        <v>22</v>
      </c>
      <c r="D22" s="82" t="s">
        <v>26</v>
      </c>
      <c r="E22" s="82" t="s">
        <v>85</v>
      </c>
      <c r="F22" s="82" t="s">
        <v>87</v>
      </c>
      <c r="G22" s="83" t="s">
        <v>34</v>
      </c>
      <c r="H22" s="181" t="s">
        <v>14</v>
      </c>
      <c r="I22" s="182" t="s">
        <v>14</v>
      </c>
      <c r="J22" s="82" t="s">
        <v>14</v>
      </c>
      <c r="K22" s="842"/>
      <c r="L22" s="95" t="e">
        <f>IF(ISTEXT($H22),INDEX(VDSL1[Afname (%)],MATCH($H22,VDSL1[Verdeelsleutel],0))*$K22,"")</f>
        <v>#DIV/0!</v>
      </c>
      <c r="M22" s="93" t="e">
        <f>IF(ISTEXT($I22),INDEX(VDSL2[TRHS (%)],MATCH($I22,VDSL2[Verdeelsleutel],0))*$L22,"")</f>
        <v>#DIV/0!</v>
      </c>
      <c r="N22" s="93" t="e">
        <f>IF(ISTEXT($I22),INDEX(VDSL2[MS (%)],MATCH($I22,VDSL2[Verdeelsleutel],0))*$L22,"")</f>
        <v>#DIV/0!</v>
      </c>
      <c r="O22" s="93" t="e">
        <f>IF(ISTEXT($I22),INDEX(VDSL2[TRLS (%)],MATCH($I22,VDSL2[Verdeelsleutel],0))*$L22,"")</f>
        <v>#DIV/0!</v>
      </c>
      <c r="P22" s="93" t="e">
        <f>IF(ISTEXT($I22),INDEX(VDSL2[LS (%)],MATCH($I22,VDSL2[Verdeelsleutel],0))*$L22,"")</f>
        <v>#DIV/0!</v>
      </c>
      <c r="Q22" s="93" t="e">
        <f>IF(ISTEXT($J22),INDEX(VDSL3[Afnameklanten op LS met piekmeting (%)],MATCH($J22,VDSL3[Verdeelsleutel],0))*$P22,"")</f>
        <v>#DIV/0!</v>
      </c>
      <c r="R22" s="94" t="e">
        <f>IF(ISTEXT($J22),INDEX(VDSL3[Afnameklanten met KM/TT (%)],MATCH($J22,VDSL3[Verdeelsleutel],0))*$P22,"")</f>
        <v>#DIV/0!</v>
      </c>
      <c r="S22" s="95" t="e">
        <f>IF(ISTEXT($H22),INDEX(VDSL1[Injectie (%)],MATCH($H22,VDSL1[Verdeelsleutel],0))*$K22,"")</f>
        <v>#DIV/0!</v>
      </c>
      <c r="T22" s="563"/>
      <c r="U22" s="1"/>
      <c r="V22" s="1"/>
      <c r="AG22" s="60"/>
    </row>
    <row r="23" spans="1:33" ht="15" customHeight="1">
      <c r="A23" s="81" t="s">
        <v>83</v>
      </c>
      <c r="B23" s="82" t="s">
        <v>78</v>
      </c>
      <c r="C23" s="82" t="s">
        <v>22</v>
      </c>
      <c r="D23" s="82" t="s">
        <v>68</v>
      </c>
      <c r="E23" s="82" t="s">
        <v>84</v>
      </c>
      <c r="F23" s="82" t="s">
        <v>86</v>
      </c>
      <c r="G23" s="83" t="s">
        <v>255</v>
      </c>
      <c r="H23" s="181" t="s">
        <v>230</v>
      </c>
      <c r="I23" s="182" t="s">
        <v>525</v>
      </c>
      <c r="J23" s="82" t="s">
        <v>302</v>
      </c>
      <c r="K23" s="842"/>
      <c r="L23" s="95" t="e">
        <f>IF(ISTEXT($H23),INDEX(VDSL1[Afname (%)],MATCH($H23,VDSL1[Verdeelsleutel],0))*$K23,"")</f>
        <v>#VALUE!</v>
      </c>
      <c r="M23" s="93" t="e">
        <f>IF(ISTEXT($I23),INDEX(VDSL2[TRHS (%)],MATCH($I23,VDSL2[Verdeelsleutel],0))*$L23,"")</f>
        <v>#VALUE!</v>
      </c>
      <c r="N23" s="93" t="e">
        <f>IF(ISTEXT($I23),INDEX(VDSL2[MS (%)],MATCH($I23,VDSL2[Verdeelsleutel],0))*$L23,"")</f>
        <v>#VALUE!</v>
      </c>
      <c r="O23" s="93" t="e">
        <f>IF(ISTEXT($I23),INDEX(VDSL2[TRLS (%)],MATCH($I23,VDSL2[Verdeelsleutel],0))*$L23,"")</f>
        <v>#VALUE!</v>
      </c>
      <c r="P23" s="93" t="e">
        <f>IF(ISTEXT($I23),INDEX(VDSL2[LS (%)],MATCH($I23,VDSL2[Verdeelsleutel],0))*$L23,"")</f>
        <v>#VALUE!</v>
      </c>
      <c r="Q23" s="93" t="e">
        <f>IF(ISTEXT($J23),INDEX(VDSL3[Afnameklanten op LS met piekmeting (%)],MATCH($J23,VDSL3[Verdeelsleutel],0))*$P23,"")</f>
        <v>#DIV/0!</v>
      </c>
      <c r="R23" s="94" t="e">
        <f>IF(ISTEXT($J23),INDEX(VDSL3[Afnameklanten met KM/TT (%)],MATCH($J23,VDSL3[Verdeelsleutel],0))*$P23,"")</f>
        <v>#DIV/0!</v>
      </c>
      <c r="S23" s="95" t="e">
        <f>IF(ISTEXT($H23),INDEX(VDSL1[Injectie (%)],MATCH($H23,VDSL1[Verdeelsleutel],0))*$K23,"")</f>
        <v>#VALUE!</v>
      </c>
      <c r="T23" s="563"/>
      <c r="U23" s="1"/>
      <c r="V23" s="1"/>
      <c r="AG23" s="60"/>
    </row>
    <row r="24" spans="1:33" ht="15" customHeight="1">
      <c r="A24" s="81" t="s">
        <v>83</v>
      </c>
      <c r="B24" s="82" t="s">
        <v>78</v>
      </c>
      <c r="C24" s="82" t="s">
        <v>22</v>
      </c>
      <c r="D24" s="82" t="s">
        <v>68</v>
      </c>
      <c r="E24" s="82" t="s">
        <v>84</v>
      </c>
      <c r="F24" s="82" t="s">
        <v>86</v>
      </c>
      <c r="G24" s="83" t="s">
        <v>254</v>
      </c>
      <c r="H24" s="181" t="s">
        <v>230</v>
      </c>
      <c r="I24" s="182" t="s">
        <v>300</v>
      </c>
      <c r="J24" s="82" t="s">
        <v>302</v>
      </c>
      <c r="K24" s="842"/>
      <c r="L24" s="95" t="e">
        <f>IF(ISTEXT($H24),INDEX(VDSL1[Afname (%)],MATCH($H24,VDSL1[Verdeelsleutel],0))*$K24,"")</f>
        <v>#VALUE!</v>
      </c>
      <c r="M24" s="93" t="e">
        <f>IF(ISTEXT($I24),INDEX(VDSL2[TRHS (%)],MATCH($I24,VDSL2[Verdeelsleutel],0))*$L24,"")</f>
        <v>#DIV/0!</v>
      </c>
      <c r="N24" s="93" t="e">
        <f>IF(ISTEXT($I24),INDEX(VDSL2[MS (%)],MATCH($I24,VDSL2[Verdeelsleutel],0))*$L24,"")</f>
        <v>#VALUE!</v>
      </c>
      <c r="O24" s="93" t="e">
        <f>IF(ISTEXT($I24),INDEX(VDSL2[TRLS (%)],MATCH($I24,VDSL2[Verdeelsleutel],0))*$L24,"")</f>
        <v>#VALUE!</v>
      </c>
      <c r="P24" s="93" t="e">
        <f>IF(ISTEXT($I24),INDEX(VDSL2[LS (%)],MATCH($I24,VDSL2[Verdeelsleutel],0))*$L24,"")</f>
        <v>#VALUE!</v>
      </c>
      <c r="Q24" s="93" t="e">
        <f>IF(ISTEXT($J24),INDEX(VDSL3[Afnameklanten op LS met piekmeting (%)],MATCH($J24,VDSL3[Verdeelsleutel],0))*$P24,"")</f>
        <v>#DIV/0!</v>
      </c>
      <c r="R24" s="94" t="e">
        <f>IF(ISTEXT($J24),INDEX(VDSL3[Afnameklanten met KM/TT (%)],MATCH($J24,VDSL3[Verdeelsleutel],0))*$P24,"")</f>
        <v>#DIV/0!</v>
      </c>
      <c r="S24" s="95" t="e">
        <f>IF(ISTEXT($H24),INDEX(VDSL1[Injectie (%)],MATCH($H24,VDSL1[Verdeelsleutel],0))*$K24,"")</f>
        <v>#VALUE!</v>
      </c>
      <c r="T24" s="563"/>
      <c r="U24" s="1"/>
      <c r="V24" s="1"/>
      <c r="AG24" s="60"/>
    </row>
    <row r="25" spans="1:33" ht="15" customHeight="1">
      <c r="A25" s="81" t="s">
        <v>83</v>
      </c>
      <c r="B25" s="82" t="s">
        <v>78</v>
      </c>
      <c r="C25" s="82" t="s">
        <v>22</v>
      </c>
      <c r="D25" s="82" t="s">
        <v>68</v>
      </c>
      <c r="E25" s="82" t="s">
        <v>84</v>
      </c>
      <c r="F25" s="82" t="s">
        <v>86</v>
      </c>
      <c r="G25" s="83" t="s">
        <v>43</v>
      </c>
      <c r="H25" s="181" t="s">
        <v>230</v>
      </c>
      <c r="I25" s="182" t="s">
        <v>527</v>
      </c>
      <c r="J25" s="82" t="s">
        <v>302</v>
      </c>
      <c r="K25" s="842"/>
      <c r="L25" s="95" t="e">
        <f>IF(ISTEXT($H25),INDEX(VDSL1[Afname (%)],MATCH($H25,VDSL1[Verdeelsleutel],0))*$K25,"")</f>
        <v>#VALUE!</v>
      </c>
      <c r="M25" s="93" t="e">
        <f>IF(ISTEXT($I25),INDEX(VDSL2[TRHS (%)],MATCH($I25,VDSL2[Verdeelsleutel],0))*$L25,"")</f>
        <v>#VALUE!</v>
      </c>
      <c r="N25" s="93" t="e">
        <f>IF(ISTEXT($I25),INDEX(VDSL2[MS (%)],MATCH($I25,VDSL2[Verdeelsleutel],0))*$L25,"")</f>
        <v>#VALUE!</v>
      </c>
      <c r="O25" s="93" t="e">
        <f>IF(ISTEXT($I25),INDEX(VDSL2[TRLS (%)],MATCH($I25,VDSL2[Verdeelsleutel],0))*$L25,"")</f>
        <v>#VALUE!</v>
      </c>
      <c r="P25" s="93" t="e">
        <f>IF(ISTEXT($I25),INDEX(VDSL2[LS (%)],MATCH($I25,VDSL2[Verdeelsleutel],0))*$L25,"")</f>
        <v>#VALUE!</v>
      </c>
      <c r="Q25" s="93" t="e">
        <f>IF(ISTEXT($J25),INDEX(VDSL3[Afnameklanten op LS met piekmeting (%)],MATCH($J25,VDSL3[Verdeelsleutel],0))*$P25,"")</f>
        <v>#DIV/0!</v>
      </c>
      <c r="R25" s="94" t="e">
        <f>IF(ISTEXT($J25),INDEX(VDSL3[Afnameklanten met KM/TT (%)],MATCH($J25,VDSL3[Verdeelsleutel],0))*$P25,"")</f>
        <v>#DIV/0!</v>
      </c>
      <c r="S25" s="95" t="e">
        <f>IF(ISTEXT($H25),INDEX(VDSL1[Injectie (%)],MATCH($H25,VDSL1[Verdeelsleutel],0))*$K25,"")</f>
        <v>#VALUE!</v>
      </c>
      <c r="T25" s="563"/>
      <c r="U25" s="1"/>
      <c r="V25" s="1"/>
      <c r="AG25" s="60"/>
    </row>
    <row r="26" spans="1:33" ht="15" customHeight="1">
      <c r="A26" s="81" t="s">
        <v>83</v>
      </c>
      <c r="B26" s="82" t="s">
        <v>78</v>
      </c>
      <c r="C26" s="82" t="s">
        <v>22</v>
      </c>
      <c r="D26" s="82" t="s">
        <v>68</v>
      </c>
      <c r="E26" s="82" t="s">
        <v>84</v>
      </c>
      <c r="F26" s="82" t="s">
        <v>86</v>
      </c>
      <c r="G26" s="83" t="s">
        <v>42</v>
      </c>
      <c r="H26" s="181" t="s">
        <v>230</v>
      </c>
      <c r="I26" s="182" t="s">
        <v>533</v>
      </c>
      <c r="J26" s="82" t="s">
        <v>302</v>
      </c>
      <c r="K26" s="842"/>
      <c r="L26" s="95" t="e">
        <f>IF(ISTEXT($H26),INDEX(VDSL1[Afname (%)],MATCH($H26,VDSL1[Verdeelsleutel],0))*$K26,"")</f>
        <v>#VALUE!</v>
      </c>
      <c r="M26" s="93" t="e">
        <f>IF(ISTEXT($I26),INDEX(VDSL2[TRHS (%)],MATCH($I26,VDSL2[Verdeelsleutel],0))*$L26,"")</f>
        <v>#DIV/0!</v>
      </c>
      <c r="N26" s="93" t="e">
        <f>IF(ISTEXT($I26),INDEX(VDSL2[MS (%)],MATCH($I26,VDSL2[Verdeelsleutel],0))*$L26,"")</f>
        <v>#DIV/0!</v>
      </c>
      <c r="O26" s="93" t="e">
        <f>IF(ISTEXT($I26),INDEX(VDSL2[TRLS (%)],MATCH($I26,VDSL2[Verdeelsleutel],0))*$L26,"")</f>
        <v>#DIV/0!</v>
      </c>
      <c r="P26" s="93" t="e">
        <f>IF(ISTEXT($I26),INDEX(VDSL2[LS (%)],MATCH($I26,VDSL2[Verdeelsleutel],0))*$L26,"")</f>
        <v>#VALUE!</v>
      </c>
      <c r="Q26" s="93" t="e">
        <f>IF(ISTEXT($J26),INDEX(VDSL3[Afnameklanten op LS met piekmeting (%)],MATCH($J26,VDSL3[Verdeelsleutel],0))*$P26,"")</f>
        <v>#DIV/0!</v>
      </c>
      <c r="R26" s="94" t="e">
        <f>IF(ISTEXT($J26),INDEX(VDSL3[Afnameklanten met KM/TT (%)],MATCH($J26,VDSL3[Verdeelsleutel],0))*$P26,"")</f>
        <v>#DIV/0!</v>
      </c>
      <c r="S26" s="95" t="e">
        <f>IF(ISTEXT($H26),INDEX(VDSL1[Injectie (%)],MATCH($H26,VDSL1[Verdeelsleutel],0))*$K26,"")</f>
        <v>#VALUE!</v>
      </c>
      <c r="T26" s="563"/>
      <c r="U26" s="1"/>
      <c r="V26" s="1"/>
      <c r="AG26" s="60"/>
    </row>
    <row r="27" spans="1:33" ht="15" customHeight="1">
      <c r="A27" s="81" t="s">
        <v>83</v>
      </c>
      <c r="B27" s="82" t="s">
        <v>78</v>
      </c>
      <c r="C27" s="82" t="s">
        <v>22</v>
      </c>
      <c r="D27" s="82" t="s">
        <v>68</v>
      </c>
      <c r="E27" s="82" t="s">
        <v>84</v>
      </c>
      <c r="F27" s="82" t="s">
        <v>86</v>
      </c>
      <c r="G27" s="83" t="s">
        <v>39</v>
      </c>
      <c r="H27" s="181" t="s">
        <v>230</v>
      </c>
      <c r="I27" s="182" t="s">
        <v>525</v>
      </c>
      <c r="J27" s="82" t="s">
        <v>302</v>
      </c>
      <c r="K27" s="842"/>
      <c r="L27" s="95" t="e">
        <f>IF(ISTEXT($H27),INDEX(VDSL1[Afname (%)],MATCH($H27,VDSL1[Verdeelsleutel],0))*$K27,"")</f>
        <v>#VALUE!</v>
      </c>
      <c r="M27" s="93" t="e">
        <f>IF(ISTEXT($I27),INDEX(VDSL2[TRHS (%)],MATCH($I27,VDSL2[Verdeelsleutel],0))*$L27,"")</f>
        <v>#VALUE!</v>
      </c>
      <c r="N27" s="93" t="e">
        <f>IF(ISTEXT($I27),INDEX(VDSL2[MS (%)],MATCH($I27,VDSL2[Verdeelsleutel],0))*$L27,"")</f>
        <v>#VALUE!</v>
      </c>
      <c r="O27" s="93" t="e">
        <f>IF(ISTEXT($I27),INDEX(VDSL2[TRLS (%)],MATCH($I27,VDSL2[Verdeelsleutel],0))*$L27,"")</f>
        <v>#VALUE!</v>
      </c>
      <c r="P27" s="93" t="e">
        <f>IF(ISTEXT($I27),INDEX(VDSL2[LS (%)],MATCH($I27,VDSL2[Verdeelsleutel],0))*$L27,"")</f>
        <v>#VALUE!</v>
      </c>
      <c r="Q27" s="93" t="e">
        <f>IF(ISTEXT($J27),INDEX(VDSL3[Afnameklanten op LS met piekmeting (%)],MATCH($J27,VDSL3[Verdeelsleutel],0))*$P27,"")</f>
        <v>#DIV/0!</v>
      </c>
      <c r="R27" s="94" t="e">
        <f>IF(ISTEXT($J27),INDEX(VDSL3[Afnameklanten met KM/TT (%)],MATCH($J27,VDSL3[Verdeelsleutel],0))*$P27,"")</f>
        <v>#DIV/0!</v>
      </c>
      <c r="S27" s="95" t="e">
        <f>IF(ISTEXT($H27),INDEX(VDSL1[Injectie (%)],MATCH($H27,VDSL1[Verdeelsleutel],0))*$K27,"")</f>
        <v>#VALUE!</v>
      </c>
      <c r="T27" s="563"/>
      <c r="U27" s="1"/>
      <c r="V27" s="1"/>
      <c r="AG27" s="60"/>
    </row>
    <row r="28" spans="1:33" ht="15" customHeight="1">
      <c r="A28" s="81" t="s">
        <v>83</v>
      </c>
      <c r="B28" s="82" t="s">
        <v>78</v>
      </c>
      <c r="C28" s="82" t="s">
        <v>22</v>
      </c>
      <c r="D28" s="82" t="s">
        <v>68</v>
      </c>
      <c r="E28" s="82" t="s">
        <v>84</v>
      </c>
      <c r="F28" s="82" t="s">
        <v>86</v>
      </c>
      <c r="G28" s="83" t="s">
        <v>38</v>
      </c>
      <c r="H28" s="181" t="s">
        <v>230</v>
      </c>
      <c r="I28" s="182" t="s">
        <v>300</v>
      </c>
      <c r="J28" s="82" t="s">
        <v>302</v>
      </c>
      <c r="K28" s="842"/>
      <c r="L28" s="95" t="e">
        <f>IF(ISTEXT($H28),INDEX(VDSL1[Afname (%)],MATCH($H28,VDSL1[Verdeelsleutel],0))*$K28,"")</f>
        <v>#VALUE!</v>
      </c>
      <c r="M28" s="93" t="e">
        <f>IF(ISTEXT($I28),INDEX(VDSL2[TRHS (%)],MATCH($I28,VDSL2[Verdeelsleutel],0))*$L28,"")</f>
        <v>#DIV/0!</v>
      </c>
      <c r="N28" s="93" t="e">
        <f>IF(ISTEXT($I28),INDEX(VDSL2[MS (%)],MATCH($I28,VDSL2[Verdeelsleutel],0))*$L28,"")</f>
        <v>#VALUE!</v>
      </c>
      <c r="O28" s="93" t="e">
        <f>IF(ISTEXT($I28),INDEX(VDSL2[TRLS (%)],MATCH($I28,VDSL2[Verdeelsleutel],0))*$L28,"")</f>
        <v>#VALUE!</v>
      </c>
      <c r="P28" s="93" t="e">
        <f>IF(ISTEXT($I28),INDEX(VDSL2[LS (%)],MATCH($I28,VDSL2[Verdeelsleutel],0))*$L28,"")</f>
        <v>#VALUE!</v>
      </c>
      <c r="Q28" s="93" t="e">
        <f>IF(ISTEXT($J28),INDEX(VDSL3[Afnameklanten op LS met piekmeting (%)],MATCH($J28,VDSL3[Verdeelsleutel],0))*$P28,"")</f>
        <v>#DIV/0!</v>
      </c>
      <c r="R28" s="94" t="e">
        <f>IF(ISTEXT($J28),INDEX(VDSL3[Afnameklanten met KM/TT (%)],MATCH($J28,VDSL3[Verdeelsleutel],0))*$P28,"")</f>
        <v>#DIV/0!</v>
      </c>
      <c r="S28" s="95" t="e">
        <f>IF(ISTEXT($H28),INDEX(VDSL1[Injectie (%)],MATCH($H28,VDSL1[Verdeelsleutel],0))*$K28,"")</f>
        <v>#VALUE!</v>
      </c>
      <c r="T28" s="563"/>
      <c r="U28" s="1"/>
      <c r="V28" s="1"/>
      <c r="AG28" s="60"/>
    </row>
    <row r="29" spans="1:33" ht="15" customHeight="1">
      <c r="A29" s="81" t="s">
        <v>83</v>
      </c>
      <c r="B29" s="82" t="s">
        <v>78</v>
      </c>
      <c r="C29" s="82" t="s">
        <v>22</v>
      </c>
      <c r="D29" s="82" t="s">
        <v>68</v>
      </c>
      <c r="E29" s="82" t="s">
        <v>84</v>
      </c>
      <c r="F29" s="82" t="s">
        <v>86</v>
      </c>
      <c r="G29" s="83" t="s">
        <v>37</v>
      </c>
      <c r="H29" s="181" t="s">
        <v>230</v>
      </c>
      <c r="I29" s="182" t="s">
        <v>524</v>
      </c>
      <c r="J29" s="82" t="s">
        <v>302</v>
      </c>
      <c r="K29" s="842"/>
      <c r="L29" s="95" t="e">
        <f>IF(ISTEXT($H29),INDEX(VDSL1[Afname (%)],MATCH($H29,VDSL1[Verdeelsleutel],0))*$K29,"")</f>
        <v>#VALUE!</v>
      </c>
      <c r="M29" s="93" t="e">
        <f>IF(ISTEXT($I29),INDEX(VDSL2[TRHS (%)],MATCH($I29,VDSL2[Verdeelsleutel],0))*$L29,"")</f>
        <v>#VALUE!</v>
      </c>
      <c r="N29" s="93" t="e">
        <f>IF(ISTEXT($I29),INDEX(VDSL2[MS (%)],MATCH($I29,VDSL2[Verdeelsleutel],0))*$L29,"")</f>
        <v>#VALUE!</v>
      </c>
      <c r="O29" s="93" t="e">
        <f>IF(ISTEXT($I29),INDEX(VDSL2[TRLS (%)],MATCH($I29,VDSL2[Verdeelsleutel],0))*$L29,"")</f>
        <v>#VALUE!</v>
      </c>
      <c r="P29" s="93" t="e">
        <f>IF(ISTEXT($I29),INDEX(VDSL2[LS (%)],MATCH($I29,VDSL2[Verdeelsleutel],0))*$L29,"")</f>
        <v>#VALUE!</v>
      </c>
      <c r="Q29" s="93" t="e">
        <f>IF(ISTEXT($J29),INDEX(VDSL3[Afnameklanten op LS met piekmeting (%)],MATCH($J29,VDSL3[Verdeelsleutel],0))*$P29,"")</f>
        <v>#DIV/0!</v>
      </c>
      <c r="R29" s="94" t="e">
        <f>IF(ISTEXT($J29),INDEX(VDSL3[Afnameklanten met KM/TT (%)],MATCH($J29,VDSL3[Verdeelsleutel],0))*$P29,"")</f>
        <v>#DIV/0!</v>
      </c>
      <c r="S29" s="95" t="e">
        <f>IF(ISTEXT($H29),INDEX(VDSL1[Injectie (%)],MATCH($H29,VDSL1[Verdeelsleutel],0))*$K29,"")</f>
        <v>#VALUE!</v>
      </c>
      <c r="T29" s="563"/>
      <c r="U29" s="1"/>
      <c r="V29" s="1"/>
      <c r="AG29" s="60"/>
    </row>
    <row r="30" spans="1:33" ht="15" customHeight="1">
      <c r="A30" s="81" t="s">
        <v>83</v>
      </c>
      <c r="B30" s="82" t="s">
        <v>78</v>
      </c>
      <c r="C30" s="82" t="s">
        <v>22</v>
      </c>
      <c r="D30" s="82" t="s">
        <v>68</v>
      </c>
      <c r="E30" s="82" t="s">
        <v>84</v>
      </c>
      <c r="F30" s="82" t="s">
        <v>86</v>
      </c>
      <c r="G30" s="83" t="s">
        <v>36</v>
      </c>
      <c r="H30" s="181" t="s">
        <v>230</v>
      </c>
      <c r="I30" s="182" t="s">
        <v>299</v>
      </c>
      <c r="J30" s="82" t="s">
        <v>302</v>
      </c>
      <c r="K30" s="842"/>
      <c r="L30" s="95" t="e">
        <f>IF(ISTEXT($H30),INDEX(VDSL1[Afname (%)],MATCH($H30,VDSL1[Verdeelsleutel],0))*$K30,"")</f>
        <v>#VALUE!</v>
      </c>
      <c r="M30" s="93" t="e">
        <f>IF(ISTEXT($I30),INDEX(VDSL2[TRHS (%)],MATCH($I30,VDSL2[Verdeelsleutel],0))*$L30,"")</f>
        <v>#VALUE!</v>
      </c>
      <c r="N30" s="93" t="e">
        <f>IF(ISTEXT($I30),INDEX(VDSL2[MS (%)],MATCH($I30,VDSL2[Verdeelsleutel],0))*$L30,"")</f>
        <v>#VALUE!</v>
      </c>
      <c r="O30" s="93" t="e">
        <f>IF(ISTEXT($I30),INDEX(VDSL2[TRLS (%)],MATCH($I30,VDSL2[Verdeelsleutel],0))*$L30,"")</f>
        <v>#VALUE!</v>
      </c>
      <c r="P30" s="93" t="e">
        <f>IF(ISTEXT($I30),INDEX(VDSL2[LS (%)],MATCH($I30,VDSL2[Verdeelsleutel],0))*$L30,"")</f>
        <v>#VALUE!</v>
      </c>
      <c r="Q30" s="93" t="e">
        <f>IF(ISTEXT($J30),INDEX(VDSL3[Afnameklanten op LS met piekmeting (%)],MATCH($J30,VDSL3[Verdeelsleutel],0))*$P30,"")</f>
        <v>#DIV/0!</v>
      </c>
      <c r="R30" s="94" t="e">
        <f>IF(ISTEXT($J30),INDEX(VDSL3[Afnameklanten met KM/TT (%)],MATCH($J30,VDSL3[Verdeelsleutel],0))*$P30,"")</f>
        <v>#DIV/0!</v>
      </c>
      <c r="S30" s="95" t="e">
        <f>IF(ISTEXT($H30),INDEX(VDSL1[Injectie (%)],MATCH($H30,VDSL1[Verdeelsleutel],0))*$K30,"")</f>
        <v>#VALUE!</v>
      </c>
      <c r="T30" s="563"/>
      <c r="U30" s="1"/>
      <c r="V30" s="1"/>
      <c r="AG30" s="60"/>
    </row>
    <row r="31" spans="1:33" ht="15" customHeight="1">
      <c r="A31" s="81" t="s">
        <v>83</v>
      </c>
      <c r="B31" s="82" t="s">
        <v>78</v>
      </c>
      <c r="C31" s="82" t="s">
        <v>22</v>
      </c>
      <c r="D31" s="82" t="s">
        <v>68</v>
      </c>
      <c r="E31" s="82" t="s">
        <v>84</v>
      </c>
      <c r="F31" s="82" t="s">
        <v>86</v>
      </c>
      <c r="G31" s="83" t="s">
        <v>41</v>
      </c>
      <c r="H31" s="181" t="s">
        <v>230</v>
      </c>
      <c r="I31" s="182" t="s">
        <v>526</v>
      </c>
      <c r="J31" s="82" t="s">
        <v>302</v>
      </c>
      <c r="K31" s="842"/>
      <c r="L31" s="95" t="e">
        <f>IF(ISTEXT($H31),INDEX(VDSL1[Afname (%)],MATCH($H31,VDSL1[Verdeelsleutel],0))*$K31,"")</f>
        <v>#VALUE!</v>
      </c>
      <c r="M31" s="93" t="e">
        <f>IF(ISTEXT($I31),INDEX(VDSL2[TRHS (%)],MATCH($I31,VDSL2[Verdeelsleutel],0))*$L31,"")</f>
        <v>#VALUE!</v>
      </c>
      <c r="N31" s="93" t="e">
        <f>IF(ISTEXT($I31),INDEX(VDSL2[MS (%)],MATCH($I31,VDSL2[Verdeelsleutel],0))*$L31,"")</f>
        <v>#VALUE!</v>
      </c>
      <c r="O31" s="93" t="e">
        <f>IF(ISTEXT($I31),INDEX(VDSL2[TRLS (%)],MATCH($I31,VDSL2[Verdeelsleutel],0))*$L31,"")</f>
        <v>#VALUE!</v>
      </c>
      <c r="P31" s="93" t="e">
        <f>IF(ISTEXT($I31),INDEX(VDSL2[LS (%)],MATCH($I31,VDSL2[Verdeelsleutel],0))*$L31,"")</f>
        <v>#VALUE!</v>
      </c>
      <c r="Q31" s="93" t="e">
        <f>IF(ISTEXT($J31),INDEX(VDSL3[Afnameklanten op LS met piekmeting (%)],MATCH($J31,VDSL3[Verdeelsleutel],0))*$P31,"")</f>
        <v>#DIV/0!</v>
      </c>
      <c r="R31" s="94" t="e">
        <f>IF(ISTEXT($J31),INDEX(VDSL3[Afnameklanten met KM/TT (%)],MATCH($J31,VDSL3[Verdeelsleutel],0))*$P31,"")</f>
        <v>#DIV/0!</v>
      </c>
      <c r="S31" s="95" t="e">
        <f>IF(ISTEXT($H31),INDEX(VDSL1[Injectie (%)],MATCH($H31,VDSL1[Verdeelsleutel],0))*$K31,"")</f>
        <v>#VALUE!</v>
      </c>
      <c r="T31" s="563"/>
      <c r="U31" s="1"/>
      <c r="V31" s="1"/>
      <c r="AG31" s="60"/>
    </row>
    <row r="32" spans="1:33" ht="15" customHeight="1">
      <c r="A32" s="81" t="s">
        <v>83</v>
      </c>
      <c r="B32" s="82" t="s">
        <v>78</v>
      </c>
      <c r="C32" s="82" t="s">
        <v>22</v>
      </c>
      <c r="D32" s="82" t="s">
        <v>68</v>
      </c>
      <c r="E32" s="82" t="s">
        <v>84</v>
      </c>
      <c r="F32" s="82" t="s">
        <v>86</v>
      </c>
      <c r="G32" s="83" t="s">
        <v>40</v>
      </c>
      <c r="H32" s="181" t="s">
        <v>230</v>
      </c>
      <c r="I32" s="182" t="s">
        <v>301</v>
      </c>
      <c r="J32" s="82" t="s">
        <v>302</v>
      </c>
      <c r="K32" s="842"/>
      <c r="L32" s="95" t="e">
        <f>IF(ISTEXT($H32),INDEX(VDSL1[Afname (%)],MATCH($H32,VDSL1[Verdeelsleutel],0))*$K32,"")</f>
        <v>#VALUE!</v>
      </c>
      <c r="M32" s="93" t="e">
        <f>IF(ISTEXT($I32),INDEX(VDSL2[TRHS (%)],MATCH($I32,VDSL2[Verdeelsleutel],0))*$L32,"")</f>
        <v>#DIV/0!</v>
      </c>
      <c r="N32" s="93" t="e">
        <f>IF(ISTEXT($I32),INDEX(VDSL2[MS (%)],MATCH($I32,VDSL2[Verdeelsleutel],0))*$L32,"")</f>
        <v>#DIV/0!</v>
      </c>
      <c r="O32" s="93" t="e">
        <f>IF(ISTEXT($I32),INDEX(VDSL2[TRLS (%)],MATCH($I32,VDSL2[Verdeelsleutel],0))*$L32,"")</f>
        <v>#VALUE!</v>
      </c>
      <c r="P32" s="93" t="e">
        <f>IF(ISTEXT($I32),INDEX(VDSL2[LS (%)],MATCH($I32,VDSL2[Verdeelsleutel],0))*$L32,"")</f>
        <v>#VALUE!</v>
      </c>
      <c r="Q32" s="93" t="e">
        <f>IF(ISTEXT($J32),INDEX(VDSL3[Afnameklanten op LS met piekmeting (%)],MATCH($J32,VDSL3[Verdeelsleutel],0))*$P32,"")</f>
        <v>#DIV/0!</v>
      </c>
      <c r="R32" s="94" t="e">
        <f>IF(ISTEXT($J32),INDEX(VDSL3[Afnameklanten met KM/TT (%)],MATCH($J32,VDSL3[Verdeelsleutel],0))*$P32,"")</f>
        <v>#DIV/0!</v>
      </c>
      <c r="S32" s="95" t="e">
        <f>IF(ISTEXT($H32),INDEX(VDSL1[Injectie (%)],MATCH($H32,VDSL1[Verdeelsleutel],0))*$K32,"")</f>
        <v>#VALUE!</v>
      </c>
      <c r="T32" s="563"/>
      <c r="U32" s="1"/>
      <c r="V32" s="1"/>
      <c r="AG32" s="60"/>
    </row>
    <row r="33" spans="1:33" ht="15" customHeight="1">
      <c r="A33" s="81" t="s">
        <v>83</v>
      </c>
      <c r="B33" s="82" t="s">
        <v>78</v>
      </c>
      <c r="C33" s="82" t="s">
        <v>22</v>
      </c>
      <c r="D33" s="82" t="s">
        <v>68</v>
      </c>
      <c r="E33" s="82" t="s">
        <v>84</v>
      </c>
      <c r="F33" s="82" t="s">
        <v>87</v>
      </c>
      <c r="G33" s="368" t="s">
        <v>50</v>
      </c>
      <c r="H33" s="181" t="s">
        <v>231</v>
      </c>
      <c r="I33" s="182" t="s">
        <v>15</v>
      </c>
      <c r="J33" s="82" t="s">
        <v>14</v>
      </c>
      <c r="K33" s="842"/>
      <c r="L33" s="95">
        <f>IF(ISTEXT($H33),INDEX(VDSL1[Afname (%)],MATCH($H33,VDSL1[Verdeelsleutel],0))*$K33,"")</f>
        <v>0</v>
      </c>
      <c r="M33" s="93" t="e">
        <f>IF(ISTEXT($I33),INDEX(VDSL2[TRHS (%)],MATCH($I33,VDSL2[Verdeelsleutel],0))*$L33,"")</f>
        <v>#VALUE!</v>
      </c>
      <c r="N33" s="93" t="e">
        <f>IF(ISTEXT($I33),INDEX(VDSL2[MS (%)],MATCH($I33,VDSL2[Verdeelsleutel],0))*$L33,"")</f>
        <v>#VALUE!</v>
      </c>
      <c r="O33" s="93" t="e">
        <f>IF(ISTEXT($I33),INDEX(VDSL2[TRLS (%)],MATCH($I33,VDSL2[Verdeelsleutel],0))*$L33,"")</f>
        <v>#VALUE!</v>
      </c>
      <c r="P33" s="93" t="e">
        <f>IF(ISTEXT($I33),INDEX(VDSL2[LS (%)],MATCH($I33,VDSL2[Verdeelsleutel],0))*$L33,"")</f>
        <v>#VALUE!</v>
      </c>
      <c r="Q33" s="93" t="e">
        <f>IF(ISTEXT($J33),INDEX(VDSL3[Afnameklanten op LS met piekmeting (%)],MATCH($J33,VDSL3[Verdeelsleutel],0))*$P33,"")</f>
        <v>#DIV/0!</v>
      </c>
      <c r="R33" s="94" t="e">
        <f>IF(ISTEXT($J33),INDEX(VDSL3[Afnameklanten met KM/TT (%)],MATCH($J33,VDSL3[Verdeelsleutel],0))*$P33,"")</f>
        <v>#DIV/0!</v>
      </c>
      <c r="S33" s="95">
        <f>IF(ISTEXT($H33),INDEX(VDSL1[Injectie (%)],MATCH($H33,VDSL1[Verdeelsleutel],0))*$K33,"")</f>
        <v>0</v>
      </c>
      <c r="T33" s="563"/>
      <c r="U33" s="1"/>
      <c r="V33" s="1"/>
      <c r="AG33" s="60"/>
    </row>
    <row r="34" spans="1:33" ht="15" customHeight="1">
      <c r="A34" s="81" t="s">
        <v>51</v>
      </c>
      <c r="B34" s="82" t="s">
        <v>78</v>
      </c>
      <c r="C34" s="82" t="s">
        <v>10</v>
      </c>
      <c r="D34" s="82" t="s">
        <v>68</v>
      </c>
      <c r="E34" s="82" t="s">
        <v>85</v>
      </c>
      <c r="F34" s="82" t="s">
        <v>86</v>
      </c>
      <c r="G34" s="83" t="s">
        <v>58</v>
      </c>
      <c r="H34" s="181" t="s">
        <v>231</v>
      </c>
      <c r="I34" s="182" t="s">
        <v>299</v>
      </c>
      <c r="J34" s="82" t="s">
        <v>302</v>
      </c>
      <c r="K34" s="842"/>
      <c r="L34" s="95">
        <f>IF(ISTEXT($H34),INDEX(VDSL1[Afname (%)],MATCH($H34,VDSL1[Verdeelsleutel],0))*$K34,"")</f>
        <v>0</v>
      </c>
      <c r="M34" s="93" t="e">
        <f>IF(ISTEXT($I34),INDEX(VDSL2[TRHS (%)],MATCH($I34,VDSL2[Verdeelsleutel],0))*$L34,"")</f>
        <v>#VALUE!</v>
      </c>
      <c r="N34" s="93" t="e">
        <f>IF(ISTEXT($I34),INDEX(VDSL2[MS (%)],MATCH($I34,VDSL2[Verdeelsleutel],0))*$L34,"")</f>
        <v>#VALUE!</v>
      </c>
      <c r="O34" s="93" t="e">
        <f>IF(ISTEXT($I34),INDEX(VDSL2[TRLS (%)],MATCH($I34,VDSL2[Verdeelsleutel],0))*$L34,"")</f>
        <v>#VALUE!</v>
      </c>
      <c r="P34" s="93" t="e">
        <f>IF(ISTEXT($I34),INDEX(VDSL2[LS (%)],MATCH($I34,VDSL2[Verdeelsleutel],0))*$L34,"")</f>
        <v>#VALUE!</v>
      </c>
      <c r="Q34" s="93" t="e">
        <f>IF(ISTEXT($J34),INDEX(VDSL3[Afnameklanten op LS met piekmeting (%)],MATCH($J34,VDSL3[Verdeelsleutel],0))*$P34,"")</f>
        <v>#DIV/0!</v>
      </c>
      <c r="R34" s="94" t="e">
        <f>IF(ISTEXT($J34),INDEX(VDSL3[Afnameklanten met KM/TT (%)],MATCH($J34,VDSL3[Verdeelsleutel],0))*$P34,"")</f>
        <v>#DIV/0!</v>
      </c>
      <c r="S34" s="95">
        <f>IF(ISTEXT($H34),INDEX(VDSL1[Injectie (%)],MATCH($H34,VDSL1[Verdeelsleutel],0))*$K34,"")</f>
        <v>0</v>
      </c>
      <c r="T34" s="563"/>
      <c r="U34" s="1"/>
      <c r="V34" s="1"/>
      <c r="AG34" s="60"/>
    </row>
    <row r="35" spans="1:33" ht="15" customHeight="1">
      <c r="A35" s="81" t="s">
        <v>51</v>
      </c>
      <c r="B35" s="82" t="s">
        <v>78</v>
      </c>
      <c r="C35" s="82" t="s">
        <v>10</v>
      </c>
      <c r="D35" s="82" t="s">
        <v>68</v>
      </c>
      <c r="E35" s="82" t="s">
        <v>85</v>
      </c>
      <c r="F35" s="82" t="s">
        <v>86</v>
      </c>
      <c r="G35" s="83" t="s">
        <v>504</v>
      </c>
      <c r="H35" s="181" t="s">
        <v>231</v>
      </c>
      <c r="I35" s="182" t="s">
        <v>299</v>
      </c>
      <c r="J35" s="82" t="s">
        <v>302</v>
      </c>
      <c r="K35" s="842"/>
      <c r="L35" s="95">
        <f>IF(ISTEXT($H35),INDEX(VDSL1[Afname (%)],MATCH($H35,VDSL1[Verdeelsleutel],0))*$K35,"")</f>
        <v>0</v>
      </c>
      <c r="M35" s="93" t="e">
        <f>IF(ISTEXT($I35),INDEX(VDSL2[TRHS (%)],MATCH($I35,VDSL2[Verdeelsleutel],0))*$L35,"")</f>
        <v>#VALUE!</v>
      </c>
      <c r="N35" s="93" t="e">
        <f>IF(ISTEXT($I35),INDEX(VDSL2[MS (%)],MATCH($I35,VDSL2[Verdeelsleutel],0))*$L35,"")</f>
        <v>#VALUE!</v>
      </c>
      <c r="O35" s="93" t="e">
        <f>IF(ISTEXT($I35),INDEX(VDSL2[TRLS (%)],MATCH($I35,VDSL2[Verdeelsleutel],0))*$L35,"")</f>
        <v>#VALUE!</v>
      </c>
      <c r="P35" s="93" t="e">
        <f>IF(ISTEXT($I35),INDEX(VDSL2[LS (%)],MATCH($I35,VDSL2[Verdeelsleutel],0))*$L35,"")</f>
        <v>#VALUE!</v>
      </c>
      <c r="Q35" s="93" t="e">
        <f>IF(ISTEXT($J35),INDEX(VDSL3[Afnameklanten op LS met piekmeting (%)],MATCH($J35,VDSL3[Verdeelsleutel],0))*$P35,"")</f>
        <v>#DIV/0!</v>
      </c>
      <c r="R35" s="94" t="e">
        <f>IF(ISTEXT($J35),INDEX(VDSL3[Afnameklanten met KM/TT (%)],MATCH($J35,VDSL3[Verdeelsleutel],0))*$P35,"")</f>
        <v>#DIV/0!</v>
      </c>
      <c r="S35" s="95">
        <f>IF(ISTEXT($H35),INDEX(VDSL1[Injectie (%)],MATCH($H35,VDSL1[Verdeelsleutel],0))*$K35,"")</f>
        <v>0</v>
      </c>
      <c r="T35" s="563"/>
      <c r="U35" s="1"/>
      <c r="V35" s="1"/>
      <c r="AG35" s="60"/>
    </row>
    <row r="36" spans="1:33" ht="15" customHeight="1">
      <c r="A36" s="81" t="s">
        <v>51</v>
      </c>
      <c r="B36" s="82" t="s">
        <v>78</v>
      </c>
      <c r="C36" s="82" t="s">
        <v>10</v>
      </c>
      <c r="D36" s="82" t="s">
        <v>68</v>
      </c>
      <c r="E36" s="82" t="s">
        <v>85</v>
      </c>
      <c r="F36" s="82" t="s">
        <v>86</v>
      </c>
      <c r="G36" s="83" t="s">
        <v>53</v>
      </c>
      <c r="H36" s="181" t="s">
        <v>231</v>
      </c>
      <c r="I36" s="182" t="s">
        <v>299</v>
      </c>
      <c r="J36" s="82" t="s">
        <v>302</v>
      </c>
      <c r="K36" s="842"/>
      <c r="L36" s="95">
        <f>IF(ISTEXT($H36),INDEX(VDSL1[Afname (%)],MATCH($H36,VDSL1[Verdeelsleutel],0))*$K36,"")</f>
        <v>0</v>
      </c>
      <c r="M36" s="93" t="e">
        <f>IF(ISTEXT($I36),INDEX(VDSL2[TRHS (%)],MATCH($I36,VDSL2[Verdeelsleutel],0))*$L36,"")</f>
        <v>#VALUE!</v>
      </c>
      <c r="N36" s="93" t="e">
        <f>IF(ISTEXT($I36),INDEX(VDSL2[MS (%)],MATCH($I36,VDSL2[Verdeelsleutel],0))*$L36,"")</f>
        <v>#VALUE!</v>
      </c>
      <c r="O36" s="93" t="e">
        <f>IF(ISTEXT($I36),INDEX(VDSL2[TRLS (%)],MATCH($I36,VDSL2[Verdeelsleutel],0))*$L36,"")</f>
        <v>#VALUE!</v>
      </c>
      <c r="P36" s="93" t="e">
        <f>IF(ISTEXT($I36),INDEX(VDSL2[LS (%)],MATCH($I36,VDSL2[Verdeelsleutel],0))*$L36,"")</f>
        <v>#VALUE!</v>
      </c>
      <c r="Q36" s="93" t="e">
        <f>IF(ISTEXT($J36),INDEX(VDSL3[Afnameklanten op LS met piekmeting (%)],MATCH($J36,VDSL3[Verdeelsleutel],0))*$P36,"")</f>
        <v>#DIV/0!</v>
      </c>
      <c r="R36" s="94" t="e">
        <f>IF(ISTEXT($J36),INDEX(VDSL3[Afnameklanten met KM/TT (%)],MATCH($J36,VDSL3[Verdeelsleutel],0))*$P36,"")</f>
        <v>#DIV/0!</v>
      </c>
      <c r="S36" s="95">
        <f>IF(ISTEXT($H36),INDEX(VDSL1[Injectie (%)],MATCH($H36,VDSL1[Verdeelsleutel],0))*$K36,"")</f>
        <v>0</v>
      </c>
      <c r="T36" s="563"/>
      <c r="U36" s="1"/>
      <c r="V36" s="1"/>
      <c r="AG36" s="60"/>
    </row>
    <row r="37" spans="1:33" ht="15" customHeight="1">
      <c r="A37" s="81" t="s">
        <v>51</v>
      </c>
      <c r="B37" s="82" t="s">
        <v>78</v>
      </c>
      <c r="C37" s="82" t="s">
        <v>10</v>
      </c>
      <c r="D37" s="82" t="s">
        <v>68</v>
      </c>
      <c r="E37" s="82" t="s">
        <v>85</v>
      </c>
      <c r="F37" s="82" t="s">
        <v>86</v>
      </c>
      <c r="G37" s="83" t="s">
        <v>52</v>
      </c>
      <c r="H37" s="181" t="s">
        <v>231</v>
      </c>
      <c r="I37" s="182" t="s">
        <v>299</v>
      </c>
      <c r="J37" s="82" t="s">
        <v>302</v>
      </c>
      <c r="K37" s="842"/>
      <c r="L37" s="95">
        <f>IF(ISTEXT($H37),INDEX(VDSL1[Afname (%)],MATCH($H37,VDSL1[Verdeelsleutel],0))*$K37,"")</f>
        <v>0</v>
      </c>
      <c r="M37" s="93" t="e">
        <f>IF(ISTEXT($I37),INDEX(VDSL2[TRHS (%)],MATCH($I37,VDSL2[Verdeelsleutel],0))*$L37,"")</f>
        <v>#VALUE!</v>
      </c>
      <c r="N37" s="93" t="e">
        <f>IF(ISTEXT($I37),INDEX(VDSL2[MS (%)],MATCH($I37,VDSL2[Verdeelsleutel],0))*$L37,"")</f>
        <v>#VALUE!</v>
      </c>
      <c r="O37" s="93" t="e">
        <f>IF(ISTEXT($I37),INDEX(VDSL2[TRLS (%)],MATCH($I37,VDSL2[Verdeelsleutel],0))*$L37,"")</f>
        <v>#VALUE!</v>
      </c>
      <c r="P37" s="93" t="e">
        <f>IF(ISTEXT($I37),INDEX(VDSL2[LS (%)],MATCH($I37,VDSL2[Verdeelsleutel],0))*$L37,"")</f>
        <v>#VALUE!</v>
      </c>
      <c r="Q37" s="93" t="e">
        <f>IF(ISTEXT($J37),INDEX(VDSL3[Afnameklanten op LS met piekmeting (%)],MATCH($J37,VDSL3[Verdeelsleutel],0))*$P37,"")</f>
        <v>#DIV/0!</v>
      </c>
      <c r="R37" s="94" t="e">
        <f>IF(ISTEXT($J37),INDEX(VDSL3[Afnameklanten met KM/TT (%)],MATCH($J37,VDSL3[Verdeelsleutel],0))*$P37,"")</f>
        <v>#DIV/0!</v>
      </c>
      <c r="S37" s="95">
        <f>IF(ISTEXT($H37),INDEX(VDSL1[Injectie (%)],MATCH($H37,VDSL1[Verdeelsleutel],0))*$K37,"")</f>
        <v>0</v>
      </c>
      <c r="T37" s="563"/>
      <c r="U37" s="1"/>
      <c r="V37" s="1"/>
      <c r="AG37" s="60"/>
    </row>
    <row r="38" spans="1:33" ht="15" customHeight="1">
      <c r="A38" s="81" t="s">
        <v>51</v>
      </c>
      <c r="B38" s="82" t="s">
        <v>78</v>
      </c>
      <c r="C38" s="82" t="s">
        <v>10</v>
      </c>
      <c r="D38" s="82" t="s">
        <v>68</v>
      </c>
      <c r="E38" s="82" t="s">
        <v>85</v>
      </c>
      <c r="F38" s="82" t="s">
        <v>86</v>
      </c>
      <c r="G38" s="83" t="s">
        <v>54</v>
      </c>
      <c r="H38" s="181" t="s">
        <v>231</v>
      </c>
      <c r="I38" s="182" t="s">
        <v>299</v>
      </c>
      <c r="J38" s="82" t="s">
        <v>302</v>
      </c>
      <c r="K38" s="842"/>
      <c r="L38" s="95">
        <f>IF(ISTEXT($H38),INDEX(VDSL1[Afname (%)],MATCH($H38,VDSL1[Verdeelsleutel],0))*$K38,"")</f>
        <v>0</v>
      </c>
      <c r="M38" s="93" t="e">
        <f>IF(ISTEXT($I38),INDEX(VDSL2[TRHS (%)],MATCH($I38,VDSL2[Verdeelsleutel],0))*$L38,"")</f>
        <v>#VALUE!</v>
      </c>
      <c r="N38" s="93" t="e">
        <f>IF(ISTEXT($I38),INDEX(VDSL2[MS (%)],MATCH($I38,VDSL2[Verdeelsleutel],0))*$L38,"")</f>
        <v>#VALUE!</v>
      </c>
      <c r="O38" s="93" t="e">
        <f>IF(ISTEXT($I38),INDEX(VDSL2[TRLS (%)],MATCH($I38,VDSL2[Verdeelsleutel],0))*$L38,"")</f>
        <v>#VALUE!</v>
      </c>
      <c r="P38" s="93" t="e">
        <f>IF(ISTEXT($I38),INDEX(VDSL2[LS (%)],MATCH($I38,VDSL2[Verdeelsleutel],0))*$L38,"")</f>
        <v>#VALUE!</v>
      </c>
      <c r="Q38" s="93" t="e">
        <f>IF(ISTEXT($J38),INDEX(VDSL3[Afnameklanten op LS met piekmeting (%)],MATCH($J38,VDSL3[Verdeelsleutel],0))*$P38,"")</f>
        <v>#DIV/0!</v>
      </c>
      <c r="R38" s="94" t="e">
        <f>IF(ISTEXT($J38),INDEX(VDSL3[Afnameklanten met KM/TT (%)],MATCH($J38,VDSL3[Verdeelsleutel],0))*$P38,"")</f>
        <v>#DIV/0!</v>
      </c>
      <c r="S38" s="95">
        <f>IF(ISTEXT($H38),INDEX(VDSL1[Injectie (%)],MATCH($H38,VDSL1[Verdeelsleutel],0))*$K38,"")</f>
        <v>0</v>
      </c>
      <c r="T38" s="563"/>
      <c r="U38" s="1"/>
      <c r="V38" s="1"/>
      <c r="AG38" s="60"/>
    </row>
    <row r="39" spans="1:33" ht="15" customHeight="1">
      <c r="A39" s="81" t="s">
        <v>83</v>
      </c>
      <c r="B39" s="82" t="s">
        <v>78</v>
      </c>
      <c r="C39" s="82" t="s">
        <v>22</v>
      </c>
      <c r="D39" s="82" t="s">
        <v>68</v>
      </c>
      <c r="E39" s="82" t="s">
        <v>85</v>
      </c>
      <c r="F39" s="82" t="s">
        <v>87</v>
      </c>
      <c r="G39" s="83" t="s">
        <v>163</v>
      </c>
      <c r="H39" s="181" t="s">
        <v>231</v>
      </c>
      <c r="I39" s="182" t="s">
        <v>153</v>
      </c>
      <c r="J39" s="82" t="s">
        <v>14</v>
      </c>
      <c r="K39" s="842"/>
      <c r="L39" s="95">
        <f>IF(ISTEXT($H39),INDEX(VDSL1[Afname (%)],MATCH($H39,VDSL1[Verdeelsleutel],0))*$K39,"")</f>
        <v>0</v>
      </c>
      <c r="M39" s="93" t="e">
        <f>IF(ISTEXT($I39),INDEX(VDSL2[TRHS (%)],MATCH($I39,VDSL2[Verdeelsleutel],0))*$L39,"")</f>
        <v>#DIV/0!</v>
      </c>
      <c r="N39" s="93" t="e">
        <f>IF(ISTEXT($I39),INDEX(VDSL2[MS (%)],MATCH($I39,VDSL2[Verdeelsleutel],0))*$L39,"")</f>
        <v>#DIV/0!</v>
      </c>
      <c r="O39" s="93" t="e">
        <f>IF(ISTEXT($I39),INDEX(VDSL2[TRLS (%)],MATCH($I39,VDSL2[Verdeelsleutel],0))*$L39,"")</f>
        <v>#DIV/0!</v>
      </c>
      <c r="P39" s="93" t="e">
        <f>IF(ISTEXT($I39),INDEX(VDSL2[LS (%)],MATCH($I39,VDSL2[Verdeelsleutel],0))*$L39,"")</f>
        <v>#DIV/0!</v>
      </c>
      <c r="Q39" s="93" t="e">
        <f>IF(ISTEXT($J39),INDEX(VDSL3[Afnameklanten op LS met piekmeting (%)],MATCH($J39,VDSL3[Verdeelsleutel],0))*$P39,"")</f>
        <v>#DIV/0!</v>
      </c>
      <c r="R39" s="94" t="e">
        <f>IF(ISTEXT($J39),INDEX(VDSL3[Afnameklanten met KM/TT (%)],MATCH($J39,VDSL3[Verdeelsleutel],0))*$P39,"")</f>
        <v>#DIV/0!</v>
      </c>
      <c r="S39" s="95">
        <f>IF(ISTEXT($H39),INDEX(VDSL1[Injectie (%)],MATCH($H39,VDSL1[Verdeelsleutel],0))*$K39,"")</f>
        <v>0</v>
      </c>
      <c r="T39" s="563"/>
      <c r="U39" s="1"/>
      <c r="V39" s="1"/>
      <c r="AG39" s="60"/>
    </row>
    <row r="40" spans="1:33" ht="15" customHeight="1">
      <c r="A40" s="81" t="s">
        <v>83</v>
      </c>
      <c r="B40" s="82" t="s">
        <v>78</v>
      </c>
      <c r="C40" s="82" t="s">
        <v>22</v>
      </c>
      <c r="D40" s="82" t="s">
        <v>68</v>
      </c>
      <c r="E40" s="82" t="s">
        <v>85</v>
      </c>
      <c r="F40" s="82" t="s">
        <v>87</v>
      </c>
      <c r="G40" s="83" t="s">
        <v>47</v>
      </c>
      <c r="H40" s="181" t="s">
        <v>231</v>
      </c>
      <c r="I40" s="182" t="s">
        <v>153</v>
      </c>
      <c r="J40" s="82" t="s">
        <v>14</v>
      </c>
      <c r="K40" s="842"/>
      <c r="L40" s="95">
        <f>IF(ISTEXT($H40),INDEX(VDSL1[Afname (%)],MATCH($H40,VDSL1[Verdeelsleutel],0))*$K40,"")</f>
        <v>0</v>
      </c>
      <c r="M40" s="93" t="e">
        <f>IF(ISTEXT($I40),INDEX(VDSL2[TRHS (%)],MATCH($I40,VDSL2[Verdeelsleutel],0))*$L40,"")</f>
        <v>#DIV/0!</v>
      </c>
      <c r="N40" s="93" t="e">
        <f>IF(ISTEXT($I40),INDEX(VDSL2[MS (%)],MATCH($I40,VDSL2[Verdeelsleutel],0))*$L40,"")</f>
        <v>#DIV/0!</v>
      </c>
      <c r="O40" s="93" t="e">
        <f>IF(ISTEXT($I40),INDEX(VDSL2[TRLS (%)],MATCH($I40,VDSL2[Verdeelsleutel],0))*$L40,"")</f>
        <v>#DIV/0!</v>
      </c>
      <c r="P40" s="93" t="e">
        <f>IF(ISTEXT($I40),INDEX(VDSL2[LS (%)],MATCH($I40,VDSL2[Verdeelsleutel],0))*$L40,"")</f>
        <v>#DIV/0!</v>
      </c>
      <c r="Q40" s="93" t="e">
        <f>IF(ISTEXT($J40),INDEX(VDSL3[Afnameklanten op LS met piekmeting (%)],MATCH($J40,VDSL3[Verdeelsleutel],0))*$P40,"")</f>
        <v>#DIV/0!</v>
      </c>
      <c r="R40" s="94" t="e">
        <f>IF(ISTEXT($J40),INDEX(VDSL3[Afnameklanten met KM/TT (%)],MATCH($J40,VDSL3[Verdeelsleutel],0))*$P40,"")</f>
        <v>#DIV/0!</v>
      </c>
      <c r="S40" s="95">
        <f>IF(ISTEXT($H40),INDEX(VDSL1[Injectie (%)],MATCH($H40,VDSL1[Verdeelsleutel],0))*$K40,"")</f>
        <v>0</v>
      </c>
      <c r="T40" s="563"/>
      <c r="U40" s="1"/>
      <c r="V40" s="1"/>
      <c r="AG40" s="60"/>
    </row>
    <row r="41" spans="1:33" ht="15" customHeight="1">
      <c r="A41" s="81" t="s">
        <v>83</v>
      </c>
      <c r="B41" s="82" t="s">
        <v>78</v>
      </c>
      <c r="C41" s="82" t="s">
        <v>22</v>
      </c>
      <c r="D41" s="82" t="s">
        <v>68</v>
      </c>
      <c r="E41" s="82" t="s">
        <v>85</v>
      </c>
      <c r="F41" s="82" t="s">
        <v>87</v>
      </c>
      <c r="G41" s="83" t="s">
        <v>45</v>
      </c>
      <c r="H41" s="181" t="s">
        <v>231</v>
      </c>
      <c r="I41" s="182" t="s">
        <v>14</v>
      </c>
      <c r="J41" s="82" t="s">
        <v>14</v>
      </c>
      <c r="K41" s="842"/>
      <c r="L41" s="95">
        <f>IF(ISTEXT($H41),INDEX(VDSL1[Afname (%)],MATCH($H41,VDSL1[Verdeelsleutel],0))*$K41,"")</f>
        <v>0</v>
      </c>
      <c r="M41" s="93" t="e">
        <f>IF(ISTEXT($I41),INDEX(VDSL2[TRHS (%)],MATCH($I41,VDSL2[Verdeelsleutel],0))*$L41,"")</f>
        <v>#DIV/0!</v>
      </c>
      <c r="N41" s="93" t="e">
        <f>IF(ISTEXT($I41),INDEX(VDSL2[MS (%)],MATCH($I41,VDSL2[Verdeelsleutel],0))*$L41,"")</f>
        <v>#DIV/0!</v>
      </c>
      <c r="O41" s="93" t="e">
        <f>IF(ISTEXT($I41),INDEX(VDSL2[TRLS (%)],MATCH($I41,VDSL2[Verdeelsleutel],0))*$L41,"")</f>
        <v>#DIV/0!</v>
      </c>
      <c r="P41" s="93" t="e">
        <f>IF(ISTEXT($I41),INDEX(VDSL2[LS (%)],MATCH($I41,VDSL2[Verdeelsleutel],0))*$L41,"")</f>
        <v>#DIV/0!</v>
      </c>
      <c r="Q41" s="93" t="e">
        <f>IF(ISTEXT($J41),INDEX(VDSL3[Afnameklanten op LS met piekmeting (%)],MATCH($J41,VDSL3[Verdeelsleutel],0))*$P41,"")</f>
        <v>#DIV/0!</v>
      </c>
      <c r="R41" s="94" t="e">
        <f>IF(ISTEXT($J41),INDEX(VDSL3[Afnameklanten met KM/TT (%)],MATCH($J41,VDSL3[Verdeelsleutel],0))*$P41,"")</f>
        <v>#DIV/0!</v>
      </c>
      <c r="S41" s="95">
        <f>IF(ISTEXT($H41),INDEX(VDSL1[Injectie (%)],MATCH($H41,VDSL1[Verdeelsleutel],0))*$K41,"")</f>
        <v>0</v>
      </c>
      <c r="T41" s="563"/>
      <c r="U41" s="1"/>
      <c r="V41" s="1"/>
      <c r="AG41" s="60"/>
    </row>
    <row r="42" spans="1:33" ht="15" customHeight="1">
      <c r="A42" s="81" t="s">
        <v>83</v>
      </c>
      <c r="B42" s="82" t="s">
        <v>78</v>
      </c>
      <c r="C42" s="82" t="s">
        <v>22</v>
      </c>
      <c r="D42" s="82" t="s">
        <v>68</v>
      </c>
      <c r="E42" s="82" t="s">
        <v>85</v>
      </c>
      <c r="F42" s="82" t="s">
        <v>87</v>
      </c>
      <c r="G42" s="83" t="s">
        <v>44</v>
      </c>
      <c r="H42" s="181" t="s">
        <v>14</v>
      </c>
      <c r="I42" s="182" t="s">
        <v>14</v>
      </c>
      <c r="J42" s="82" t="s">
        <v>14</v>
      </c>
      <c r="K42" s="842"/>
      <c r="L42" s="95" t="e">
        <f>IF(ISTEXT($H42),INDEX(VDSL1[Afname (%)],MATCH($H42,VDSL1[Verdeelsleutel],0))*$K42,"")</f>
        <v>#DIV/0!</v>
      </c>
      <c r="M42" s="93" t="e">
        <f>IF(ISTEXT($I42),INDEX(VDSL2[TRHS (%)],MATCH($I42,VDSL2[Verdeelsleutel],0))*$L42,"")</f>
        <v>#DIV/0!</v>
      </c>
      <c r="N42" s="93" t="e">
        <f>IF(ISTEXT($I42),INDEX(VDSL2[MS (%)],MATCH($I42,VDSL2[Verdeelsleutel],0))*$L42,"")</f>
        <v>#DIV/0!</v>
      </c>
      <c r="O42" s="93" t="e">
        <f>IF(ISTEXT($I42),INDEX(VDSL2[TRLS (%)],MATCH($I42,VDSL2[Verdeelsleutel],0))*$L42,"")</f>
        <v>#DIV/0!</v>
      </c>
      <c r="P42" s="93" t="e">
        <f>IF(ISTEXT($I42),INDEX(VDSL2[LS (%)],MATCH($I42,VDSL2[Verdeelsleutel],0))*$L42,"")</f>
        <v>#DIV/0!</v>
      </c>
      <c r="Q42" s="93" t="e">
        <f>IF(ISTEXT($J42),INDEX(VDSL3[Afnameklanten op LS met piekmeting (%)],MATCH($J42,VDSL3[Verdeelsleutel],0))*$P42,"")</f>
        <v>#DIV/0!</v>
      </c>
      <c r="R42" s="94" t="e">
        <f>IF(ISTEXT($J42),INDEX(VDSL3[Afnameklanten met KM/TT (%)],MATCH($J42,VDSL3[Verdeelsleutel],0))*$P42,"")</f>
        <v>#DIV/0!</v>
      </c>
      <c r="S42" s="95" t="e">
        <f>IF(ISTEXT($H42),INDEX(VDSL1[Injectie (%)],MATCH($H42,VDSL1[Verdeelsleutel],0))*$K42,"")</f>
        <v>#DIV/0!</v>
      </c>
      <c r="T42" s="563"/>
      <c r="U42" s="1"/>
      <c r="V42" s="1"/>
      <c r="AG42" s="60"/>
    </row>
    <row r="43" spans="1:33" ht="15" customHeight="1">
      <c r="A43" s="81" t="s">
        <v>83</v>
      </c>
      <c r="B43" s="82" t="s">
        <v>78</v>
      </c>
      <c r="C43" s="82" t="s">
        <v>22</v>
      </c>
      <c r="D43" s="82" t="s">
        <v>68</v>
      </c>
      <c r="E43" s="82" t="s">
        <v>85</v>
      </c>
      <c r="F43" s="82" t="s">
        <v>87</v>
      </c>
      <c r="G43" s="83" t="s">
        <v>93</v>
      </c>
      <c r="H43" s="181" t="s">
        <v>231</v>
      </c>
      <c r="I43" s="182" t="s">
        <v>153</v>
      </c>
      <c r="J43" s="82" t="s">
        <v>14</v>
      </c>
      <c r="K43" s="842"/>
      <c r="L43" s="95">
        <f>IF(ISTEXT($H43),INDEX(VDSL1[Afname (%)],MATCH($H43,VDSL1[Verdeelsleutel],0))*$K43,"")</f>
        <v>0</v>
      </c>
      <c r="M43" s="93" t="e">
        <f>IF(ISTEXT($I43),INDEX(VDSL2[TRHS (%)],MATCH($I43,VDSL2[Verdeelsleutel],0))*$L43,"")</f>
        <v>#DIV/0!</v>
      </c>
      <c r="N43" s="93" t="e">
        <f>IF(ISTEXT($I43),INDEX(VDSL2[MS (%)],MATCH($I43,VDSL2[Verdeelsleutel],0))*$L43,"")</f>
        <v>#DIV/0!</v>
      </c>
      <c r="O43" s="93" t="e">
        <f>IF(ISTEXT($I43),INDEX(VDSL2[TRLS (%)],MATCH($I43,VDSL2[Verdeelsleutel],0))*$L43,"")</f>
        <v>#DIV/0!</v>
      </c>
      <c r="P43" s="93" t="e">
        <f>IF(ISTEXT($I43),INDEX(VDSL2[LS (%)],MATCH($I43,VDSL2[Verdeelsleutel],0))*$L43,"")</f>
        <v>#DIV/0!</v>
      </c>
      <c r="Q43" s="93" t="e">
        <f>IF(ISTEXT($J43),INDEX(VDSL3[Afnameklanten op LS met piekmeting (%)],MATCH($J43,VDSL3[Verdeelsleutel],0))*$P43,"")</f>
        <v>#DIV/0!</v>
      </c>
      <c r="R43" s="94" t="e">
        <f>IF(ISTEXT($J43),INDEX(VDSL3[Afnameklanten met KM/TT (%)],MATCH($J43,VDSL3[Verdeelsleutel],0))*$P43,"")</f>
        <v>#DIV/0!</v>
      </c>
      <c r="S43" s="95">
        <f>IF(ISTEXT($H43),INDEX(VDSL1[Injectie (%)],MATCH($H43,VDSL1[Verdeelsleutel],0))*$K43,"")</f>
        <v>0</v>
      </c>
      <c r="T43" s="563"/>
      <c r="U43" s="1"/>
      <c r="V43" s="1"/>
      <c r="AG43" s="60"/>
    </row>
    <row r="44" spans="1:33" ht="15" customHeight="1">
      <c r="A44" s="81" t="s">
        <v>83</v>
      </c>
      <c r="B44" s="82" t="s">
        <v>78</v>
      </c>
      <c r="C44" s="82" t="s">
        <v>22</v>
      </c>
      <c r="D44" s="82" t="s">
        <v>68</v>
      </c>
      <c r="E44" s="82" t="s">
        <v>85</v>
      </c>
      <c r="F44" s="82" t="s">
        <v>87</v>
      </c>
      <c r="G44" s="83" t="s">
        <v>92</v>
      </c>
      <c r="H44" s="181" t="s">
        <v>231</v>
      </c>
      <c r="I44" s="182" t="s">
        <v>153</v>
      </c>
      <c r="J44" s="82" t="s">
        <v>14</v>
      </c>
      <c r="K44" s="842"/>
      <c r="L44" s="95">
        <f>IF(ISTEXT($H44),INDEX(VDSL1[Afname (%)],MATCH($H44,VDSL1[Verdeelsleutel],0))*$K44,"")</f>
        <v>0</v>
      </c>
      <c r="M44" s="93" t="e">
        <f>IF(ISTEXT($I44),INDEX(VDSL2[TRHS (%)],MATCH($I44,VDSL2[Verdeelsleutel],0))*$L44,"")</f>
        <v>#DIV/0!</v>
      </c>
      <c r="N44" s="93" t="e">
        <f>IF(ISTEXT($I44),INDEX(VDSL2[MS (%)],MATCH($I44,VDSL2[Verdeelsleutel],0))*$L44,"")</f>
        <v>#DIV/0!</v>
      </c>
      <c r="O44" s="93" t="e">
        <f>IF(ISTEXT($I44),INDEX(VDSL2[TRLS (%)],MATCH($I44,VDSL2[Verdeelsleutel],0))*$L44,"")</f>
        <v>#DIV/0!</v>
      </c>
      <c r="P44" s="93" t="e">
        <f>IF(ISTEXT($I44),INDEX(VDSL2[LS (%)],MATCH($I44,VDSL2[Verdeelsleutel],0))*$L44,"")</f>
        <v>#DIV/0!</v>
      </c>
      <c r="Q44" s="93" t="e">
        <f>IF(ISTEXT($J44),INDEX(VDSL3[Afnameklanten op LS met piekmeting (%)],MATCH($J44,VDSL3[Verdeelsleutel],0))*$P44,"")</f>
        <v>#DIV/0!</v>
      </c>
      <c r="R44" s="94" t="e">
        <f>IF(ISTEXT($J44),INDEX(VDSL3[Afnameklanten met KM/TT (%)],MATCH($J44,VDSL3[Verdeelsleutel],0))*$P44,"")</f>
        <v>#DIV/0!</v>
      </c>
      <c r="S44" s="95">
        <f>IF(ISTEXT($H44),INDEX(VDSL1[Injectie (%)],MATCH($H44,VDSL1[Verdeelsleutel],0))*$K44,"")</f>
        <v>0</v>
      </c>
      <c r="T44" s="563"/>
      <c r="U44" s="1"/>
      <c r="V44" s="1"/>
      <c r="AG44" s="60"/>
    </row>
    <row r="45" spans="1:33" ht="15" customHeight="1">
      <c r="A45" s="81" t="s">
        <v>83</v>
      </c>
      <c r="B45" s="82" t="s">
        <v>78</v>
      </c>
      <c r="C45" s="82" t="s">
        <v>22</v>
      </c>
      <c r="D45" s="82" t="s">
        <v>68</v>
      </c>
      <c r="E45" s="82" t="s">
        <v>85</v>
      </c>
      <c r="F45" s="82" t="s">
        <v>87</v>
      </c>
      <c r="G45" s="83" t="s">
        <v>321</v>
      </c>
      <c r="H45" s="181" t="s">
        <v>231</v>
      </c>
      <c r="I45" s="182" t="s">
        <v>153</v>
      </c>
      <c r="J45" s="82" t="s">
        <v>14</v>
      </c>
      <c r="K45" s="842"/>
      <c r="L45" s="95">
        <f>IF(ISTEXT($H45),INDEX(VDSL1[Afname (%)],MATCH($H45,VDSL1[Verdeelsleutel],0))*$K45,"")</f>
        <v>0</v>
      </c>
      <c r="M45" s="93" t="e">
        <f>IF(ISTEXT($I45),INDEX(VDSL2[TRHS (%)],MATCH($I45,VDSL2[Verdeelsleutel],0))*$L45,"")</f>
        <v>#DIV/0!</v>
      </c>
      <c r="N45" s="93" t="e">
        <f>IF(ISTEXT($I45),INDEX(VDSL2[MS (%)],MATCH($I45,VDSL2[Verdeelsleutel],0))*$L45,"")</f>
        <v>#DIV/0!</v>
      </c>
      <c r="O45" s="93" t="e">
        <f>IF(ISTEXT($I45),INDEX(VDSL2[TRLS (%)],MATCH($I45,VDSL2[Verdeelsleutel],0))*$L45,"")</f>
        <v>#DIV/0!</v>
      </c>
      <c r="P45" s="93" t="e">
        <f>IF(ISTEXT($I45),INDEX(VDSL2[LS (%)],MATCH($I45,VDSL2[Verdeelsleutel],0))*$L45,"")</f>
        <v>#DIV/0!</v>
      </c>
      <c r="Q45" s="93" t="e">
        <f>IF(ISTEXT($J45),INDEX(VDSL3[Afnameklanten op LS met piekmeting (%)],MATCH($J45,VDSL3[Verdeelsleutel],0))*$P45,"")</f>
        <v>#DIV/0!</v>
      </c>
      <c r="R45" s="94" t="e">
        <f>IF(ISTEXT($J45),INDEX(VDSL3[Afnameklanten met KM/TT (%)],MATCH($J45,VDSL3[Verdeelsleutel],0))*$P45,"")</f>
        <v>#DIV/0!</v>
      </c>
      <c r="S45" s="95">
        <f>IF(ISTEXT($H45),INDEX(VDSL1[Injectie (%)],MATCH($H45,VDSL1[Verdeelsleutel],0))*$K45,"")</f>
        <v>0</v>
      </c>
      <c r="T45" s="563"/>
      <c r="U45" s="1"/>
      <c r="V45" s="1"/>
      <c r="AG45" s="60"/>
    </row>
    <row r="46" spans="1:33" ht="15" customHeight="1">
      <c r="A46" s="81" t="s">
        <v>83</v>
      </c>
      <c r="B46" s="82" t="s">
        <v>78</v>
      </c>
      <c r="C46" s="82" t="s">
        <v>22</v>
      </c>
      <c r="D46" s="82" t="s">
        <v>68</v>
      </c>
      <c r="E46" s="82" t="s">
        <v>85</v>
      </c>
      <c r="F46" s="82" t="s">
        <v>87</v>
      </c>
      <c r="G46" s="83" t="s">
        <v>35</v>
      </c>
      <c r="H46" s="181" t="s">
        <v>231</v>
      </c>
      <c r="I46" s="182" t="s">
        <v>153</v>
      </c>
      <c r="J46" s="82" t="s">
        <v>14</v>
      </c>
      <c r="K46" s="842"/>
      <c r="L46" s="95">
        <f>IF(ISTEXT($H46),INDEX(VDSL1[Afname (%)],MATCH($H46,VDSL1[Verdeelsleutel],0))*$K46,"")</f>
        <v>0</v>
      </c>
      <c r="M46" s="93" t="e">
        <f>IF(ISTEXT($I46),INDEX(VDSL2[TRHS (%)],MATCH($I46,VDSL2[Verdeelsleutel],0))*$L46,"")</f>
        <v>#DIV/0!</v>
      </c>
      <c r="N46" s="93" t="e">
        <f>IF(ISTEXT($I46),INDEX(VDSL2[MS (%)],MATCH($I46,VDSL2[Verdeelsleutel],0))*$L46,"")</f>
        <v>#DIV/0!</v>
      </c>
      <c r="O46" s="93" t="e">
        <f>IF(ISTEXT($I46),INDEX(VDSL2[TRLS (%)],MATCH($I46,VDSL2[Verdeelsleutel],0))*$L46,"")</f>
        <v>#DIV/0!</v>
      </c>
      <c r="P46" s="93" t="e">
        <f>IF(ISTEXT($I46),INDEX(VDSL2[LS (%)],MATCH($I46,VDSL2[Verdeelsleutel],0))*$L46,"")</f>
        <v>#DIV/0!</v>
      </c>
      <c r="Q46" s="93" t="e">
        <f>IF(ISTEXT($J46),INDEX(VDSL3[Afnameklanten op LS met piekmeting (%)],MATCH($J46,VDSL3[Verdeelsleutel],0))*$P46,"")</f>
        <v>#DIV/0!</v>
      </c>
      <c r="R46" s="94" t="e">
        <f>IF(ISTEXT($J46),INDEX(VDSL3[Afnameklanten met KM/TT (%)],MATCH($J46,VDSL3[Verdeelsleutel],0))*$P46,"")</f>
        <v>#DIV/0!</v>
      </c>
      <c r="S46" s="95">
        <f>IF(ISTEXT($H46),INDEX(VDSL1[Injectie (%)],MATCH($H46,VDSL1[Verdeelsleutel],0))*$K46,"")</f>
        <v>0</v>
      </c>
      <c r="T46" s="563"/>
      <c r="U46" s="1"/>
      <c r="V46" s="1"/>
      <c r="AG46" s="60"/>
    </row>
    <row r="47" spans="1:33" ht="15" customHeight="1">
      <c r="A47" s="81" t="s">
        <v>83</v>
      </c>
      <c r="B47" s="82" t="s">
        <v>78</v>
      </c>
      <c r="C47" s="82" t="s">
        <v>22</v>
      </c>
      <c r="D47" s="82" t="s">
        <v>48</v>
      </c>
      <c r="E47" s="82" t="s">
        <v>85</v>
      </c>
      <c r="F47" s="82" t="s">
        <v>86</v>
      </c>
      <c r="G47" s="83" t="s">
        <v>62</v>
      </c>
      <c r="H47" s="181" t="s">
        <v>231</v>
      </c>
      <c r="I47" s="182" t="s">
        <v>26</v>
      </c>
      <c r="J47" s="82" t="s">
        <v>26</v>
      </c>
      <c r="K47" s="842"/>
      <c r="L47" s="95">
        <f>IF(ISTEXT($H47),INDEX(VDSL1[Afname (%)],MATCH($H47,VDSL1[Verdeelsleutel],0))*$K47,"")</f>
        <v>0</v>
      </c>
      <c r="M47" s="93" t="e">
        <f>IF(ISTEXT($I47),INDEX(VDSL2[TRHS (%)],MATCH($I47,VDSL2[Verdeelsleutel],0))*$L47,"")</f>
        <v>#VALUE!</v>
      </c>
      <c r="N47" s="93" t="e">
        <f>IF(ISTEXT($I47),INDEX(VDSL2[MS (%)],MATCH($I47,VDSL2[Verdeelsleutel],0))*$L47,"")</f>
        <v>#VALUE!</v>
      </c>
      <c r="O47" s="93" t="e">
        <f>IF(ISTEXT($I47),INDEX(VDSL2[TRLS (%)],MATCH($I47,VDSL2[Verdeelsleutel],0))*$L47,"")</f>
        <v>#VALUE!</v>
      </c>
      <c r="P47" s="93" t="e">
        <f>IF(ISTEXT($I47),INDEX(VDSL2[LS (%)],MATCH($I47,VDSL2[Verdeelsleutel],0))*$L47,"")</f>
        <v>#VALUE!</v>
      </c>
      <c r="Q47" s="93" t="e">
        <f>IF(ISTEXT($J47),INDEX(VDSL3[Afnameklanten op LS met piekmeting (%)],MATCH($J47,VDSL3[Verdeelsleutel],0))*$P47,"")</f>
        <v>#VALUE!</v>
      </c>
      <c r="R47" s="94" t="e">
        <f>IF(ISTEXT($J47),INDEX(VDSL3[Afnameklanten met KM/TT (%)],MATCH($J47,VDSL3[Verdeelsleutel],0))*$P47,"")</f>
        <v>#VALUE!</v>
      </c>
      <c r="S47" s="95">
        <f>IF(ISTEXT($H47),INDEX(VDSL1[Injectie (%)],MATCH($H47,VDSL1[Verdeelsleutel],0))*$K47,"")</f>
        <v>0</v>
      </c>
      <c r="T47" s="563"/>
      <c r="U47" s="1"/>
      <c r="V47" s="1"/>
      <c r="AG47" s="60"/>
    </row>
    <row r="48" spans="1:33" ht="15" customHeight="1">
      <c r="A48" s="81" t="s">
        <v>83</v>
      </c>
      <c r="B48" s="82" t="s">
        <v>78</v>
      </c>
      <c r="C48" s="82" t="s">
        <v>10</v>
      </c>
      <c r="D48" s="82" t="s">
        <v>48</v>
      </c>
      <c r="E48" s="82" t="s">
        <v>85</v>
      </c>
      <c r="F48" s="82" t="s">
        <v>87</v>
      </c>
      <c r="G48" s="83" t="s">
        <v>61</v>
      </c>
      <c r="H48" s="181" t="s">
        <v>231</v>
      </c>
      <c r="I48" s="182" t="s">
        <v>222</v>
      </c>
      <c r="J48" s="82" t="s">
        <v>222</v>
      </c>
      <c r="K48" s="842"/>
      <c r="L48" s="95">
        <f>IF(ISTEXT($H48),INDEX(VDSL1[Afname (%)],MATCH($H48,VDSL1[Verdeelsleutel],0))*$K48,"")</f>
        <v>0</v>
      </c>
      <c r="M48" s="93" t="e">
        <f>IF(ISTEXT($I48),INDEX(VDSL2[TRHS (%)],MATCH($I48,VDSL2[Verdeelsleutel],0))*$L48,"")</f>
        <v>#VALUE!</v>
      </c>
      <c r="N48" s="93" t="e">
        <f>IF(ISTEXT($I48),INDEX(VDSL2[MS (%)],MATCH($I48,VDSL2[Verdeelsleutel],0))*$L48,"")</f>
        <v>#VALUE!</v>
      </c>
      <c r="O48" s="93" t="e">
        <f>IF(ISTEXT($I48),INDEX(VDSL2[TRLS (%)],MATCH($I48,VDSL2[Verdeelsleutel],0))*$L48,"")</f>
        <v>#VALUE!</v>
      </c>
      <c r="P48" s="93" t="e">
        <f>IF(ISTEXT($I48),INDEX(VDSL2[LS (%)],MATCH($I48,VDSL2[Verdeelsleutel],0))*$L48,"")</f>
        <v>#VALUE!</v>
      </c>
      <c r="Q48" s="93" t="e">
        <f>IF(ISTEXT($J48),INDEX(VDSL3[Afnameklanten op LS met piekmeting (%)],MATCH($J48,VDSL3[Verdeelsleutel],0))*$P48,"")</f>
        <v>#VALUE!</v>
      </c>
      <c r="R48" s="94" t="e">
        <f>IF(ISTEXT($J48),INDEX(VDSL3[Afnameklanten met KM/TT (%)],MATCH($J48,VDSL3[Verdeelsleutel],0))*$P48,"")</f>
        <v>#VALUE!</v>
      </c>
      <c r="S48" s="95">
        <f>IF(ISTEXT($H48),INDEX(VDSL1[Injectie (%)],MATCH($H48,VDSL1[Verdeelsleutel],0))*$K48,"")</f>
        <v>0</v>
      </c>
      <c r="T48" s="563"/>
      <c r="U48" s="1"/>
      <c r="V48" s="1"/>
      <c r="AG48" s="60"/>
    </row>
    <row r="49" spans="1:33" ht="15" customHeight="1">
      <c r="A49" s="81" t="s">
        <v>83</v>
      </c>
      <c r="B49" s="82" t="s">
        <v>78</v>
      </c>
      <c r="C49" s="82" t="s">
        <v>10</v>
      </c>
      <c r="D49" s="82" t="s">
        <v>48</v>
      </c>
      <c r="E49" s="82" t="s">
        <v>85</v>
      </c>
      <c r="F49" s="82" t="s">
        <v>87</v>
      </c>
      <c r="G49" s="83" t="s">
        <v>304</v>
      </c>
      <c r="H49" s="181" t="s">
        <v>231</v>
      </c>
      <c r="I49" s="182" t="s">
        <v>222</v>
      </c>
      <c r="J49" s="82" t="s">
        <v>222</v>
      </c>
      <c r="K49" s="842"/>
      <c r="L49" s="95">
        <f>IF(ISTEXT($H49),INDEX(VDSL1[Afname (%)],MATCH($H49,VDSL1[Verdeelsleutel],0))*$K49,"")</f>
        <v>0</v>
      </c>
      <c r="M49" s="93" t="e">
        <f>IF(ISTEXT($I49),INDEX(VDSL2[TRHS (%)],MATCH($I49,VDSL2[Verdeelsleutel],0))*$L49,"")</f>
        <v>#VALUE!</v>
      </c>
      <c r="N49" s="93" t="e">
        <f>IF(ISTEXT($I49),INDEX(VDSL2[MS (%)],MATCH($I49,VDSL2[Verdeelsleutel],0))*$L49,"")</f>
        <v>#VALUE!</v>
      </c>
      <c r="O49" s="93" t="e">
        <f>IF(ISTEXT($I49),INDEX(VDSL2[TRLS (%)],MATCH($I49,VDSL2[Verdeelsleutel],0))*$L49,"")</f>
        <v>#VALUE!</v>
      </c>
      <c r="P49" s="93" t="e">
        <f>IF(ISTEXT($I49),INDEX(VDSL2[LS (%)],MATCH($I49,VDSL2[Verdeelsleutel],0))*$L49,"")</f>
        <v>#VALUE!</v>
      </c>
      <c r="Q49" s="93" t="e">
        <f>IF(ISTEXT($J49),INDEX(VDSL3[Afnameklanten op LS met piekmeting (%)],MATCH($J49,VDSL3[Verdeelsleutel],0))*$P49,"")</f>
        <v>#VALUE!</v>
      </c>
      <c r="R49" s="94" t="e">
        <f>IF(ISTEXT($J49),INDEX(VDSL3[Afnameklanten met KM/TT (%)],MATCH($J49,VDSL3[Verdeelsleutel],0))*$P49,"")</f>
        <v>#VALUE!</v>
      </c>
      <c r="S49" s="95">
        <f>IF(ISTEXT($H49),INDEX(VDSL1[Injectie (%)],MATCH($H49,VDSL1[Verdeelsleutel],0))*$K49,"")</f>
        <v>0</v>
      </c>
      <c r="T49" s="563"/>
      <c r="U49" s="1"/>
      <c r="V49" s="1"/>
      <c r="AG49" s="60"/>
    </row>
    <row r="50" spans="1:33" ht="15" customHeight="1">
      <c r="A50" s="81" t="s">
        <v>83</v>
      </c>
      <c r="B50" s="82" t="s">
        <v>78</v>
      </c>
      <c r="C50" s="82" t="s">
        <v>10</v>
      </c>
      <c r="D50" s="82" t="s">
        <v>63</v>
      </c>
      <c r="E50" s="82" t="s">
        <v>85</v>
      </c>
      <c r="F50" s="82" t="s">
        <v>87</v>
      </c>
      <c r="G50" s="83" t="s">
        <v>64</v>
      </c>
      <c r="H50" s="181" t="s">
        <v>231</v>
      </c>
      <c r="I50" s="182" t="s">
        <v>78</v>
      </c>
      <c r="J50" s="82" t="s">
        <v>78</v>
      </c>
      <c r="K50" s="842"/>
      <c r="L50" s="95">
        <f>IF(ISTEXT($H50),INDEX(VDSL1[Afname (%)],MATCH($H50,VDSL1[Verdeelsleutel],0))*$K50,"")</f>
        <v>0</v>
      </c>
      <c r="M50" s="93" t="e">
        <f>IF(ISTEXT($I50),INDEX(VDSL2[TRHS (%)],MATCH($I50,VDSL2[Verdeelsleutel],0))*$L50,"")</f>
        <v>#VALUE!</v>
      </c>
      <c r="N50" s="93" t="e">
        <f>IF(ISTEXT($I50),INDEX(VDSL2[MS (%)],MATCH($I50,VDSL2[Verdeelsleutel],0))*$L50,"")</f>
        <v>#VALUE!</v>
      </c>
      <c r="O50" s="93" t="e">
        <f>IF(ISTEXT($I50),INDEX(VDSL2[TRLS (%)],MATCH($I50,VDSL2[Verdeelsleutel],0))*$L50,"")</f>
        <v>#VALUE!</v>
      </c>
      <c r="P50" s="93" t="e">
        <f>IF(ISTEXT($I50),INDEX(VDSL2[LS (%)],MATCH($I50,VDSL2[Verdeelsleutel],0))*$L50,"")</f>
        <v>#VALUE!</v>
      </c>
      <c r="Q50" s="93" t="e">
        <f>IF(ISTEXT($J50),INDEX(VDSL3[Afnameklanten op LS met piekmeting (%)],MATCH($J50,VDSL3[Verdeelsleutel],0))*$P50,"")</f>
        <v>#VALUE!</v>
      </c>
      <c r="R50" s="94" t="e">
        <f>IF(ISTEXT($J50),INDEX(VDSL3[Afnameklanten met KM/TT (%)],MATCH($J50,VDSL3[Verdeelsleutel],0))*$P50,"")</f>
        <v>#VALUE!</v>
      </c>
      <c r="S50" s="95">
        <f>IF(ISTEXT($H50),INDEX(VDSL1[Injectie (%)],MATCH($H50,VDSL1[Verdeelsleutel],0))*$K50,"")</f>
        <v>0</v>
      </c>
      <c r="T50" s="563"/>
      <c r="U50" s="1"/>
      <c r="V50" s="1"/>
      <c r="AG50" s="60"/>
    </row>
    <row r="51" spans="1:33" ht="15" customHeight="1">
      <c r="A51" s="81" t="s">
        <v>83</v>
      </c>
      <c r="B51" s="82" t="s">
        <v>78</v>
      </c>
      <c r="C51" s="82" t="s">
        <v>22</v>
      </c>
      <c r="D51" s="82" t="s">
        <v>46</v>
      </c>
      <c r="E51" s="82" t="s">
        <v>85</v>
      </c>
      <c r="F51" s="82" t="s">
        <v>87</v>
      </c>
      <c r="G51" s="83" t="s">
        <v>489</v>
      </c>
      <c r="H51" s="181" t="s">
        <v>231</v>
      </c>
      <c r="I51" s="182" t="s">
        <v>78</v>
      </c>
      <c r="J51" s="82" t="s">
        <v>78</v>
      </c>
      <c r="K51" s="842"/>
      <c r="L51" s="95">
        <f>IF(ISTEXT($H51),INDEX(VDSL1[Afname (%)],MATCH($H51,VDSL1[Verdeelsleutel],0))*$K51,"")</f>
        <v>0</v>
      </c>
      <c r="M51" s="93" t="e">
        <f>IF(ISTEXT($I51),INDEX(VDSL2[TRHS (%)],MATCH($I51,VDSL2[Verdeelsleutel],0))*$L51,"")</f>
        <v>#VALUE!</v>
      </c>
      <c r="N51" s="93" t="e">
        <f>IF(ISTEXT($I51),INDEX(VDSL2[MS (%)],MATCH($I51,VDSL2[Verdeelsleutel],0))*$L51,"")</f>
        <v>#VALUE!</v>
      </c>
      <c r="O51" s="93" t="e">
        <f>IF(ISTEXT($I51),INDEX(VDSL2[TRLS (%)],MATCH($I51,VDSL2[Verdeelsleutel],0))*$L51,"")</f>
        <v>#VALUE!</v>
      </c>
      <c r="P51" s="93" t="e">
        <f>IF(ISTEXT($I51),INDEX(VDSL2[LS (%)],MATCH($I51,VDSL2[Verdeelsleutel],0))*$L51,"")</f>
        <v>#VALUE!</v>
      </c>
      <c r="Q51" s="93" t="e">
        <f>IF(ISTEXT($J51),INDEX(VDSL3[Afnameklanten op LS met piekmeting (%)],MATCH($J51,VDSL3[Verdeelsleutel],0))*$P51,"")</f>
        <v>#VALUE!</v>
      </c>
      <c r="R51" s="94" t="e">
        <f>IF(ISTEXT($J51),INDEX(VDSL3[Afnameklanten met KM/TT (%)],MATCH($J51,VDSL3[Verdeelsleutel],0))*$P51,"")</f>
        <v>#VALUE!</v>
      </c>
      <c r="S51" s="95">
        <f>IF(ISTEXT($H51),INDEX(VDSL1[Injectie (%)],MATCH($H51,VDSL1[Verdeelsleutel],0))*$K51,"")</f>
        <v>0</v>
      </c>
      <c r="T51" s="563"/>
      <c r="U51" s="1"/>
      <c r="V51" s="1"/>
      <c r="AG51" s="60"/>
    </row>
    <row r="52" spans="1:33" ht="15" customHeight="1">
      <c r="A52" s="81" t="s">
        <v>83</v>
      </c>
      <c r="B52" s="82" t="s">
        <v>78</v>
      </c>
      <c r="C52" s="82" t="s">
        <v>22</v>
      </c>
      <c r="D52" s="82" t="s">
        <v>46</v>
      </c>
      <c r="E52" s="82" t="s">
        <v>85</v>
      </c>
      <c r="F52" s="82" t="s">
        <v>87</v>
      </c>
      <c r="G52" s="83" t="s">
        <v>488</v>
      </c>
      <c r="H52" s="181" t="s">
        <v>231</v>
      </c>
      <c r="I52" s="182" t="s">
        <v>78</v>
      </c>
      <c r="J52" s="82" t="s">
        <v>78</v>
      </c>
      <c r="K52" s="842"/>
      <c r="L52" s="95">
        <f>IF(ISTEXT($H52),INDEX(VDSL1[Afname (%)],MATCH($H52,VDSL1[Verdeelsleutel],0))*$K52,"")</f>
        <v>0</v>
      </c>
      <c r="M52" s="93" t="e">
        <f>IF(ISTEXT($I52),INDEX(VDSL2[TRHS (%)],MATCH($I52,VDSL2[Verdeelsleutel],0))*$L52,"")</f>
        <v>#VALUE!</v>
      </c>
      <c r="N52" s="93" t="e">
        <f>IF(ISTEXT($I52),INDEX(VDSL2[MS (%)],MATCH($I52,VDSL2[Verdeelsleutel],0))*$L52,"")</f>
        <v>#VALUE!</v>
      </c>
      <c r="O52" s="93" t="e">
        <f>IF(ISTEXT($I52),INDEX(VDSL2[TRLS (%)],MATCH($I52,VDSL2[Verdeelsleutel],0))*$L52,"")</f>
        <v>#VALUE!</v>
      </c>
      <c r="P52" s="93" t="e">
        <f>IF(ISTEXT($I52),INDEX(VDSL2[LS (%)],MATCH($I52,VDSL2[Verdeelsleutel],0))*$L52,"")</f>
        <v>#VALUE!</v>
      </c>
      <c r="Q52" s="93" t="e">
        <f>IF(ISTEXT($J52),INDEX(VDSL3[Afnameklanten op LS met piekmeting (%)],MATCH($J52,VDSL3[Verdeelsleutel],0))*$P52,"")</f>
        <v>#VALUE!</v>
      </c>
      <c r="R52" s="94" t="e">
        <f>IF(ISTEXT($J52),INDEX(VDSL3[Afnameklanten met KM/TT (%)],MATCH($J52,VDSL3[Verdeelsleutel],0))*$P52,"")</f>
        <v>#VALUE!</v>
      </c>
      <c r="S52" s="95">
        <f>IF(ISTEXT($H52),INDEX(VDSL1[Injectie (%)],MATCH($H52,VDSL1[Verdeelsleutel],0))*$K52,"")</f>
        <v>0</v>
      </c>
      <c r="T52" s="563"/>
      <c r="U52" s="1"/>
      <c r="V52" s="1"/>
      <c r="AG52" s="60"/>
    </row>
    <row r="53" spans="1:33" ht="15" customHeight="1">
      <c r="A53" s="81" t="s">
        <v>83</v>
      </c>
      <c r="B53" s="82" t="s">
        <v>78</v>
      </c>
      <c r="C53" s="82" t="s">
        <v>22</v>
      </c>
      <c r="D53" s="82" t="s">
        <v>46</v>
      </c>
      <c r="E53" s="82" t="s">
        <v>85</v>
      </c>
      <c r="F53" s="82" t="s">
        <v>87</v>
      </c>
      <c r="G53" s="83" t="s">
        <v>46</v>
      </c>
      <c r="H53" s="181" t="s">
        <v>231</v>
      </c>
      <c r="I53" s="182" t="s">
        <v>78</v>
      </c>
      <c r="J53" s="82" t="s">
        <v>78</v>
      </c>
      <c r="K53" s="842"/>
      <c r="L53" s="95">
        <f>IF(ISTEXT($H53),INDEX(VDSL1[Afname (%)],MATCH($H53,VDSL1[Verdeelsleutel],0))*$K53,"")</f>
        <v>0</v>
      </c>
      <c r="M53" s="93" t="e">
        <f>IF(ISTEXT($I53),INDEX(VDSL2[TRHS (%)],MATCH($I53,VDSL2[Verdeelsleutel],0))*$L53,"")</f>
        <v>#VALUE!</v>
      </c>
      <c r="N53" s="93" t="e">
        <f>IF(ISTEXT($I53),INDEX(VDSL2[MS (%)],MATCH($I53,VDSL2[Verdeelsleutel],0))*$L53,"")</f>
        <v>#VALUE!</v>
      </c>
      <c r="O53" s="93" t="e">
        <f>IF(ISTEXT($I53),INDEX(VDSL2[TRLS (%)],MATCH($I53,VDSL2[Verdeelsleutel],0))*$L53,"")</f>
        <v>#VALUE!</v>
      </c>
      <c r="P53" s="93" t="e">
        <f>IF(ISTEXT($I53),INDEX(VDSL2[LS (%)],MATCH($I53,VDSL2[Verdeelsleutel],0))*$L53,"")</f>
        <v>#VALUE!</v>
      </c>
      <c r="Q53" s="93" t="e">
        <f>IF(ISTEXT($J53),INDEX(VDSL3[Afnameklanten op LS met piekmeting (%)],MATCH($J53,VDSL3[Verdeelsleutel],0))*$P53,"")</f>
        <v>#VALUE!</v>
      </c>
      <c r="R53" s="94" t="e">
        <f>IF(ISTEXT($J53),INDEX(VDSL3[Afnameklanten met KM/TT (%)],MATCH($J53,VDSL3[Verdeelsleutel],0))*$P53,"")</f>
        <v>#VALUE!</v>
      </c>
      <c r="S53" s="95">
        <f>IF(ISTEXT($H53),INDEX(VDSL1[Injectie (%)],MATCH($H53,VDSL1[Verdeelsleutel],0))*$K53,"")</f>
        <v>0</v>
      </c>
      <c r="T53" s="563"/>
      <c r="U53" s="1"/>
      <c r="V53" s="1"/>
      <c r="AG53" s="60"/>
    </row>
    <row r="54" spans="1:33" ht="15" customHeight="1">
      <c r="A54" s="81" t="s">
        <v>83</v>
      </c>
      <c r="B54" s="82" t="s">
        <v>13</v>
      </c>
      <c r="C54" s="82" t="s">
        <v>22</v>
      </c>
      <c r="D54" s="82" t="s">
        <v>68</v>
      </c>
      <c r="E54" s="82" t="s">
        <v>85</v>
      </c>
      <c r="F54" s="82" t="s">
        <v>87</v>
      </c>
      <c r="G54" s="368" t="s">
        <v>73</v>
      </c>
      <c r="H54" s="181" t="s">
        <v>231</v>
      </c>
      <c r="I54" s="182" t="s">
        <v>315</v>
      </c>
      <c r="J54" s="82"/>
      <c r="K54" s="842"/>
      <c r="L54" s="95">
        <f>IF(ISTEXT($H54),INDEX(VDSL1[Afname (%)],MATCH($H54,VDSL1[Verdeelsleutel],0))*$K54,"")</f>
        <v>0</v>
      </c>
      <c r="M54" s="93" t="e">
        <f>IF(ISTEXT($I54),INDEX(VDSL2[TRHS (%)],MATCH($I54,VDSL2[Verdeelsleutel],0))*$L54,"")</f>
        <v>#VALUE!</v>
      </c>
      <c r="N54" s="93" t="e">
        <f>IF(ISTEXT($I54),INDEX(VDSL2[MS (%)],MATCH($I54,VDSL2[Verdeelsleutel],0))*$L54,"")</f>
        <v>#VALUE!</v>
      </c>
      <c r="O54" s="93" t="e">
        <f>IF(ISTEXT($I54),INDEX(VDSL2[TRLS (%)],MATCH($I54,VDSL2[Verdeelsleutel],0))*$L54,"")</f>
        <v>#VALUE!</v>
      </c>
      <c r="P54" s="93" t="e">
        <f>IF(ISTEXT($I54),INDEX(VDSL2[LS (%)],MATCH($I54,VDSL2[Verdeelsleutel],0))*$L54,"")</f>
        <v>#DIV/0!</v>
      </c>
      <c r="Q54" s="93" t="str">
        <f>IF(ISTEXT($J54),INDEX(VDSL3[Afnameklanten op LS met piekmeting (%)],MATCH($J54,VDSL3[Verdeelsleutel],0))*$P54,"")</f>
        <v/>
      </c>
      <c r="R54" s="94" t="str">
        <f>IF(ISTEXT($J54),INDEX(VDSL3[Afnameklanten met KM/TT (%)],MATCH($J54,VDSL3[Verdeelsleutel],0))*$P54,"")</f>
        <v/>
      </c>
      <c r="S54" s="95">
        <f>IF(ISTEXT($H54),INDEX(VDSL1[Injectie (%)],MATCH($H54,VDSL1[Verdeelsleutel],0))*$K54,"")</f>
        <v>0</v>
      </c>
      <c r="T54" s="563"/>
      <c r="U54" s="1"/>
      <c r="V54" s="1"/>
      <c r="AG54" s="60"/>
    </row>
    <row r="55" spans="1:33" ht="15" customHeight="1">
      <c r="A55" s="81" t="s">
        <v>83</v>
      </c>
      <c r="B55" s="82" t="s">
        <v>13</v>
      </c>
      <c r="C55" s="82" t="s">
        <v>22</v>
      </c>
      <c r="D55" s="82" t="s">
        <v>68</v>
      </c>
      <c r="E55" s="82" t="s">
        <v>85</v>
      </c>
      <c r="F55" s="82" t="s">
        <v>87</v>
      </c>
      <c r="G55" s="83" t="s">
        <v>321</v>
      </c>
      <c r="H55" s="181" t="s">
        <v>231</v>
      </c>
      <c r="I55" s="182" t="s">
        <v>315</v>
      </c>
      <c r="J55" s="82"/>
      <c r="K55" s="842"/>
      <c r="L55" s="95">
        <f>IF(ISTEXT($H55),INDEX(VDSL1[Afname (%)],MATCH($H55,VDSL1[Verdeelsleutel],0))*$K55,"")</f>
        <v>0</v>
      </c>
      <c r="M55" s="93" t="e">
        <f>IF(ISTEXT($I55),INDEX(VDSL2[TRHS (%)],MATCH($I55,VDSL2[Verdeelsleutel],0))*$L55,"")</f>
        <v>#VALUE!</v>
      </c>
      <c r="N55" s="93" t="e">
        <f>IF(ISTEXT($I55),INDEX(VDSL2[MS (%)],MATCH($I55,VDSL2[Verdeelsleutel],0))*$L55,"")</f>
        <v>#VALUE!</v>
      </c>
      <c r="O55" s="93" t="e">
        <f>IF(ISTEXT($I55),INDEX(VDSL2[TRLS (%)],MATCH($I55,VDSL2[Verdeelsleutel],0))*$L55,"")</f>
        <v>#VALUE!</v>
      </c>
      <c r="P55" s="93" t="e">
        <f>IF(ISTEXT($I55),INDEX(VDSL2[LS (%)],MATCH($I55,VDSL2[Verdeelsleutel],0))*$L55,"")</f>
        <v>#DIV/0!</v>
      </c>
      <c r="Q55" s="93" t="str">
        <f>IF(ISTEXT($J55),INDEX(VDSL3[Afnameklanten op LS met piekmeting (%)],MATCH($J55,VDSL3[Verdeelsleutel],0))*$P55,"")</f>
        <v/>
      </c>
      <c r="R55" s="94" t="str">
        <f>IF(ISTEXT($J55),INDEX(VDSL3[Afnameklanten met KM/TT (%)],MATCH($J55,VDSL3[Verdeelsleutel],0))*$P55,"")</f>
        <v/>
      </c>
      <c r="S55" s="95">
        <f>IF(ISTEXT($H55),INDEX(VDSL1[Injectie (%)],MATCH($H55,VDSL1[Verdeelsleutel],0))*$K55,"")</f>
        <v>0</v>
      </c>
      <c r="T55" s="563"/>
      <c r="U55" s="1"/>
      <c r="V55" s="1"/>
      <c r="AG55" s="60"/>
    </row>
    <row r="56" spans="1:33" ht="15" customHeight="1">
      <c r="A56" s="81" t="s">
        <v>51</v>
      </c>
      <c r="B56" s="82" t="s">
        <v>13</v>
      </c>
      <c r="C56" s="82" t="s">
        <v>10</v>
      </c>
      <c r="D56" s="82" t="s">
        <v>68</v>
      </c>
      <c r="E56" s="82" t="s">
        <v>85</v>
      </c>
      <c r="F56" s="82" t="s">
        <v>87</v>
      </c>
      <c r="G56" s="83" t="s">
        <v>505</v>
      </c>
      <c r="H56" s="181" t="s">
        <v>231</v>
      </c>
      <c r="I56" s="182" t="s">
        <v>315</v>
      </c>
      <c r="J56" s="82"/>
      <c r="K56" s="842"/>
      <c r="L56" s="95">
        <f>IF(ISTEXT($H56),INDEX(VDSL1[Afname (%)],MATCH($H56,VDSL1[Verdeelsleutel],0))*$K56,"")</f>
        <v>0</v>
      </c>
      <c r="M56" s="93" t="e">
        <f>IF(ISTEXT($I56),INDEX(VDSL2[TRHS (%)],MATCH($I56,VDSL2[Verdeelsleutel],0))*$L56,"")</f>
        <v>#VALUE!</v>
      </c>
      <c r="N56" s="93" t="e">
        <f>IF(ISTEXT($I56),INDEX(VDSL2[MS (%)],MATCH($I56,VDSL2[Verdeelsleutel],0))*$L56,"")</f>
        <v>#VALUE!</v>
      </c>
      <c r="O56" s="93" t="e">
        <f>IF(ISTEXT($I56),INDEX(VDSL2[TRLS (%)],MATCH($I56,VDSL2[Verdeelsleutel],0))*$L56,"")</f>
        <v>#VALUE!</v>
      </c>
      <c r="P56" s="93" t="e">
        <f>IF(ISTEXT($I56),INDEX(VDSL2[LS (%)],MATCH($I56,VDSL2[Verdeelsleutel],0))*$L56,"")</f>
        <v>#DIV/0!</v>
      </c>
      <c r="Q56" s="93" t="str">
        <f>IF(ISTEXT($J56),INDEX(VDSL3[Afnameklanten op LS met piekmeting (%)],MATCH($J56,VDSL3[Verdeelsleutel],0))*$P56,"")</f>
        <v/>
      </c>
      <c r="R56" s="94" t="str">
        <f>IF(ISTEXT($J56),INDEX(VDSL3[Afnameklanten met KM/TT (%)],MATCH($J56,VDSL3[Verdeelsleutel],0))*$P56,"")</f>
        <v/>
      </c>
      <c r="S56" s="95">
        <f>IF(ISTEXT($H56),INDEX(VDSL1[Injectie (%)],MATCH($H56,VDSL1[Verdeelsleutel],0))*$K56,"")</f>
        <v>0</v>
      </c>
      <c r="T56" s="563"/>
      <c r="U56" s="1"/>
      <c r="V56" s="1"/>
      <c r="AG56" s="60"/>
    </row>
    <row r="57" spans="1:33" ht="15" customHeight="1">
      <c r="A57" s="81" t="s">
        <v>51</v>
      </c>
      <c r="B57" s="82" t="s">
        <v>13</v>
      </c>
      <c r="C57" s="82" t="s">
        <v>10</v>
      </c>
      <c r="D57" s="82" t="s">
        <v>68</v>
      </c>
      <c r="E57" s="82" t="s">
        <v>85</v>
      </c>
      <c r="F57" s="82" t="s">
        <v>87</v>
      </c>
      <c r="G57" s="83" t="s">
        <v>55</v>
      </c>
      <c r="H57" s="181" t="s">
        <v>231</v>
      </c>
      <c r="I57" s="182" t="s">
        <v>315</v>
      </c>
      <c r="J57" s="82"/>
      <c r="K57" s="842"/>
      <c r="L57" s="95">
        <f>IF(ISTEXT($H57),INDEX(VDSL1[Afname (%)],MATCH($H57,VDSL1[Verdeelsleutel],0))*$K57,"")</f>
        <v>0</v>
      </c>
      <c r="M57" s="93" t="e">
        <f>IF(ISTEXT($I57),INDEX(VDSL2[TRHS (%)],MATCH($I57,VDSL2[Verdeelsleutel],0))*$L57,"")</f>
        <v>#VALUE!</v>
      </c>
      <c r="N57" s="93" t="e">
        <f>IF(ISTEXT($I57),INDEX(VDSL2[MS (%)],MATCH($I57,VDSL2[Verdeelsleutel],0))*$L57,"")</f>
        <v>#VALUE!</v>
      </c>
      <c r="O57" s="93" t="e">
        <f>IF(ISTEXT($I57),INDEX(VDSL2[TRLS (%)],MATCH($I57,VDSL2[Verdeelsleutel],0))*$L57,"")</f>
        <v>#VALUE!</v>
      </c>
      <c r="P57" s="93" t="e">
        <f>IF(ISTEXT($I57),INDEX(VDSL2[LS (%)],MATCH($I57,VDSL2[Verdeelsleutel],0))*$L57,"")</f>
        <v>#DIV/0!</v>
      </c>
      <c r="Q57" s="93" t="str">
        <f>IF(ISTEXT($J57),INDEX(VDSL3[Afnameklanten op LS met piekmeting (%)],MATCH($J57,VDSL3[Verdeelsleutel],0))*$P57,"")</f>
        <v/>
      </c>
      <c r="R57" s="94" t="str">
        <f>IF(ISTEXT($J57),INDEX(VDSL3[Afnameklanten met KM/TT (%)],MATCH($J57,VDSL3[Verdeelsleutel],0))*$P57,"")</f>
        <v/>
      </c>
      <c r="S57" s="95">
        <f>IF(ISTEXT($H57),INDEX(VDSL1[Injectie (%)],MATCH($H57,VDSL1[Verdeelsleutel],0))*$K57,"")</f>
        <v>0</v>
      </c>
      <c r="T57" s="563"/>
      <c r="U57" s="1"/>
      <c r="V57" s="1"/>
      <c r="AG57" s="60"/>
    </row>
    <row r="58" spans="1:33" ht="15" customHeight="1">
      <c r="A58" s="81" t="s">
        <v>83</v>
      </c>
      <c r="B58" s="82" t="s">
        <v>79</v>
      </c>
      <c r="C58" s="82" t="s">
        <v>22</v>
      </c>
      <c r="D58" s="82" t="s">
        <v>26</v>
      </c>
      <c r="E58" s="82" t="s">
        <v>85</v>
      </c>
      <c r="F58" s="82" t="s">
        <v>87</v>
      </c>
      <c r="G58" s="83" t="s">
        <v>245</v>
      </c>
      <c r="H58" s="181" t="s">
        <v>79</v>
      </c>
      <c r="I58" s="182" t="s">
        <v>79</v>
      </c>
      <c r="J58" s="82" t="s">
        <v>79</v>
      </c>
      <c r="K58" s="842"/>
      <c r="L58" s="95" t="e">
        <f>IF(ISTEXT($H58),INDEX(VDSL1[Afname (%)],MATCH($H58,VDSL1[Verdeelsleutel],0))*$K58,"")</f>
        <v>#VALUE!</v>
      </c>
      <c r="M58" s="93" t="e">
        <f>IF(ISTEXT($I58),INDEX(VDSL2[TRHS (%)],MATCH($I58,VDSL2[Verdeelsleutel],0))*$L58,"")</f>
        <v>#VALUE!</v>
      </c>
      <c r="N58" s="93" t="e">
        <f>IF(ISTEXT($I58),INDEX(VDSL2[MS (%)],MATCH($I58,VDSL2[Verdeelsleutel],0))*$L58,"")</f>
        <v>#VALUE!</v>
      </c>
      <c r="O58" s="93" t="e">
        <f>IF(ISTEXT($I58),INDEX(VDSL2[TRLS (%)],MATCH($I58,VDSL2[Verdeelsleutel],0))*$L58,"")</f>
        <v>#VALUE!</v>
      </c>
      <c r="P58" s="93" t="e">
        <f>IF(ISTEXT($I58),INDEX(VDSL2[LS (%)],MATCH($I58,VDSL2[Verdeelsleutel],0))*$L58,"")</f>
        <v>#VALUE!</v>
      </c>
      <c r="Q58" s="93" t="e">
        <f>IF(ISTEXT($J58),INDEX(VDSL3[Afnameklanten op LS met piekmeting (%)],MATCH($J58,VDSL3[Verdeelsleutel],0))*$P58,"")</f>
        <v>#VALUE!</v>
      </c>
      <c r="R58" s="94" t="e">
        <f>IF(ISTEXT($J58),INDEX(VDSL3[Afnameklanten met KM/TT (%)],MATCH($J58,VDSL3[Verdeelsleutel],0))*$P58,"")</f>
        <v>#VALUE!</v>
      </c>
      <c r="S58" s="95" t="e">
        <f>IF(ISTEXT($H58),INDEX(VDSL1[Injectie (%)],MATCH($H58,VDSL1[Verdeelsleutel],0))*$K58,"")</f>
        <v>#VALUE!</v>
      </c>
      <c r="T58" s="563"/>
      <c r="U58" s="1"/>
      <c r="V58" s="1"/>
      <c r="AG58" s="60"/>
    </row>
    <row r="59" spans="1:33" ht="15" customHeight="1">
      <c r="A59" s="81" t="s">
        <v>83</v>
      </c>
      <c r="B59" s="82" t="s">
        <v>79</v>
      </c>
      <c r="C59" s="82" t="s">
        <v>22</v>
      </c>
      <c r="D59" s="82" t="s">
        <v>68</v>
      </c>
      <c r="E59" s="82" t="s">
        <v>85</v>
      </c>
      <c r="F59" s="82" t="s">
        <v>87</v>
      </c>
      <c r="G59" s="83" t="s">
        <v>49</v>
      </c>
      <c r="H59" s="181" t="s">
        <v>79</v>
      </c>
      <c r="I59" s="182" t="s">
        <v>79</v>
      </c>
      <c r="J59" s="82" t="s">
        <v>79</v>
      </c>
      <c r="K59" s="842"/>
      <c r="L59" s="95" t="e">
        <f>IF(ISTEXT($H59),INDEX(VDSL1[Afname (%)],MATCH($H59,VDSL1[Verdeelsleutel],0))*$K59,"")</f>
        <v>#VALUE!</v>
      </c>
      <c r="M59" s="93" t="e">
        <f>IF(ISTEXT($I59),INDEX(VDSL2[TRHS (%)],MATCH($I59,VDSL2[Verdeelsleutel],0))*$L59,"")</f>
        <v>#VALUE!</v>
      </c>
      <c r="N59" s="93" t="e">
        <f>IF(ISTEXT($I59),INDEX(VDSL2[MS (%)],MATCH($I59,VDSL2[Verdeelsleutel],0))*$L59,"")</f>
        <v>#VALUE!</v>
      </c>
      <c r="O59" s="93" t="e">
        <f>IF(ISTEXT($I59),INDEX(VDSL2[TRLS (%)],MATCH($I59,VDSL2[Verdeelsleutel],0))*$L59,"")</f>
        <v>#VALUE!</v>
      </c>
      <c r="P59" s="93" t="e">
        <f>IF(ISTEXT($I59),INDEX(VDSL2[LS (%)],MATCH($I59,VDSL2[Verdeelsleutel],0))*$L59,"")</f>
        <v>#VALUE!</v>
      </c>
      <c r="Q59" s="93" t="e">
        <f>IF(ISTEXT($J59),INDEX(VDSL3[Afnameklanten op LS met piekmeting (%)],MATCH($J59,VDSL3[Verdeelsleutel],0))*$P59,"")</f>
        <v>#VALUE!</v>
      </c>
      <c r="R59" s="94" t="e">
        <f>IF(ISTEXT($J59),INDEX(VDSL3[Afnameklanten met KM/TT (%)],MATCH($J59,VDSL3[Verdeelsleutel],0))*$P59,"")</f>
        <v>#VALUE!</v>
      </c>
      <c r="S59" s="95" t="e">
        <f>IF(ISTEXT($H59),INDEX(VDSL1[Injectie (%)],MATCH($H59,VDSL1[Verdeelsleutel],0))*$K59,"")</f>
        <v>#VALUE!</v>
      </c>
      <c r="T59" s="563"/>
      <c r="U59" s="1"/>
      <c r="V59" s="1"/>
      <c r="AG59" s="60"/>
    </row>
    <row r="60" spans="1:33" ht="15" customHeight="1">
      <c r="A60" s="81" t="s">
        <v>83</v>
      </c>
      <c r="B60" s="82" t="s">
        <v>79</v>
      </c>
      <c r="C60" s="82" t="s">
        <v>22</v>
      </c>
      <c r="D60" s="82" t="s">
        <v>68</v>
      </c>
      <c r="E60" s="82" t="s">
        <v>85</v>
      </c>
      <c r="F60" s="82" t="s">
        <v>87</v>
      </c>
      <c r="G60" s="83" t="s">
        <v>321</v>
      </c>
      <c r="H60" s="181" t="s">
        <v>79</v>
      </c>
      <c r="I60" s="182" t="s">
        <v>79</v>
      </c>
      <c r="J60" s="82" t="s">
        <v>79</v>
      </c>
      <c r="K60" s="842"/>
      <c r="L60" s="95" t="e">
        <f>IF(ISTEXT($H60),INDEX(VDSL1[Afname (%)],MATCH($H60,VDSL1[Verdeelsleutel],0))*$K60,"")</f>
        <v>#VALUE!</v>
      </c>
      <c r="M60" s="93" t="e">
        <f>IF(ISTEXT($I60),INDEX(VDSL2[TRHS (%)],MATCH($I60,VDSL2[Verdeelsleutel],0))*$L60,"")</f>
        <v>#VALUE!</v>
      </c>
      <c r="N60" s="93" t="e">
        <f>IF(ISTEXT($I60),INDEX(VDSL2[MS (%)],MATCH($I60,VDSL2[Verdeelsleutel],0))*$L60,"")</f>
        <v>#VALUE!</v>
      </c>
      <c r="O60" s="93" t="e">
        <f>IF(ISTEXT($I60),INDEX(VDSL2[TRLS (%)],MATCH($I60,VDSL2[Verdeelsleutel],0))*$L60,"")</f>
        <v>#VALUE!</v>
      </c>
      <c r="P60" s="93" t="e">
        <f>IF(ISTEXT($I60),INDEX(VDSL2[LS (%)],MATCH($I60,VDSL2[Verdeelsleutel],0))*$L60,"")</f>
        <v>#VALUE!</v>
      </c>
      <c r="Q60" s="93" t="e">
        <f>IF(ISTEXT($J60),INDEX(VDSL3[Afnameklanten op LS met piekmeting (%)],MATCH($J60,VDSL3[Verdeelsleutel],0))*$P60,"")</f>
        <v>#VALUE!</v>
      </c>
      <c r="R60" s="94" t="e">
        <f>IF(ISTEXT($J60),INDEX(VDSL3[Afnameklanten met KM/TT (%)],MATCH($J60,VDSL3[Verdeelsleutel],0))*$P60,"")</f>
        <v>#VALUE!</v>
      </c>
      <c r="S60" s="95" t="e">
        <f>IF(ISTEXT($H60),INDEX(VDSL1[Injectie (%)],MATCH($H60,VDSL1[Verdeelsleutel],0))*$K60,"")</f>
        <v>#VALUE!</v>
      </c>
      <c r="T60" s="563"/>
      <c r="U60" s="1"/>
      <c r="V60" s="1"/>
      <c r="AG60" s="60"/>
    </row>
    <row r="61" spans="1:33" ht="15" customHeight="1">
      <c r="A61" s="81" t="s">
        <v>83</v>
      </c>
      <c r="B61" s="82" t="s">
        <v>80</v>
      </c>
      <c r="C61" s="82" t="s">
        <v>22</v>
      </c>
      <c r="D61" s="82" t="s">
        <v>68</v>
      </c>
      <c r="E61" s="82" t="s">
        <v>85</v>
      </c>
      <c r="F61" s="82" t="s">
        <v>87</v>
      </c>
      <c r="G61" s="83" t="s">
        <v>69</v>
      </c>
      <c r="H61" s="181" t="s">
        <v>231</v>
      </c>
      <c r="I61" s="182" t="s">
        <v>527</v>
      </c>
      <c r="J61" s="82" t="s">
        <v>14</v>
      </c>
      <c r="K61" s="842"/>
      <c r="L61" s="95">
        <f>IF(ISTEXT($H61),INDEX(VDSL1[Afname (%)],MATCH($H61,VDSL1[Verdeelsleutel],0))*$K61,"")</f>
        <v>0</v>
      </c>
      <c r="M61" s="93">
        <f>IF(ISTEXT($I61),INDEX(VDSL2[TRHS (%)],MATCH($I61,VDSL2[Verdeelsleutel],0))*$L61,"")</f>
        <v>0</v>
      </c>
      <c r="N61" s="93">
        <f>IF(ISTEXT($I61),INDEX(VDSL2[MS (%)],MATCH($I61,VDSL2[Verdeelsleutel],0))*$L61,"")</f>
        <v>0</v>
      </c>
      <c r="O61" s="93">
        <f>IF(ISTEXT($I61),INDEX(VDSL2[TRLS (%)],MATCH($I61,VDSL2[Verdeelsleutel],0))*$L61,"")</f>
        <v>0</v>
      </c>
      <c r="P61" s="93">
        <f>IF(ISTEXT($I61),INDEX(VDSL2[LS (%)],MATCH($I61,VDSL2[Verdeelsleutel],0))*$L61,"")</f>
        <v>0</v>
      </c>
      <c r="Q61" s="93" t="e">
        <f>IF(ISTEXT($J61),INDEX(VDSL3[Afnameklanten op LS met piekmeting (%)],MATCH($J61,VDSL3[Verdeelsleutel],0))*$P61,"")</f>
        <v>#DIV/0!</v>
      </c>
      <c r="R61" s="94" t="e">
        <f>IF(ISTEXT($J61),INDEX(VDSL3[Afnameklanten met KM/TT (%)],MATCH($J61,VDSL3[Verdeelsleutel],0))*$P61,"")</f>
        <v>#DIV/0!</v>
      </c>
      <c r="S61" s="95">
        <f>IF(ISTEXT($H61),INDEX(VDSL1[Injectie (%)],MATCH($H61,VDSL1[Verdeelsleutel],0))*$K61,"")</f>
        <v>0</v>
      </c>
      <c r="T61" s="563"/>
      <c r="U61" s="1"/>
      <c r="V61" s="1"/>
      <c r="AG61" s="60"/>
    </row>
    <row r="62" spans="1:33" ht="15" customHeight="1">
      <c r="A62" s="81" t="s">
        <v>83</v>
      </c>
      <c r="B62" s="82" t="s">
        <v>80</v>
      </c>
      <c r="C62" s="82" t="s">
        <v>22</v>
      </c>
      <c r="D62" s="82" t="s">
        <v>68</v>
      </c>
      <c r="E62" s="82" t="s">
        <v>85</v>
      </c>
      <c r="F62" s="82" t="s">
        <v>87</v>
      </c>
      <c r="G62" s="83" t="s">
        <v>70</v>
      </c>
      <c r="H62" s="181" t="s">
        <v>231</v>
      </c>
      <c r="I62" s="182" t="s">
        <v>527</v>
      </c>
      <c r="J62" s="82" t="s">
        <v>14</v>
      </c>
      <c r="K62" s="842"/>
      <c r="L62" s="95">
        <f>IF(ISTEXT($H62),INDEX(VDSL1[Afname (%)],MATCH($H62,VDSL1[Verdeelsleutel],0))*$K62,"")</f>
        <v>0</v>
      </c>
      <c r="M62" s="93">
        <f>IF(ISTEXT($I62),INDEX(VDSL2[TRHS (%)],MATCH($I62,VDSL2[Verdeelsleutel],0))*$L62,"")</f>
        <v>0</v>
      </c>
      <c r="N62" s="93">
        <f>IF(ISTEXT($I62),INDEX(VDSL2[MS (%)],MATCH($I62,VDSL2[Verdeelsleutel],0))*$L62,"")</f>
        <v>0</v>
      </c>
      <c r="O62" s="93">
        <f>IF(ISTEXT($I62),INDEX(VDSL2[TRLS (%)],MATCH($I62,VDSL2[Verdeelsleutel],0))*$L62,"")</f>
        <v>0</v>
      </c>
      <c r="P62" s="93">
        <f>IF(ISTEXT($I62),INDEX(VDSL2[LS (%)],MATCH($I62,VDSL2[Verdeelsleutel],0))*$L62,"")</f>
        <v>0</v>
      </c>
      <c r="Q62" s="93" t="e">
        <f>IF(ISTEXT($J62),INDEX(VDSL3[Afnameklanten op LS met piekmeting (%)],MATCH($J62,VDSL3[Verdeelsleutel],0))*$P62,"")</f>
        <v>#DIV/0!</v>
      </c>
      <c r="R62" s="94" t="e">
        <f>IF(ISTEXT($J62),INDEX(VDSL3[Afnameklanten met KM/TT (%)],MATCH($J62,VDSL3[Verdeelsleutel],0))*$P62,"")</f>
        <v>#DIV/0!</v>
      </c>
      <c r="S62" s="95">
        <f>IF(ISTEXT($H62),INDEX(VDSL1[Injectie (%)],MATCH($H62,VDSL1[Verdeelsleutel],0))*$K62,"")</f>
        <v>0</v>
      </c>
      <c r="T62" s="563"/>
      <c r="U62" s="1"/>
      <c r="V62" s="1"/>
      <c r="AG62" s="60"/>
    </row>
    <row r="63" spans="1:33" ht="15" customHeight="1">
      <c r="A63" s="81" t="s">
        <v>83</v>
      </c>
      <c r="B63" s="82" t="s">
        <v>80</v>
      </c>
      <c r="C63" s="82" t="s">
        <v>22</v>
      </c>
      <c r="D63" s="82" t="s">
        <v>68</v>
      </c>
      <c r="E63" s="82" t="s">
        <v>85</v>
      </c>
      <c r="F63" s="82" t="s">
        <v>87</v>
      </c>
      <c r="G63" s="83" t="s">
        <v>149</v>
      </c>
      <c r="H63" s="181" t="s">
        <v>231</v>
      </c>
      <c r="I63" s="182" t="s">
        <v>250</v>
      </c>
      <c r="J63" s="82" t="s">
        <v>14</v>
      </c>
      <c r="K63" s="842"/>
      <c r="L63" s="95">
        <f>IF(ISTEXT($H63),INDEX(VDSL1[Afname (%)],MATCH($H63,VDSL1[Verdeelsleutel],0))*$K63,"")</f>
        <v>0</v>
      </c>
      <c r="M63" s="93" t="e">
        <f>IF(ISTEXT($I63),INDEX(VDSL2[TRHS (%)],MATCH($I63,VDSL2[Verdeelsleutel],0))*$L63,"")</f>
        <v>#VALUE!</v>
      </c>
      <c r="N63" s="93" t="e">
        <f>IF(ISTEXT($I63),INDEX(VDSL2[MS (%)],MATCH($I63,VDSL2[Verdeelsleutel],0))*$L63,"")</f>
        <v>#VALUE!</v>
      </c>
      <c r="O63" s="93" t="e">
        <f>IF(ISTEXT($I63),INDEX(VDSL2[TRLS (%)],MATCH($I63,VDSL2[Verdeelsleutel],0))*$L63,"")</f>
        <v>#VALUE!</v>
      </c>
      <c r="P63" s="93" t="e">
        <f>IF(ISTEXT($I63),INDEX(VDSL2[LS (%)],MATCH($I63,VDSL2[Verdeelsleutel],0))*$L63,"")</f>
        <v>#VALUE!</v>
      </c>
      <c r="Q63" s="93" t="e">
        <f>IF(ISTEXT($J63),INDEX(VDSL3[Afnameklanten op LS met piekmeting (%)],MATCH($J63,VDSL3[Verdeelsleutel],0))*$P63,"")</f>
        <v>#DIV/0!</v>
      </c>
      <c r="R63" s="94" t="e">
        <f>IF(ISTEXT($J63),INDEX(VDSL3[Afnameklanten met KM/TT (%)],MATCH($J63,VDSL3[Verdeelsleutel],0))*$P63,"")</f>
        <v>#DIV/0!</v>
      </c>
      <c r="S63" s="95">
        <f>IF(ISTEXT($H63),INDEX(VDSL1[Injectie (%)],MATCH($H63,VDSL1[Verdeelsleutel],0))*$K63,"")</f>
        <v>0</v>
      </c>
      <c r="T63" s="563"/>
      <c r="U63" s="1"/>
      <c r="V63" s="1"/>
      <c r="AG63" s="60"/>
    </row>
    <row r="64" spans="1:33" ht="15" customHeight="1">
      <c r="A64" s="81" t="s">
        <v>83</v>
      </c>
      <c r="B64" s="82" t="s">
        <v>80</v>
      </c>
      <c r="C64" s="82" t="s">
        <v>10</v>
      </c>
      <c r="D64" s="82" t="s">
        <v>68</v>
      </c>
      <c r="E64" s="82" t="s">
        <v>85</v>
      </c>
      <c r="F64" s="82" t="s">
        <v>87</v>
      </c>
      <c r="G64" s="83" t="s">
        <v>149</v>
      </c>
      <c r="H64" s="181" t="s">
        <v>231</v>
      </c>
      <c r="I64" s="182" t="s">
        <v>250</v>
      </c>
      <c r="J64" s="82" t="s">
        <v>14</v>
      </c>
      <c r="K64" s="842"/>
      <c r="L64" s="95">
        <f>IF(ISTEXT($H64),INDEX(VDSL1[Afname (%)],MATCH($H64,VDSL1[Verdeelsleutel],0))*$K64,"")</f>
        <v>0</v>
      </c>
      <c r="M64" s="93" t="e">
        <f>IF(ISTEXT($I64),INDEX(VDSL2[TRHS (%)],MATCH($I64,VDSL2[Verdeelsleutel],0))*$L64,"")</f>
        <v>#VALUE!</v>
      </c>
      <c r="N64" s="93" t="e">
        <f>IF(ISTEXT($I64),INDEX(VDSL2[MS (%)],MATCH($I64,VDSL2[Verdeelsleutel],0))*$L64,"")</f>
        <v>#VALUE!</v>
      </c>
      <c r="O64" s="93" t="e">
        <f>IF(ISTEXT($I64),INDEX(VDSL2[TRLS (%)],MATCH($I64,VDSL2[Verdeelsleutel],0))*$L64,"")</f>
        <v>#VALUE!</v>
      </c>
      <c r="P64" s="93" t="e">
        <f>IF(ISTEXT($I64),INDEX(VDSL2[LS (%)],MATCH($I64,VDSL2[Verdeelsleutel],0))*$L64,"")</f>
        <v>#VALUE!</v>
      </c>
      <c r="Q64" s="93" t="e">
        <f>IF(ISTEXT($J64),INDEX(VDSL3[Afnameklanten op LS met piekmeting (%)],MATCH($J64,VDSL3[Verdeelsleutel],0))*$P64,"")</f>
        <v>#DIV/0!</v>
      </c>
      <c r="R64" s="94" t="e">
        <f>IF(ISTEXT($J64),INDEX(VDSL3[Afnameklanten met KM/TT (%)],MATCH($J64,VDSL3[Verdeelsleutel],0))*$P64,"")</f>
        <v>#DIV/0!</v>
      </c>
      <c r="S64" s="95">
        <f>IF(ISTEXT($H64),INDEX(VDSL1[Injectie (%)],MATCH($H64,VDSL1[Verdeelsleutel],0))*$K64,"")</f>
        <v>0</v>
      </c>
      <c r="T64" s="563"/>
      <c r="U64" s="1"/>
      <c r="V64" s="1"/>
      <c r="AG64" s="60"/>
    </row>
    <row r="65" spans="1:33" ht="15" customHeight="1">
      <c r="A65" s="81" t="s">
        <v>83</v>
      </c>
      <c r="B65" s="82" t="s">
        <v>80</v>
      </c>
      <c r="C65" s="82" t="s">
        <v>22</v>
      </c>
      <c r="D65" s="82" t="s">
        <v>68</v>
      </c>
      <c r="E65" s="82" t="s">
        <v>85</v>
      </c>
      <c r="F65" s="82" t="s">
        <v>87</v>
      </c>
      <c r="G65" s="83" t="s">
        <v>72</v>
      </c>
      <c r="H65" s="181" t="s">
        <v>231</v>
      </c>
      <c r="I65" s="182" t="s">
        <v>250</v>
      </c>
      <c r="J65" s="82" t="s">
        <v>14</v>
      </c>
      <c r="K65" s="842"/>
      <c r="L65" s="95">
        <f>IF(ISTEXT($H65),INDEX(VDSL1[Afname (%)],MATCH($H65,VDSL1[Verdeelsleutel],0))*$K65,"")</f>
        <v>0</v>
      </c>
      <c r="M65" s="93" t="e">
        <f>IF(ISTEXT($I65),INDEX(VDSL2[TRHS (%)],MATCH($I65,VDSL2[Verdeelsleutel],0))*$L65,"")</f>
        <v>#VALUE!</v>
      </c>
      <c r="N65" s="93" t="e">
        <f>IF(ISTEXT($I65),INDEX(VDSL2[MS (%)],MATCH($I65,VDSL2[Verdeelsleutel],0))*$L65,"")</f>
        <v>#VALUE!</v>
      </c>
      <c r="O65" s="93" t="e">
        <f>IF(ISTEXT($I65),INDEX(VDSL2[TRLS (%)],MATCH($I65,VDSL2[Verdeelsleutel],0))*$L65,"")</f>
        <v>#VALUE!</v>
      </c>
      <c r="P65" s="93" t="e">
        <f>IF(ISTEXT($I65),INDEX(VDSL2[LS (%)],MATCH($I65,VDSL2[Verdeelsleutel],0))*$L65,"")</f>
        <v>#VALUE!</v>
      </c>
      <c r="Q65" s="93" t="e">
        <f>IF(ISTEXT($J65),INDEX(VDSL3[Afnameklanten op LS met piekmeting (%)],MATCH($J65,VDSL3[Verdeelsleutel],0))*$P65,"")</f>
        <v>#DIV/0!</v>
      </c>
      <c r="R65" s="94" t="e">
        <f>IF(ISTEXT($J65),INDEX(VDSL3[Afnameklanten met KM/TT (%)],MATCH($J65,VDSL3[Verdeelsleutel],0))*$P65,"")</f>
        <v>#DIV/0!</v>
      </c>
      <c r="S65" s="95">
        <f>IF(ISTEXT($H65),INDEX(VDSL1[Injectie (%)],MATCH($H65,VDSL1[Verdeelsleutel],0))*$K65,"")</f>
        <v>0</v>
      </c>
      <c r="T65" s="1213"/>
      <c r="U65" s="1"/>
      <c r="V65" s="1"/>
      <c r="W65" s="1213"/>
      <c r="X65" s="1213"/>
      <c r="Y65" s="1213"/>
      <c r="Z65" s="1213"/>
      <c r="AA65" s="1213"/>
      <c r="AB65" s="1213"/>
      <c r="AC65" s="1213"/>
      <c r="AD65" s="1213"/>
      <c r="AE65" s="1213"/>
      <c r="AF65" s="1213"/>
      <c r="AG65" s="60"/>
    </row>
    <row r="66" spans="1:33" ht="15" customHeight="1">
      <c r="A66" s="81" t="s">
        <v>83</v>
      </c>
      <c r="B66" s="82" t="s">
        <v>80</v>
      </c>
      <c r="C66" s="82" t="s">
        <v>10</v>
      </c>
      <c r="D66" s="82" t="s">
        <v>68</v>
      </c>
      <c r="E66" s="82" t="s">
        <v>85</v>
      </c>
      <c r="F66" s="82" t="s">
        <v>87</v>
      </c>
      <c r="G66" s="83" t="s">
        <v>72</v>
      </c>
      <c r="H66" s="181" t="s">
        <v>231</v>
      </c>
      <c r="I66" s="182" t="s">
        <v>250</v>
      </c>
      <c r="J66" s="82" t="s">
        <v>14</v>
      </c>
      <c r="K66" s="842"/>
      <c r="L66" s="95">
        <f>IF(ISTEXT($H66),INDEX(VDSL1[Afname (%)],MATCH($H66,VDSL1[Verdeelsleutel],0))*$K66,"")</f>
        <v>0</v>
      </c>
      <c r="M66" s="93" t="e">
        <f>IF(ISTEXT($I66),INDEX(VDSL2[TRHS (%)],MATCH($I66,VDSL2[Verdeelsleutel],0))*$L66,"")</f>
        <v>#VALUE!</v>
      </c>
      <c r="N66" s="93" t="e">
        <f>IF(ISTEXT($I66),INDEX(VDSL2[MS (%)],MATCH($I66,VDSL2[Verdeelsleutel],0))*$L66,"")</f>
        <v>#VALUE!</v>
      </c>
      <c r="O66" s="93" t="e">
        <f>IF(ISTEXT($I66),INDEX(VDSL2[TRLS (%)],MATCH($I66,VDSL2[Verdeelsleutel],0))*$L66,"")</f>
        <v>#VALUE!</v>
      </c>
      <c r="P66" s="93" t="e">
        <f>IF(ISTEXT($I66),INDEX(VDSL2[LS (%)],MATCH($I66,VDSL2[Verdeelsleutel],0))*$L66,"")</f>
        <v>#VALUE!</v>
      </c>
      <c r="Q66" s="93" t="e">
        <f>IF(ISTEXT($J66),INDEX(VDSL3[Afnameklanten op LS met piekmeting (%)],MATCH($J66,VDSL3[Verdeelsleutel],0))*$P66,"")</f>
        <v>#DIV/0!</v>
      </c>
      <c r="R66" s="94" t="e">
        <f>IF(ISTEXT($J66),INDEX(VDSL3[Afnameklanten met KM/TT (%)],MATCH($J66,VDSL3[Verdeelsleutel],0))*$P66,"")</f>
        <v>#DIV/0!</v>
      </c>
      <c r="S66" s="95">
        <f>IF(ISTEXT($H66),INDEX(VDSL1[Injectie (%)],MATCH($H66,VDSL1[Verdeelsleutel],0))*$K66,"")</f>
        <v>0</v>
      </c>
      <c r="T66" s="563"/>
      <c r="U66" s="1"/>
      <c r="V66" s="1"/>
      <c r="AG66" s="60"/>
    </row>
    <row r="67" spans="1:33" ht="15" customHeight="1">
      <c r="A67" s="81" t="s">
        <v>83</v>
      </c>
      <c r="B67" s="82" t="s">
        <v>80</v>
      </c>
      <c r="C67" s="82" t="s">
        <v>22</v>
      </c>
      <c r="D67" s="82" t="s">
        <v>68</v>
      </c>
      <c r="E67" s="82" t="s">
        <v>85</v>
      </c>
      <c r="F67" s="82" t="s">
        <v>87</v>
      </c>
      <c r="G67" s="83" t="s">
        <v>71</v>
      </c>
      <c r="H67" s="181" t="s">
        <v>231</v>
      </c>
      <c r="I67" s="182" t="s">
        <v>250</v>
      </c>
      <c r="J67" s="82" t="s">
        <v>14</v>
      </c>
      <c r="K67" s="842"/>
      <c r="L67" s="95">
        <f>IF(ISTEXT($H67),INDEX(VDSL1[Afname (%)],MATCH($H67,VDSL1[Verdeelsleutel],0))*$K67,"")</f>
        <v>0</v>
      </c>
      <c r="M67" s="93" t="e">
        <f>IF(ISTEXT($I67),INDEX(VDSL2[TRHS (%)],MATCH($I67,VDSL2[Verdeelsleutel],0))*$L67,"")</f>
        <v>#VALUE!</v>
      </c>
      <c r="N67" s="93" t="e">
        <f>IF(ISTEXT($I67),INDEX(VDSL2[MS (%)],MATCH($I67,VDSL2[Verdeelsleutel],0))*$L67,"")</f>
        <v>#VALUE!</v>
      </c>
      <c r="O67" s="93" t="e">
        <f>IF(ISTEXT($I67),INDEX(VDSL2[TRLS (%)],MATCH($I67,VDSL2[Verdeelsleutel],0))*$L67,"")</f>
        <v>#VALUE!</v>
      </c>
      <c r="P67" s="93" t="e">
        <f>IF(ISTEXT($I67),INDEX(VDSL2[LS (%)],MATCH($I67,VDSL2[Verdeelsleutel],0))*$L67,"")</f>
        <v>#VALUE!</v>
      </c>
      <c r="Q67" s="93" t="e">
        <f>IF(ISTEXT($J67),INDEX(VDSL3[Afnameklanten op LS met piekmeting (%)],MATCH($J67,VDSL3[Verdeelsleutel],0))*$P67,"")</f>
        <v>#DIV/0!</v>
      </c>
      <c r="R67" s="94" t="e">
        <f>IF(ISTEXT($J67),INDEX(VDSL3[Afnameklanten met KM/TT (%)],MATCH($J67,VDSL3[Verdeelsleutel],0))*$P67,"")</f>
        <v>#DIV/0!</v>
      </c>
      <c r="S67" s="95">
        <f>IF(ISTEXT($H67),INDEX(VDSL1[Injectie (%)],MATCH($H67,VDSL1[Verdeelsleutel],0))*$K67,"")</f>
        <v>0</v>
      </c>
      <c r="T67" s="563"/>
      <c r="U67" s="1"/>
      <c r="V67" s="1"/>
      <c r="AG67" s="60"/>
    </row>
    <row r="68" spans="1:33" ht="15" customHeight="1">
      <c r="A68" s="81" t="s">
        <v>83</v>
      </c>
      <c r="B68" s="82" t="s">
        <v>80</v>
      </c>
      <c r="C68" s="82" t="s">
        <v>10</v>
      </c>
      <c r="D68" s="82" t="s">
        <v>63</v>
      </c>
      <c r="E68" s="82" t="s">
        <v>85</v>
      </c>
      <c r="F68" s="82" t="s">
        <v>87</v>
      </c>
      <c r="G68" s="368" t="s">
        <v>65</v>
      </c>
      <c r="H68" s="181" t="s">
        <v>231</v>
      </c>
      <c r="I68" s="182" t="s">
        <v>18</v>
      </c>
      <c r="J68" s="82" t="s">
        <v>14</v>
      </c>
      <c r="K68" s="842"/>
      <c r="L68" s="95">
        <f>IF(ISTEXT($H68),INDEX(VDSL1[Afname (%)],MATCH($H68,VDSL1[Verdeelsleutel],0))*$K68,"")</f>
        <v>0</v>
      </c>
      <c r="M68" s="93" t="e">
        <f>IF(ISTEXT($I68),INDEX(VDSL2[TRHS (%)],MATCH($I68,VDSL2[Verdeelsleutel],0))*$L68,"")</f>
        <v>#VALUE!</v>
      </c>
      <c r="N68" s="93" t="e">
        <f>IF(ISTEXT($I68),INDEX(VDSL2[MS (%)],MATCH($I68,VDSL2[Verdeelsleutel],0))*$L68,"")</f>
        <v>#VALUE!</v>
      </c>
      <c r="O68" s="93" t="e">
        <f>IF(ISTEXT($I68),INDEX(VDSL2[TRLS (%)],MATCH($I68,VDSL2[Verdeelsleutel],0))*$L68,"")</f>
        <v>#VALUE!</v>
      </c>
      <c r="P68" s="93" t="e">
        <f>IF(ISTEXT($I68),INDEX(VDSL2[LS (%)],MATCH($I68,VDSL2[Verdeelsleutel],0))*$L68,"")</f>
        <v>#VALUE!</v>
      </c>
      <c r="Q68" s="93" t="e">
        <f>IF(ISTEXT($J68),INDEX(VDSL3[Afnameklanten op LS met piekmeting (%)],MATCH($J68,VDSL3[Verdeelsleutel],0))*$P68,"")</f>
        <v>#DIV/0!</v>
      </c>
      <c r="R68" s="94" t="e">
        <f>IF(ISTEXT($J68),INDEX(VDSL3[Afnameklanten met KM/TT (%)],MATCH($J68,VDSL3[Verdeelsleutel],0))*$P68,"")</f>
        <v>#DIV/0!</v>
      </c>
      <c r="S68" s="95">
        <f>IF(ISTEXT($H68),INDEX(VDSL1[Injectie (%)],MATCH($H68,VDSL1[Verdeelsleutel],0))*$K68,"")</f>
        <v>0</v>
      </c>
      <c r="T68" s="563"/>
      <c r="U68" s="1"/>
      <c r="V68" s="1"/>
      <c r="AG68" s="60"/>
    </row>
    <row r="69" spans="1:33" ht="15" customHeight="1">
      <c r="A69" s="81" t="s">
        <v>83</v>
      </c>
      <c r="B69" s="82" t="s">
        <v>9</v>
      </c>
      <c r="C69" s="82" t="s">
        <v>10</v>
      </c>
      <c r="D69" s="82" t="s">
        <v>68</v>
      </c>
      <c r="E69" s="82" t="s">
        <v>85</v>
      </c>
      <c r="F69" s="82" t="s">
        <v>87</v>
      </c>
      <c r="G69" s="83" t="s">
        <v>75</v>
      </c>
      <c r="H69" s="181" t="s">
        <v>231</v>
      </c>
      <c r="I69" s="182" t="s">
        <v>251</v>
      </c>
      <c r="J69" s="82" t="s">
        <v>14</v>
      </c>
      <c r="K69" s="842"/>
      <c r="L69" s="95">
        <f>IF(ISTEXT($H69),INDEX(VDSL1[Afname (%)],MATCH($H69,VDSL1[Verdeelsleutel],0))*$K69,"")</f>
        <v>0</v>
      </c>
      <c r="M69" s="93" t="e">
        <f>IF(ISTEXT($I69),INDEX(VDSL2[TRHS (%)],MATCH($I69,VDSL2[Verdeelsleutel],0))*$L69,"")</f>
        <v>#VALUE!</v>
      </c>
      <c r="N69" s="93" t="e">
        <f>IF(ISTEXT($I69),INDEX(VDSL2[MS (%)],MATCH($I69,VDSL2[Verdeelsleutel],0))*$L69,"")</f>
        <v>#VALUE!</v>
      </c>
      <c r="O69" s="93" t="e">
        <f>IF(ISTEXT($I69),INDEX(VDSL2[TRLS (%)],MATCH($I69,VDSL2[Verdeelsleutel],0))*$L69,"")</f>
        <v>#VALUE!</v>
      </c>
      <c r="P69" s="93" t="e">
        <f>IF(ISTEXT($I69),INDEX(VDSL2[LS (%)],MATCH($I69,VDSL2[Verdeelsleutel],0))*$L69,"")</f>
        <v>#VALUE!</v>
      </c>
      <c r="Q69" s="93" t="e">
        <f>IF(ISTEXT($J69),INDEX(VDSL3[Afnameklanten op LS met piekmeting (%)],MATCH($J69,VDSL3[Verdeelsleutel],0))*$P69,"")</f>
        <v>#DIV/0!</v>
      </c>
      <c r="R69" s="94" t="e">
        <f>IF(ISTEXT($J69),INDEX(VDSL3[Afnameklanten met KM/TT (%)],MATCH($J69,VDSL3[Verdeelsleutel],0))*$P69,"")</f>
        <v>#DIV/0!</v>
      </c>
      <c r="S69" s="95">
        <f>IF(ISTEXT($H69),INDEX(VDSL1[Injectie (%)],MATCH($H69,VDSL1[Verdeelsleutel],0))*$K69,"")</f>
        <v>0</v>
      </c>
      <c r="T69" s="563"/>
      <c r="U69" s="1"/>
      <c r="V69" s="1"/>
      <c r="AG69" s="60"/>
    </row>
    <row r="70" spans="1:33" ht="15" customHeight="1">
      <c r="A70" s="81" t="s">
        <v>83</v>
      </c>
      <c r="B70" s="82" t="s">
        <v>9</v>
      </c>
      <c r="C70" s="82" t="s">
        <v>10</v>
      </c>
      <c r="D70" s="82" t="s">
        <v>68</v>
      </c>
      <c r="E70" s="82" t="s">
        <v>85</v>
      </c>
      <c r="F70" s="82" t="s">
        <v>87</v>
      </c>
      <c r="G70" s="83" t="s">
        <v>76</v>
      </c>
      <c r="H70" s="181" t="s">
        <v>231</v>
      </c>
      <c r="I70" s="182" t="s">
        <v>251</v>
      </c>
      <c r="J70" s="82" t="s">
        <v>14</v>
      </c>
      <c r="K70" s="842"/>
      <c r="L70" s="95">
        <f>IF(ISTEXT($H70),INDEX(VDSL1[Afname (%)],MATCH($H70,VDSL1[Verdeelsleutel],0))*$K70,"")</f>
        <v>0</v>
      </c>
      <c r="M70" s="93" t="e">
        <f>IF(ISTEXT($I70),INDEX(VDSL2[TRHS (%)],MATCH($I70,VDSL2[Verdeelsleutel],0))*$L70,"")</f>
        <v>#VALUE!</v>
      </c>
      <c r="N70" s="93" t="e">
        <f>IF(ISTEXT($I70),INDEX(VDSL2[MS (%)],MATCH($I70,VDSL2[Verdeelsleutel],0))*$L70,"")</f>
        <v>#VALUE!</v>
      </c>
      <c r="O70" s="93" t="e">
        <f>IF(ISTEXT($I70),INDEX(VDSL2[TRLS (%)],MATCH($I70,VDSL2[Verdeelsleutel],0))*$L70,"")</f>
        <v>#VALUE!</v>
      </c>
      <c r="P70" s="93" t="e">
        <f>IF(ISTEXT($I70),INDEX(VDSL2[LS (%)],MATCH($I70,VDSL2[Verdeelsleutel],0))*$L70,"")</f>
        <v>#VALUE!</v>
      </c>
      <c r="Q70" s="93" t="e">
        <f>IF(ISTEXT($J70),INDEX(VDSL3[Afnameklanten op LS met piekmeting (%)],MATCH($J70,VDSL3[Verdeelsleutel],0))*$P70,"")</f>
        <v>#DIV/0!</v>
      </c>
      <c r="R70" s="94" t="e">
        <f>IF(ISTEXT($J70),INDEX(VDSL3[Afnameklanten met KM/TT (%)],MATCH($J70,VDSL3[Verdeelsleutel],0))*$P70,"")</f>
        <v>#DIV/0!</v>
      </c>
      <c r="S70" s="95">
        <f>IF(ISTEXT($H70),INDEX(VDSL1[Injectie (%)],MATCH($H70,VDSL1[Verdeelsleutel],0))*$K70,"")</f>
        <v>0</v>
      </c>
      <c r="T70" s="563"/>
      <c r="U70" s="1"/>
      <c r="V70" s="1"/>
      <c r="AG70" s="60"/>
    </row>
    <row r="71" spans="1:33" ht="15" customHeight="1">
      <c r="A71" s="81" t="s">
        <v>83</v>
      </c>
      <c r="B71" s="82" t="s">
        <v>9</v>
      </c>
      <c r="C71" s="82" t="s">
        <v>10</v>
      </c>
      <c r="D71" s="82" t="s">
        <v>68</v>
      </c>
      <c r="E71" s="82" t="s">
        <v>85</v>
      </c>
      <c r="F71" s="82" t="s">
        <v>87</v>
      </c>
      <c r="G71" s="83" t="s">
        <v>74</v>
      </c>
      <c r="H71" s="181" t="s">
        <v>231</v>
      </c>
      <c r="I71" s="182" t="s">
        <v>251</v>
      </c>
      <c r="J71" s="82" t="s">
        <v>14</v>
      </c>
      <c r="K71" s="842"/>
      <c r="L71" s="95">
        <f>IF(ISTEXT($H71),INDEX(VDSL1[Afname (%)],MATCH($H71,VDSL1[Verdeelsleutel],0))*$K71,"")</f>
        <v>0</v>
      </c>
      <c r="M71" s="93" t="e">
        <f>IF(ISTEXT($I71),INDEX(VDSL2[TRHS (%)],MATCH($I71,VDSL2[Verdeelsleutel],0))*$L71,"")</f>
        <v>#VALUE!</v>
      </c>
      <c r="N71" s="93" t="e">
        <f>IF(ISTEXT($I71),INDEX(VDSL2[MS (%)],MATCH($I71,VDSL2[Verdeelsleutel],0))*$L71,"")</f>
        <v>#VALUE!</v>
      </c>
      <c r="O71" s="93" t="e">
        <f>IF(ISTEXT($I71),INDEX(VDSL2[TRLS (%)],MATCH($I71,VDSL2[Verdeelsleutel],0))*$L71,"")</f>
        <v>#VALUE!</v>
      </c>
      <c r="P71" s="93" t="e">
        <f>IF(ISTEXT($I71),INDEX(VDSL2[LS (%)],MATCH($I71,VDSL2[Verdeelsleutel],0))*$L71,"")</f>
        <v>#VALUE!</v>
      </c>
      <c r="Q71" s="93" t="e">
        <f>IF(ISTEXT($J71),INDEX(VDSL3[Afnameklanten op LS met piekmeting (%)],MATCH($J71,VDSL3[Verdeelsleutel],0))*$P71,"")</f>
        <v>#DIV/0!</v>
      </c>
      <c r="R71" s="94" t="e">
        <f>IF(ISTEXT($J71),INDEX(VDSL3[Afnameklanten met KM/TT (%)],MATCH($J71,VDSL3[Verdeelsleutel],0))*$P71,"")</f>
        <v>#DIV/0!</v>
      </c>
      <c r="S71" s="95">
        <f>IF(ISTEXT($H71),INDEX(VDSL1[Injectie (%)],MATCH($H71,VDSL1[Verdeelsleutel],0))*$K71,"")</f>
        <v>0</v>
      </c>
      <c r="T71" s="563"/>
      <c r="U71" s="1"/>
      <c r="V71" s="1"/>
      <c r="AG71" s="60"/>
    </row>
    <row r="72" spans="1:33" ht="15" customHeight="1">
      <c r="A72" s="81" t="s">
        <v>83</v>
      </c>
      <c r="B72" s="82" t="s">
        <v>9</v>
      </c>
      <c r="C72" s="82" t="s">
        <v>10</v>
      </c>
      <c r="D72" s="82" t="s">
        <v>63</v>
      </c>
      <c r="E72" s="82" t="s">
        <v>85</v>
      </c>
      <c r="F72" s="82" t="s">
        <v>87</v>
      </c>
      <c r="G72" s="83" t="s">
        <v>66</v>
      </c>
      <c r="H72" s="181" t="s">
        <v>231</v>
      </c>
      <c r="I72" s="182" t="s">
        <v>251</v>
      </c>
      <c r="J72" s="82" t="s">
        <v>14</v>
      </c>
      <c r="K72" s="842"/>
      <c r="L72" s="95">
        <f>IF(ISTEXT($H72),INDEX(VDSL1[Afname (%)],MATCH($H72,VDSL1[Verdeelsleutel],0))*$K72,"")</f>
        <v>0</v>
      </c>
      <c r="M72" s="93" t="e">
        <f>IF(ISTEXT($I72),INDEX(VDSL2[TRHS (%)],MATCH($I72,VDSL2[Verdeelsleutel],0))*$L72,"")</f>
        <v>#VALUE!</v>
      </c>
      <c r="N72" s="93" t="e">
        <f>IF(ISTEXT($I72),INDEX(VDSL2[MS (%)],MATCH($I72,VDSL2[Verdeelsleutel],0))*$L72,"")</f>
        <v>#VALUE!</v>
      </c>
      <c r="O72" s="93" t="e">
        <f>IF(ISTEXT($I72),INDEX(VDSL2[TRLS (%)],MATCH($I72,VDSL2[Verdeelsleutel],0))*$L72,"")</f>
        <v>#VALUE!</v>
      </c>
      <c r="P72" s="93" t="e">
        <f>IF(ISTEXT($I72),INDEX(VDSL2[LS (%)],MATCH($I72,VDSL2[Verdeelsleutel],0))*$L72,"")</f>
        <v>#VALUE!</v>
      </c>
      <c r="Q72" s="93" t="e">
        <f>IF(ISTEXT($J72),INDEX(VDSL3[Afnameklanten op LS met piekmeting (%)],MATCH($J72,VDSL3[Verdeelsleutel],0))*$P72,"")</f>
        <v>#DIV/0!</v>
      </c>
      <c r="R72" s="94" t="e">
        <f>IF(ISTEXT($J72),INDEX(VDSL3[Afnameklanten met KM/TT (%)],MATCH($J72,VDSL3[Verdeelsleutel],0))*$P72,"")</f>
        <v>#DIV/0!</v>
      </c>
      <c r="S72" s="95">
        <f>IF(ISTEXT($H72),INDEX(VDSL1[Injectie (%)],MATCH($H72,VDSL1[Verdeelsleutel],0))*$K72,"")</f>
        <v>0</v>
      </c>
      <c r="T72" s="563"/>
      <c r="U72" s="1"/>
      <c r="V72" s="1"/>
      <c r="AG72" s="60"/>
    </row>
    <row r="73" spans="1:33" ht="15" customHeight="1">
      <c r="A73" s="81" t="s">
        <v>51</v>
      </c>
      <c r="B73" s="82" t="s">
        <v>81</v>
      </c>
      <c r="C73" s="82" t="s">
        <v>10</v>
      </c>
      <c r="D73" s="82" t="s">
        <v>68</v>
      </c>
      <c r="E73" s="82" t="s">
        <v>85</v>
      </c>
      <c r="F73" s="82" t="s">
        <v>87</v>
      </c>
      <c r="G73" s="83" t="s">
        <v>502</v>
      </c>
      <c r="H73" s="181" t="s">
        <v>231</v>
      </c>
      <c r="I73" s="182" t="s">
        <v>14</v>
      </c>
      <c r="J73" s="82" t="s">
        <v>14</v>
      </c>
      <c r="K73" s="842"/>
      <c r="L73" s="95">
        <f>IF(ISTEXT($H73),INDEX(VDSL1[Afname (%)],MATCH($H73,VDSL1[Verdeelsleutel],0))*$K73,"")</f>
        <v>0</v>
      </c>
      <c r="M73" s="93" t="e">
        <f>IF(ISTEXT($I73),INDEX(VDSL2[TRHS (%)],MATCH($I73,VDSL2[Verdeelsleutel],0))*$L73,"")</f>
        <v>#DIV/0!</v>
      </c>
      <c r="N73" s="93" t="e">
        <f>IF(ISTEXT($I73),INDEX(VDSL2[MS (%)],MATCH($I73,VDSL2[Verdeelsleutel],0))*$L73,"")</f>
        <v>#DIV/0!</v>
      </c>
      <c r="O73" s="93" t="e">
        <f>IF(ISTEXT($I73),INDEX(VDSL2[TRLS (%)],MATCH($I73,VDSL2[Verdeelsleutel],0))*$L73,"")</f>
        <v>#DIV/0!</v>
      </c>
      <c r="P73" s="93" t="e">
        <f>IF(ISTEXT($I73),INDEX(VDSL2[LS (%)],MATCH($I73,VDSL2[Verdeelsleutel],0))*$L73,"")</f>
        <v>#DIV/0!</v>
      </c>
      <c r="Q73" s="93" t="e">
        <f>IF(ISTEXT($J73),INDEX(VDSL3[Afnameklanten op LS met piekmeting (%)],MATCH($J73,VDSL3[Verdeelsleutel],0))*$P73,"")</f>
        <v>#DIV/0!</v>
      </c>
      <c r="R73" s="94" t="e">
        <f>IF(ISTEXT($J73),INDEX(VDSL3[Afnameklanten met KM/TT (%)],MATCH($J73,VDSL3[Verdeelsleutel],0))*$P73,"")</f>
        <v>#DIV/0!</v>
      </c>
      <c r="S73" s="95">
        <f>IF(ISTEXT($H73),INDEX(VDSL1[Injectie (%)],MATCH($H73,VDSL1[Verdeelsleutel],0))*$K73,"")</f>
        <v>0</v>
      </c>
      <c r="T73" s="563"/>
      <c r="U73" s="1"/>
      <c r="V73" s="1"/>
      <c r="AG73" s="60"/>
    </row>
    <row r="74" spans="1:33" ht="15" customHeight="1">
      <c r="A74" s="81" t="s">
        <v>51</v>
      </c>
      <c r="B74" s="82" t="s">
        <v>81</v>
      </c>
      <c r="C74" s="82" t="s">
        <v>10</v>
      </c>
      <c r="D74" s="82" t="s">
        <v>68</v>
      </c>
      <c r="E74" s="82" t="s">
        <v>85</v>
      </c>
      <c r="F74" s="82" t="s">
        <v>87</v>
      </c>
      <c r="G74" s="83" t="s">
        <v>503</v>
      </c>
      <c r="H74" s="181" t="s">
        <v>231</v>
      </c>
      <c r="I74" s="182" t="s">
        <v>14</v>
      </c>
      <c r="J74" s="82" t="s">
        <v>14</v>
      </c>
      <c r="K74" s="842"/>
      <c r="L74" s="95">
        <f>IF(ISTEXT($H74),INDEX(VDSL1[Afname (%)],MATCH($H74,VDSL1[Verdeelsleutel],0))*$K74,"")</f>
        <v>0</v>
      </c>
      <c r="M74" s="93" t="e">
        <f>IF(ISTEXT($I74),INDEX(VDSL2[TRHS (%)],MATCH($I74,VDSL2[Verdeelsleutel],0))*$L74,"")</f>
        <v>#DIV/0!</v>
      </c>
      <c r="N74" s="93" t="e">
        <f>IF(ISTEXT($I74),INDEX(VDSL2[MS (%)],MATCH($I74,VDSL2[Verdeelsleutel],0))*$L74,"")</f>
        <v>#DIV/0!</v>
      </c>
      <c r="O74" s="93" t="e">
        <f>IF(ISTEXT($I74),INDEX(VDSL2[TRLS (%)],MATCH($I74,VDSL2[Verdeelsleutel],0))*$L74,"")</f>
        <v>#DIV/0!</v>
      </c>
      <c r="P74" s="93" t="e">
        <f>IF(ISTEXT($I74),INDEX(VDSL2[LS (%)],MATCH($I74,VDSL2[Verdeelsleutel],0))*$L74,"")</f>
        <v>#DIV/0!</v>
      </c>
      <c r="Q74" s="93" t="e">
        <f>IF(ISTEXT($J74),INDEX(VDSL3[Afnameklanten op LS met piekmeting (%)],MATCH($J74,VDSL3[Verdeelsleutel],0))*$P74,"")</f>
        <v>#DIV/0!</v>
      </c>
      <c r="R74" s="94" t="e">
        <f>IF(ISTEXT($J74),INDEX(VDSL3[Afnameklanten met KM/TT (%)],MATCH($J74,VDSL3[Verdeelsleutel],0))*$P74,"")</f>
        <v>#DIV/0!</v>
      </c>
      <c r="S74" s="95">
        <f>IF(ISTEXT($H74),INDEX(VDSL1[Injectie (%)],MATCH($H74,VDSL1[Verdeelsleutel],0))*$K74,"")</f>
        <v>0</v>
      </c>
      <c r="T74" s="563"/>
      <c r="U74" s="1"/>
      <c r="V74" s="1"/>
      <c r="AG74" s="60"/>
    </row>
    <row r="75" spans="1:33" ht="15" customHeight="1">
      <c r="A75" s="81" t="s">
        <v>51</v>
      </c>
      <c r="B75" s="82" t="s">
        <v>81</v>
      </c>
      <c r="C75" s="82" t="s">
        <v>22</v>
      </c>
      <c r="D75" s="82" t="s">
        <v>68</v>
      </c>
      <c r="E75" s="82" t="s">
        <v>85</v>
      </c>
      <c r="F75" s="82" t="s">
        <v>87</v>
      </c>
      <c r="G75" s="83" t="s">
        <v>321</v>
      </c>
      <c r="H75" s="181" t="s">
        <v>231</v>
      </c>
      <c r="I75" s="182" t="s">
        <v>14</v>
      </c>
      <c r="J75" s="82" t="s">
        <v>14</v>
      </c>
      <c r="K75" s="842"/>
      <c r="L75" s="95">
        <f>IF(ISTEXT($H75),INDEX(VDSL1[Afname (%)],MATCH($H75,VDSL1[Verdeelsleutel],0))*$K75,"")</f>
        <v>0</v>
      </c>
      <c r="M75" s="93" t="e">
        <f>IF(ISTEXT($I75),INDEX(VDSL2[TRHS (%)],MATCH($I75,VDSL2[Verdeelsleutel],0))*$L75,"")</f>
        <v>#DIV/0!</v>
      </c>
      <c r="N75" s="93" t="e">
        <f>IF(ISTEXT($I75),INDEX(VDSL2[MS (%)],MATCH($I75,VDSL2[Verdeelsleutel],0))*$L75,"")</f>
        <v>#DIV/0!</v>
      </c>
      <c r="O75" s="93" t="e">
        <f>IF(ISTEXT($I75),INDEX(VDSL2[TRLS (%)],MATCH($I75,VDSL2[Verdeelsleutel],0))*$L75,"")</f>
        <v>#DIV/0!</v>
      </c>
      <c r="P75" s="93" t="e">
        <f>IF(ISTEXT($I75),INDEX(VDSL2[LS (%)],MATCH($I75,VDSL2[Verdeelsleutel],0))*$L75,"")</f>
        <v>#DIV/0!</v>
      </c>
      <c r="Q75" s="93" t="e">
        <f>IF(ISTEXT($J75),INDEX(VDSL3[Afnameklanten op LS met piekmeting (%)],MATCH($J75,VDSL3[Verdeelsleutel],0))*$P75,"")</f>
        <v>#DIV/0!</v>
      </c>
      <c r="R75" s="94" t="e">
        <f>IF(ISTEXT($J75),INDEX(VDSL3[Afnameklanten met KM/TT (%)],MATCH($J75,VDSL3[Verdeelsleutel],0))*$P75,"")</f>
        <v>#DIV/0!</v>
      </c>
      <c r="S75" s="95">
        <f>IF(ISTEXT($H75),INDEX(VDSL1[Injectie (%)],MATCH($H75,VDSL1[Verdeelsleutel],0))*$K75,"")</f>
        <v>0</v>
      </c>
      <c r="T75" s="563"/>
      <c r="U75" s="1"/>
      <c r="V75" s="1"/>
      <c r="AG75" s="60"/>
    </row>
    <row r="76" spans="1:33" ht="15" customHeight="1">
      <c r="A76" s="81" t="s">
        <v>51</v>
      </c>
      <c r="B76" s="82" t="s">
        <v>81</v>
      </c>
      <c r="C76" s="82" t="s">
        <v>10</v>
      </c>
      <c r="D76" s="82" t="s">
        <v>68</v>
      </c>
      <c r="E76" s="82" t="s">
        <v>85</v>
      </c>
      <c r="F76" s="82" t="s">
        <v>87</v>
      </c>
      <c r="G76" s="83" t="s">
        <v>57</v>
      </c>
      <c r="H76" s="181" t="s">
        <v>231</v>
      </c>
      <c r="I76" s="182" t="s">
        <v>14</v>
      </c>
      <c r="J76" s="82" t="s">
        <v>14</v>
      </c>
      <c r="K76" s="842"/>
      <c r="L76" s="95">
        <f>IF(ISTEXT($H76),INDEX(VDSL1[Afname (%)],MATCH($H76,VDSL1[Verdeelsleutel],0))*$K76,"")</f>
        <v>0</v>
      </c>
      <c r="M76" s="93" t="e">
        <f>IF(ISTEXT($I76),INDEX(VDSL2[TRHS (%)],MATCH($I76,VDSL2[Verdeelsleutel],0))*$L76,"")</f>
        <v>#DIV/0!</v>
      </c>
      <c r="N76" s="93" t="e">
        <f>IF(ISTEXT($I76),INDEX(VDSL2[MS (%)],MATCH($I76,VDSL2[Verdeelsleutel],0))*$L76,"")</f>
        <v>#DIV/0!</v>
      </c>
      <c r="O76" s="93" t="e">
        <f>IF(ISTEXT($I76),INDEX(VDSL2[TRLS (%)],MATCH($I76,VDSL2[Verdeelsleutel],0))*$L76,"")</f>
        <v>#DIV/0!</v>
      </c>
      <c r="P76" s="93" t="e">
        <f>IF(ISTEXT($I76),INDEX(VDSL2[LS (%)],MATCH($I76,VDSL2[Verdeelsleutel],0))*$L76,"")</f>
        <v>#DIV/0!</v>
      </c>
      <c r="Q76" s="93" t="e">
        <f>IF(ISTEXT($J76),INDEX(VDSL3[Afnameklanten op LS met piekmeting (%)],MATCH($J76,VDSL3[Verdeelsleutel],0))*$P76,"")</f>
        <v>#DIV/0!</v>
      </c>
      <c r="R76" s="94" t="e">
        <f>IF(ISTEXT($J76),INDEX(VDSL3[Afnameklanten met KM/TT (%)],MATCH($J76,VDSL3[Verdeelsleutel],0))*$P76,"")</f>
        <v>#DIV/0!</v>
      </c>
      <c r="S76" s="95">
        <f>IF(ISTEXT($H76),INDEX(VDSL1[Injectie (%)],MATCH($H76,VDSL1[Verdeelsleutel],0))*$K76,"")</f>
        <v>0</v>
      </c>
      <c r="T76" s="563"/>
      <c r="U76" s="1"/>
      <c r="V76" s="1"/>
      <c r="AG76" s="60"/>
    </row>
    <row r="77" spans="1:33" ht="15" customHeight="1">
      <c r="A77" s="81" t="s">
        <v>51</v>
      </c>
      <c r="B77" s="82" t="s">
        <v>81</v>
      </c>
      <c r="C77" s="82" t="s">
        <v>10</v>
      </c>
      <c r="D77" s="82" t="s">
        <v>68</v>
      </c>
      <c r="E77" s="82" t="s">
        <v>85</v>
      </c>
      <c r="F77" s="82" t="s">
        <v>87</v>
      </c>
      <c r="G77" s="83" t="s">
        <v>56</v>
      </c>
      <c r="H77" s="181" t="s">
        <v>231</v>
      </c>
      <c r="I77" s="182" t="s">
        <v>14</v>
      </c>
      <c r="J77" s="82" t="s">
        <v>14</v>
      </c>
      <c r="K77" s="842"/>
      <c r="L77" s="95">
        <f>IF(ISTEXT($H77),INDEX(VDSL1[Afname (%)],MATCH($H77,VDSL1[Verdeelsleutel],0))*$K77,"")</f>
        <v>0</v>
      </c>
      <c r="M77" s="93" t="e">
        <f>IF(ISTEXT($I77),INDEX(VDSL2[TRHS (%)],MATCH($I77,VDSL2[Verdeelsleutel],0))*$L77,"")</f>
        <v>#DIV/0!</v>
      </c>
      <c r="N77" s="93" t="e">
        <f>IF(ISTEXT($I77),INDEX(VDSL2[MS (%)],MATCH($I77,VDSL2[Verdeelsleutel],0))*$L77,"")</f>
        <v>#DIV/0!</v>
      </c>
      <c r="O77" s="93" t="e">
        <f>IF(ISTEXT($I77),INDEX(VDSL2[TRLS (%)],MATCH($I77,VDSL2[Verdeelsleutel],0))*$L77,"")</f>
        <v>#DIV/0!</v>
      </c>
      <c r="P77" s="93" t="e">
        <f>IF(ISTEXT($I77),INDEX(VDSL2[LS (%)],MATCH($I77,VDSL2[Verdeelsleutel],0))*$L77,"")</f>
        <v>#DIV/0!</v>
      </c>
      <c r="Q77" s="93" t="e">
        <f>IF(ISTEXT($J77),INDEX(VDSL3[Afnameklanten op LS met piekmeting (%)],MATCH($J77,VDSL3[Verdeelsleutel],0))*$P77,"")</f>
        <v>#DIV/0!</v>
      </c>
      <c r="R77" s="94" t="e">
        <f>IF(ISTEXT($J77),INDEX(VDSL3[Afnameklanten met KM/TT (%)],MATCH($J77,VDSL3[Verdeelsleutel],0))*$P77,"")</f>
        <v>#DIV/0!</v>
      </c>
      <c r="S77" s="95">
        <f>IF(ISTEXT($H77),INDEX(VDSL1[Injectie (%)],MATCH($H77,VDSL1[Verdeelsleutel],0))*$K77,"")</f>
        <v>0</v>
      </c>
      <c r="T77" s="563"/>
      <c r="U77" s="1"/>
      <c r="V77" s="1"/>
      <c r="AG77" s="60"/>
    </row>
    <row r="78" spans="1:33" ht="15" customHeight="1">
      <c r="A78" s="81" t="s">
        <v>51</v>
      </c>
      <c r="B78" s="82" t="s">
        <v>81</v>
      </c>
      <c r="C78" s="82" t="s">
        <v>10</v>
      </c>
      <c r="D78" s="82" t="s">
        <v>68</v>
      </c>
      <c r="E78" s="82" t="s">
        <v>85</v>
      </c>
      <c r="F78" s="82" t="s">
        <v>87</v>
      </c>
      <c r="G78" s="83" t="s">
        <v>21</v>
      </c>
      <c r="H78" s="181" t="s">
        <v>231</v>
      </c>
      <c r="I78" s="182" t="s">
        <v>14</v>
      </c>
      <c r="J78" s="82" t="s">
        <v>14</v>
      </c>
      <c r="K78" s="842"/>
      <c r="L78" s="95">
        <f>IF(ISTEXT($H78),INDEX(VDSL1[Afname (%)],MATCH($H78,VDSL1[Verdeelsleutel],0))*$K78,"")</f>
        <v>0</v>
      </c>
      <c r="M78" s="93" t="e">
        <f>IF(ISTEXT($I78),INDEX(VDSL2[TRHS (%)],MATCH($I78,VDSL2[Verdeelsleutel],0))*$L78,"")</f>
        <v>#DIV/0!</v>
      </c>
      <c r="N78" s="93" t="e">
        <f>IF(ISTEXT($I78),INDEX(VDSL2[MS (%)],MATCH($I78,VDSL2[Verdeelsleutel],0))*$L78,"")</f>
        <v>#DIV/0!</v>
      </c>
      <c r="O78" s="93" t="e">
        <f>IF(ISTEXT($I78),INDEX(VDSL2[TRLS (%)],MATCH($I78,VDSL2[Verdeelsleutel],0))*$L78,"")</f>
        <v>#DIV/0!</v>
      </c>
      <c r="P78" s="93" t="e">
        <f>IF(ISTEXT($I78),INDEX(VDSL2[LS (%)],MATCH($I78,VDSL2[Verdeelsleutel],0))*$L78,"")</f>
        <v>#DIV/0!</v>
      </c>
      <c r="Q78" s="93" t="e">
        <f>IF(ISTEXT($J78),INDEX(VDSL3[Afnameklanten op LS met piekmeting (%)],MATCH($J78,VDSL3[Verdeelsleutel],0))*$P78,"")</f>
        <v>#DIV/0!</v>
      </c>
      <c r="R78" s="94" t="e">
        <f>IF(ISTEXT($J78),INDEX(VDSL3[Afnameklanten met KM/TT (%)],MATCH($J78,VDSL3[Verdeelsleutel],0))*$P78,"")</f>
        <v>#DIV/0!</v>
      </c>
      <c r="S78" s="95">
        <f>IF(ISTEXT($H78),INDEX(VDSL1[Injectie (%)],MATCH($H78,VDSL1[Verdeelsleutel],0))*$K78,"")</f>
        <v>0</v>
      </c>
      <c r="T78" s="563"/>
      <c r="U78" s="1"/>
      <c r="V78" s="1"/>
      <c r="AG78" s="60"/>
    </row>
    <row r="79" spans="1:33" ht="15" customHeight="1">
      <c r="A79" s="81" t="s">
        <v>51</v>
      </c>
      <c r="B79" s="82" t="s">
        <v>81</v>
      </c>
      <c r="C79" s="82" t="s">
        <v>10</v>
      </c>
      <c r="D79" s="82" t="s">
        <v>68</v>
      </c>
      <c r="E79" s="82" t="s">
        <v>85</v>
      </c>
      <c r="F79" s="82" t="s">
        <v>87</v>
      </c>
      <c r="G79" s="83" t="s">
        <v>60</v>
      </c>
      <c r="H79" s="181" t="s">
        <v>231</v>
      </c>
      <c r="I79" s="182" t="s">
        <v>14</v>
      </c>
      <c r="J79" s="82" t="s">
        <v>14</v>
      </c>
      <c r="K79" s="842"/>
      <c r="L79" s="95">
        <f>IF(ISTEXT($H79),INDEX(VDSL1[Afname (%)],MATCH($H79,VDSL1[Verdeelsleutel],0))*$K79,"")</f>
        <v>0</v>
      </c>
      <c r="M79" s="93" t="e">
        <f>IF(ISTEXT($I79),INDEX(VDSL2[TRHS (%)],MATCH($I79,VDSL2[Verdeelsleutel],0))*$L79,"")</f>
        <v>#DIV/0!</v>
      </c>
      <c r="N79" s="93" t="e">
        <f>IF(ISTEXT($I79),INDEX(VDSL2[MS (%)],MATCH($I79,VDSL2[Verdeelsleutel],0))*$L79,"")</f>
        <v>#DIV/0!</v>
      </c>
      <c r="O79" s="93" t="e">
        <f>IF(ISTEXT($I79),INDEX(VDSL2[TRLS (%)],MATCH($I79,VDSL2[Verdeelsleutel],0))*$L79,"")</f>
        <v>#DIV/0!</v>
      </c>
      <c r="P79" s="93" t="e">
        <f>IF(ISTEXT($I79),INDEX(VDSL2[LS (%)],MATCH($I79,VDSL2[Verdeelsleutel],0))*$L79,"")</f>
        <v>#DIV/0!</v>
      </c>
      <c r="Q79" s="93" t="e">
        <f>IF(ISTEXT($J79),INDEX(VDSL3[Afnameklanten op LS met piekmeting (%)],MATCH($J79,VDSL3[Verdeelsleutel],0))*$P79,"")</f>
        <v>#DIV/0!</v>
      </c>
      <c r="R79" s="94" t="e">
        <f>IF(ISTEXT($J79),INDEX(VDSL3[Afnameklanten met KM/TT (%)],MATCH($J79,VDSL3[Verdeelsleutel],0))*$P79,"")</f>
        <v>#DIV/0!</v>
      </c>
      <c r="S79" s="95">
        <f>IF(ISTEXT($H79),INDEX(VDSL1[Injectie (%)],MATCH($H79,VDSL1[Verdeelsleutel],0))*$K79,"")</f>
        <v>0</v>
      </c>
      <c r="T79" s="563"/>
      <c r="U79" s="1"/>
      <c r="V79" s="1"/>
      <c r="AG79" s="60"/>
    </row>
    <row r="80" spans="1:33" ht="15" customHeight="1">
      <c r="A80" s="81" t="s">
        <v>51</v>
      </c>
      <c r="B80" s="82" t="s">
        <v>81</v>
      </c>
      <c r="C80" s="82" t="s">
        <v>10</v>
      </c>
      <c r="D80" s="82" t="s">
        <v>68</v>
      </c>
      <c r="E80" s="82" t="s">
        <v>85</v>
      </c>
      <c r="F80" s="82" t="s">
        <v>87</v>
      </c>
      <c r="G80" s="83" t="s">
        <v>59</v>
      </c>
      <c r="H80" s="181" t="s">
        <v>231</v>
      </c>
      <c r="I80" s="182" t="s">
        <v>14</v>
      </c>
      <c r="J80" s="82" t="s">
        <v>14</v>
      </c>
      <c r="K80" s="842"/>
      <c r="L80" s="95">
        <f>IF(ISTEXT($H80),INDEX(VDSL1[Afname (%)],MATCH($H80,VDSL1[Verdeelsleutel],0))*$K80,"")</f>
        <v>0</v>
      </c>
      <c r="M80" s="93" t="e">
        <f>IF(ISTEXT($I80),INDEX(VDSL2[TRHS (%)],MATCH($I80,VDSL2[Verdeelsleutel],0))*$L80,"")</f>
        <v>#DIV/0!</v>
      </c>
      <c r="N80" s="93" t="e">
        <f>IF(ISTEXT($I80),INDEX(VDSL2[MS (%)],MATCH($I80,VDSL2[Verdeelsleutel],0))*$L80,"")</f>
        <v>#DIV/0!</v>
      </c>
      <c r="O80" s="93" t="e">
        <f>IF(ISTEXT($I80),INDEX(VDSL2[TRLS (%)],MATCH($I80,VDSL2[Verdeelsleutel],0))*$L80,"")</f>
        <v>#DIV/0!</v>
      </c>
      <c r="P80" s="93" t="e">
        <f>IF(ISTEXT($I80),INDEX(VDSL2[LS (%)],MATCH($I80,VDSL2[Verdeelsleutel],0))*$L80,"")</f>
        <v>#DIV/0!</v>
      </c>
      <c r="Q80" s="93" t="e">
        <f>IF(ISTEXT($J80),INDEX(VDSL3[Afnameklanten op LS met piekmeting (%)],MATCH($J80,VDSL3[Verdeelsleutel],0))*$P80,"")</f>
        <v>#DIV/0!</v>
      </c>
      <c r="R80" s="94" t="e">
        <f>IF(ISTEXT($J80),INDEX(VDSL3[Afnameklanten met KM/TT (%)],MATCH($J80,VDSL3[Verdeelsleutel],0))*$P80,"")</f>
        <v>#DIV/0!</v>
      </c>
      <c r="S80" s="95">
        <f>IF(ISTEXT($H80),INDEX(VDSL1[Injectie (%)],MATCH($H80,VDSL1[Verdeelsleutel],0))*$K80,"")</f>
        <v>0</v>
      </c>
      <c r="T80" s="563"/>
      <c r="U80" s="1"/>
      <c r="V80" s="1"/>
      <c r="AG80" s="60"/>
    </row>
    <row r="81" spans="1:33" ht="15" customHeight="1">
      <c r="A81" s="81" t="s">
        <v>51</v>
      </c>
      <c r="B81" s="82" t="s">
        <v>81</v>
      </c>
      <c r="C81" s="82" t="s">
        <v>10</v>
      </c>
      <c r="D81" s="82" t="s">
        <v>68</v>
      </c>
      <c r="E81" s="82" t="s">
        <v>85</v>
      </c>
      <c r="F81" s="82" t="s">
        <v>87</v>
      </c>
      <c r="G81" s="83" t="s">
        <v>246</v>
      </c>
      <c r="H81" s="181" t="s">
        <v>231</v>
      </c>
      <c r="I81" s="182" t="s">
        <v>14</v>
      </c>
      <c r="J81" s="82" t="s">
        <v>14</v>
      </c>
      <c r="K81" s="842"/>
      <c r="L81" s="95">
        <f>IF(ISTEXT($H81),INDEX(VDSL1[Afname (%)],MATCH($H81,VDSL1[Verdeelsleutel],0))*$K81,"")</f>
        <v>0</v>
      </c>
      <c r="M81" s="93" t="e">
        <f>IF(ISTEXT($I81),INDEX(VDSL2[TRHS (%)],MATCH($I81,VDSL2[Verdeelsleutel],0))*$L81,"")</f>
        <v>#DIV/0!</v>
      </c>
      <c r="N81" s="93" t="e">
        <f>IF(ISTEXT($I81),INDEX(VDSL2[MS (%)],MATCH($I81,VDSL2[Verdeelsleutel],0))*$L81,"")</f>
        <v>#DIV/0!</v>
      </c>
      <c r="O81" s="93" t="e">
        <f>IF(ISTEXT($I81),INDEX(VDSL2[TRLS (%)],MATCH($I81,VDSL2[Verdeelsleutel],0))*$L81,"")</f>
        <v>#DIV/0!</v>
      </c>
      <c r="P81" s="93" t="e">
        <f>IF(ISTEXT($I81),INDEX(VDSL2[LS (%)],MATCH($I81,VDSL2[Verdeelsleutel],0))*$L81,"")</f>
        <v>#DIV/0!</v>
      </c>
      <c r="Q81" s="93" t="e">
        <f>IF(ISTEXT($J81),INDEX(VDSL3[Afnameklanten op LS met piekmeting (%)],MATCH($J81,VDSL3[Verdeelsleutel],0))*$P81,"")</f>
        <v>#DIV/0!</v>
      </c>
      <c r="R81" s="94" t="e">
        <f>IF(ISTEXT($J81),INDEX(VDSL3[Afnameklanten met KM/TT (%)],MATCH($J81,VDSL3[Verdeelsleutel],0))*$P81,"")</f>
        <v>#DIV/0!</v>
      </c>
      <c r="S81" s="95">
        <f>IF(ISTEXT($H81),INDEX(VDSL1[Injectie (%)],MATCH($H81,VDSL1[Verdeelsleutel],0))*$K81,"")</f>
        <v>0</v>
      </c>
      <c r="T81" s="563"/>
      <c r="U81" s="1"/>
      <c r="V81" s="1"/>
      <c r="AG81" s="60"/>
    </row>
    <row r="82" spans="1:33" ht="15" customHeight="1">
      <c r="A82" s="81" t="s">
        <v>51</v>
      </c>
      <c r="B82" s="82" t="s">
        <v>81</v>
      </c>
      <c r="C82" s="82" t="s">
        <v>10</v>
      </c>
      <c r="D82" s="82" t="s">
        <v>63</v>
      </c>
      <c r="E82" s="82" t="s">
        <v>85</v>
      </c>
      <c r="F82" s="82" t="s">
        <v>87</v>
      </c>
      <c r="G82" s="83" t="s">
        <v>67</v>
      </c>
      <c r="H82" s="181" t="s">
        <v>231</v>
      </c>
      <c r="I82" s="182" t="s">
        <v>14</v>
      </c>
      <c r="J82" s="82" t="s">
        <v>14</v>
      </c>
      <c r="K82" s="842"/>
      <c r="L82" s="95">
        <f>IF(ISTEXT($H82),INDEX(VDSL1[Afname (%)],MATCH($H82,VDSL1[Verdeelsleutel],0))*$K82,"")</f>
        <v>0</v>
      </c>
      <c r="M82" s="93" t="e">
        <f>IF(ISTEXT($I82),INDEX(VDSL2[TRHS (%)],MATCH($I82,VDSL2[Verdeelsleutel],0))*$L82,"")</f>
        <v>#DIV/0!</v>
      </c>
      <c r="N82" s="93" t="e">
        <f>IF(ISTEXT($I82),INDEX(VDSL2[MS (%)],MATCH($I82,VDSL2[Verdeelsleutel],0))*$L82,"")</f>
        <v>#DIV/0!</v>
      </c>
      <c r="O82" s="93" t="e">
        <f>IF(ISTEXT($I82),INDEX(VDSL2[TRLS (%)],MATCH($I82,VDSL2[Verdeelsleutel],0))*$L82,"")</f>
        <v>#DIV/0!</v>
      </c>
      <c r="P82" s="93" t="e">
        <f>IF(ISTEXT($I82),INDEX(VDSL2[LS (%)],MATCH($I82,VDSL2[Verdeelsleutel],0))*$L82,"")</f>
        <v>#DIV/0!</v>
      </c>
      <c r="Q82" s="93" t="e">
        <f>IF(ISTEXT($J82),INDEX(VDSL3[Afnameklanten op LS met piekmeting (%)],MATCH($J82,VDSL3[Verdeelsleutel],0))*$P82,"")</f>
        <v>#DIV/0!</v>
      </c>
      <c r="R82" s="94" t="e">
        <f>IF(ISTEXT($J82),INDEX(VDSL3[Afnameklanten met KM/TT (%)],MATCH($J82,VDSL3[Verdeelsleutel],0))*$P82,"")</f>
        <v>#DIV/0!</v>
      </c>
      <c r="S82" s="95">
        <f>IF(ISTEXT($H82),INDEX(VDSL1[Injectie (%)],MATCH($H82,VDSL1[Verdeelsleutel],0))*$K82,"")</f>
        <v>0</v>
      </c>
      <c r="T82" s="563"/>
      <c r="U82" s="1"/>
      <c r="V82" s="1"/>
      <c r="AG82" s="60"/>
    </row>
    <row r="83" spans="1:33" ht="15" customHeight="1">
      <c r="A83" s="736"/>
      <c r="B83" s="846"/>
      <c r="C83" s="846"/>
      <c r="D83" s="846"/>
      <c r="E83" s="846"/>
      <c r="F83" s="846"/>
      <c r="G83" s="847"/>
      <c r="H83" s="616"/>
      <c r="I83" s="617"/>
      <c r="J83" s="846"/>
      <c r="K83" s="842"/>
      <c r="L83" s="844" t="str">
        <f>IF(ISTEXT($H83),INDEX(VDSL1[Afname (%)],MATCH($H83,VDSL1[Verdeelsleutel],0))*$K83,"")</f>
        <v/>
      </c>
      <c r="M83" s="754" t="str">
        <f>IF(ISTEXT($I83),INDEX(VDSL2[TRHS (%)],MATCH($I83,VDSL2[Verdeelsleutel],0))*$L83,"")</f>
        <v/>
      </c>
      <c r="N83" s="754" t="str">
        <f>IF(ISTEXT($I83),INDEX(VDSL2[MS (%)],MATCH($I83,VDSL2[Verdeelsleutel],0))*$L83,"")</f>
        <v/>
      </c>
      <c r="O83" s="754" t="str">
        <f>IF(ISTEXT($I83),INDEX(VDSL2[TRLS (%)],MATCH($I83,VDSL2[Verdeelsleutel],0))*$L83,"")</f>
        <v/>
      </c>
      <c r="P83" s="754" t="str">
        <f>IF(ISTEXT($I83),INDEX(VDSL2[LS (%)],MATCH($I83,VDSL2[Verdeelsleutel],0))*$L83,"")</f>
        <v/>
      </c>
      <c r="Q83" s="754" t="str">
        <f>IF(ISTEXT($J83),INDEX(VDSL3[Afnameklanten op LS met piekmeting (%)],MATCH($J83,VDSL3[Verdeelsleutel],0))*$P83,"")</f>
        <v/>
      </c>
      <c r="R83" s="755" t="str">
        <f>IF(ISTEXT($J83),INDEX(VDSL3[Afnameklanten met KM/TT (%)],MATCH($J83,VDSL3[Verdeelsleutel],0))*$P83,"")</f>
        <v/>
      </c>
      <c r="S83" s="844" t="str">
        <f>IF(ISTEXT($H83),INDEX(VDSL1[Injectie (%)],MATCH($H83,VDSL1[Verdeelsleutel],0))*$K83,"")</f>
        <v/>
      </c>
      <c r="T83" s="563"/>
      <c r="U83" s="1"/>
      <c r="V83" s="1"/>
      <c r="AG83" s="60"/>
    </row>
    <row r="84" spans="1:33" ht="15" customHeight="1">
      <c r="A84" s="736"/>
      <c r="B84" s="846"/>
      <c r="C84" s="846"/>
      <c r="D84" s="846"/>
      <c r="E84" s="846"/>
      <c r="F84" s="846"/>
      <c r="G84" s="847"/>
      <c r="H84" s="616"/>
      <c r="I84" s="617"/>
      <c r="J84" s="846"/>
      <c r="K84" s="842"/>
      <c r="L84" s="844" t="str">
        <f>IF(ISTEXT($H84),INDEX(VDSL1[Afname (%)],MATCH($H84,VDSL1[Verdeelsleutel],0))*$K84,"")</f>
        <v/>
      </c>
      <c r="M84" s="754" t="str">
        <f>IF(ISTEXT($I84),INDEX(VDSL2[TRHS (%)],MATCH($I84,VDSL2[Verdeelsleutel],0))*$L84,"")</f>
        <v/>
      </c>
      <c r="N84" s="754" t="str">
        <f>IF(ISTEXT($I84),INDEX(VDSL2[MS (%)],MATCH($I84,VDSL2[Verdeelsleutel],0))*$L84,"")</f>
        <v/>
      </c>
      <c r="O84" s="754" t="str">
        <f>IF(ISTEXT($I84),INDEX(VDSL2[TRLS (%)],MATCH($I84,VDSL2[Verdeelsleutel],0))*$L84,"")</f>
        <v/>
      </c>
      <c r="P84" s="754" t="str">
        <f>IF(ISTEXT($I84),INDEX(VDSL2[LS (%)],MATCH($I84,VDSL2[Verdeelsleutel],0))*$L84,"")</f>
        <v/>
      </c>
      <c r="Q84" s="754" t="str">
        <f>IF(ISTEXT($J84),INDEX(VDSL3[Afnameklanten op LS met piekmeting (%)],MATCH($J84,VDSL3[Verdeelsleutel],0))*$P84,"")</f>
        <v/>
      </c>
      <c r="R84" s="755" t="str">
        <f>IF(ISTEXT($J84),INDEX(VDSL3[Afnameklanten met KM/TT (%)],MATCH($J84,VDSL3[Verdeelsleutel],0))*$P84,"")</f>
        <v/>
      </c>
      <c r="S84" s="844" t="str">
        <f>IF(ISTEXT($H84),INDEX(VDSL1[Injectie (%)],MATCH($H84,VDSL1[Verdeelsleutel],0))*$K84,"")</f>
        <v/>
      </c>
      <c r="T84" s="563"/>
      <c r="U84" s="1"/>
      <c r="V84" s="1"/>
      <c r="AG84" s="60"/>
    </row>
    <row r="85" spans="1:33" ht="15" customHeight="1">
      <c r="A85" s="736"/>
      <c r="B85" s="846"/>
      <c r="C85" s="846"/>
      <c r="D85" s="846"/>
      <c r="E85" s="846"/>
      <c r="F85" s="846"/>
      <c r="G85" s="847"/>
      <c r="H85" s="616"/>
      <c r="I85" s="617"/>
      <c r="J85" s="846"/>
      <c r="K85" s="842"/>
      <c r="L85" s="844" t="str">
        <f>IF(ISTEXT($H85),INDEX(VDSL1[Afname (%)],MATCH($H85,VDSL1[Verdeelsleutel],0))*$K85,"")</f>
        <v/>
      </c>
      <c r="M85" s="754" t="str">
        <f>IF(ISTEXT($I85),INDEX(VDSL2[TRHS (%)],MATCH($I85,VDSL2[Verdeelsleutel],0))*$L85,"")</f>
        <v/>
      </c>
      <c r="N85" s="754" t="str">
        <f>IF(ISTEXT($I85),INDEX(VDSL2[MS (%)],MATCH($I85,VDSL2[Verdeelsleutel],0))*$L85,"")</f>
        <v/>
      </c>
      <c r="O85" s="754" t="str">
        <f>IF(ISTEXT($I85),INDEX(VDSL2[TRLS (%)],MATCH($I85,VDSL2[Verdeelsleutel],0))*$L85,"")</f>
        <v/>
      </c>
      <c r="P85" s="754" t="str">
        <f>IF(ISTEXT($I85),INDEX(VDSL2[LS (%)],MATCH($I85,VDSL2[Verdeelsleutel],0))*$L85,"")</f>
        <v/>
      </c>
      <c r="Q85" s="754" t="str">
        <f>IF(ISTEXT($J85),INDEX(VDSL3[Afnameklanten op LS met piekmeting (%)],MATCH($J85,VDSL3[Verdeelsleutel],0))*$P85,"")</f>
        <v/>
      </c>
      <c r="R85" s="755" t="str">
        <f>IF(ISTEXT($J85),INDEX(VDSL3[Afnameklanten met KM/TT (%)],MATCH($J85,VDSL3[Verdeelsleutel],0))*$P85,"")</f>
        <v/>
      </c>
      <c r="S85" s="844" t="str">
        <f>IF(ISTEXT($H85),INDEX(VDSL1[Injectie (%)],MATCH($H85,VDSL1[Verdeelsleutel],0))*$K85,"")</f>
        <v/>
      </c>
      <c r="T85" s="563"/>
      <c r="U85" s="1"/>
      <c r="V85" s="1"/>
      <c r="AG85" s="60"/>
    </row>
    <row r="86" spans="1:33" ht="15" customHeight="1">
      <c r="A86" s="736"/>
      <c r="B86" s="846"/>
      <c r="C86" s="846"/>
      <c r="D86" s="846"/>
      <c r="E86" s="846"/>
      <c r="F86" s="846"/>
      <c r="G86" s="847"/>
      <c r="H86" s="616"/>
      <c r="I86" s="617"/>
      <c r="J86" s="846"/>
      <c r="K86" s="842"/>
      <c r="L86" s="844" t="str">
        <f>IF(ISTEXT($H86),INDEX(VDSL1[Afname (%)],MATCH($H86,VDSL1[Verdeelsleutel],0))*$K86,"")</f>
        <v/>
      </c>
      <c r="M86" s="754" t="str">
        <f>IF(ISTEXT($I86),INDEX(VDSL2[TRHS (%)],MATCH($I86,VDSL2[Verdeelsleutel],0))*$L86,"")</f>
        <v/>
      </c>
      <c r="N86" s="754" t="str">
        <f>IF(ISTEXT($I86),INDEX(VDSL2[MS (%)],MATCH($I86,VDSL2[Verdeelsleutel],0))*$L86,"")</f>
        <v/>
      </c>
      <c r="O86" s="754" t="str">
        <f>IF(ISTEXT($I86),INDEX(VDSL2[TRLS (%)],MATCH($I86,VDSL2[Verdeelsleutel],0))*$L86,"")</f>
        <v/>
      </c>
      <c r="P86" s="754" t="str">
        <f>IF(ISTEXT($I86),INDEX(VDSL2[LS (%)],MATCH($I86,VDSL2[Verdeelsleutel],0))*$L86,"")</f>
        <v/>
      </c>
      <c r="Q86" s="754" t="str">
        <f>IF(ISTEXT($J86),INDEX(VDSL3[Afnameklanten op LS met piekmeting (%)],MATCH($J86,VDSL3[Verdeelsleutel],0))*$P86,"")</f>
        <v/>
      </c>
      <c r="R86" s="755" t="str">
        <f>IF(ISTEXT($J86),INDEX(VDSL3[Afnameklanten met KM/TT (%)],MATCH($J86,VDSL3[Verdeelsleutel],0))*$P86,"")</f>
        <v/>
      </c>
      <c r="S86" s="844" t="str">
        <f>IF(ISTEXT($H86),INDEX(VDSL1[Injectie (%)],MATCH($H86,VDSL1[Verdeelsleutel],0))*$K86,"")</f>
        <v/>
      </c>
      <c r="T86" s="563"/>
      <c r="U86" s="1"/>
      <c r="V86" s="1"/>
      <c r="AG86" s="60"/>
    </row>
    <row r="87" spans="1:33" ht="15" customHeight="1" thickBot="1">
      <c r="A87" s="742"/>
      <c r="B87" s="848"/>
      <c r="C87" s="848"/>
      <c r="D87" s="848"/>
      <c r="E87" s="848"/>
      <c r="F87" s="848"/>
      <c r="G87" s="849"/>
      <c r="H87" s="619"/>
      <c r="I87" s="620"/>
      <c r="J87" s="848"/>
      <c r="K87" s="843"/>
      <c r="L87" s="845" t="str">
        <f>IF(ISTEXT($H87),INDEX(VDSL1[Afname (%)],MATCH($H87,VDSL1[Verdeelsleutel],0))*$K87,"")</f>
        <v/>
      </c>
      <c r="M87" s="761" t="str">
        <f>IF(ISTEXT($I87),INDEX(VDSL2[TRHS (%)],MATCH($I87,VDSL2[Verdeelsleutel],0))*$L87,"")</f>
        <v/>
      </c>
      <c r="N87" s="761" t="str">
        <f>IF(ISTEXT($I87),INDEX(VDSL2[MS (%)],MATCH($I87,VDSL2[Verdeelsleutel],0))*$L87,"")</f>
        <v/>
      </c>
      <c r="O87" s="761" t="str">
        <f>IF(ISTEXT($I87),INDEX(VDSL2[TRLS (%)],MATCH($I87,VDSL2[Verdeelsleutel],0))*$L87,"")</f>
        <v/>
      </c>
      <c r="P87" s="761" t="str">
        <f>IF(ISTEXT($I87),INDEX(VDSL2[LS (%)],MATCH($I87,VDSL2[Verdeelsleutel],0))*$L87,"")</f>
        <v/>
      </c>
      <c r="Q87" s="761" t="str">
        <f>IF(ISTEXT($J87),INDEX(VDSL3[Afnameklanten op LS met piekmeting (%)],MATCH($J87,VDSL3[Verdeelsleutel],0))*$P87,"")</f>
        <v/>
      </c>
      <c r="R87" s="835" t="str">
        <f>IF(ISTEXT($J87),INDEX(VDSL3[Afnameklanten met KM/TT (%)],MATCH($J87,VDSL3[Verdeelsleutel],0))*$P87,"")</f>
        <v/>
      </c>
      <c r="S87" s="845" t="str">
        <f>IF(ISTEXT($H87),INDEX(VDSL1[Injectie (%)],MATCH($H87,VDSL1[Verdeelsleutel],0))*$K87,"")</f>
        <v/>
      </c>
      <c r="T87" s="563"/>
      <c r="U87" s="1"/>
      <c r="V87" s="1"/>
      <c r="AG87" s="60"/>
    </row>
    <row r="88" spans="1:33" ht="15" thickBot="1">
      <c r="A88" s="1584"/>
      <c r="B88" s="1585"/>
      <c r="C88" s="1585"/>
      <c r="D88" s="1585"/>
      <c r="E88" s="1585"/>
      <c r="F88" s="1586"/>
      <c r="G88" s="1587" t="s">
        <v>11</v>
      </c>
      <c r="H88" s="541"/>
      <c r="I88" s="237"/>
      <c r="J88" s="237"/>
      <c r="K88" s="542">
        <f t="shared" ref="K88:S88" si="0">SUBTOTAL(9,K$8:K$87)</f>
        <v>0</v>
      </c>
      <c r="L88" s="543" t="e">
        <f t="shared" si="0"/>
        <v>#VALUE!</v>
      </c>
      <c r="M88" s="543" t="e">
        <f t="shared" si="0"/>
        <v>#VALUE!</v>
      </c>
      <c r="N88" s="543" t="e">
        <f t="shared" si="0"/>
        <v>#VALUE!</v>
      </c>
      <c r="O88" s="543" t="e">
        <f t="shared" si="0"/>
        <v>#VALUE!</v>
      </c>
      <c r="P88" s="543" t="e">
        <f t="shared" si="0"/>
        <v>#VALUE!</v>
      </c>
      <c r="Q88" s="543" t="e">
        <f t="shared" si="0"/>
        <v>#DIV/0!</v>
      </c>
      <c r="R88" s="102" t="e">
        <f t="shared" si="0"/>
        <v>#DIV/0!</v>
      </c>
      <c r="S88" s="543" t="e">
        <f t="shared" si="0"/>
        <v>#VALUE!</v>
      </c>
      <c r="T88" s="563"/>
      <c r="AG88" s="60"/>
    </row>
    <row r="89" spans="1:33" ht="15" thickBot="1">
      <c r="I89" s="302"/>
      <c r="J89" s="302"/>
      <c r="K89" s="302"/>
      <c r="L89" s="302"/>
      <c r="M89" s="557"/>
    </row>
    <row r="90" spans="1:33">
      <c r="A90" s="137"/>
      <c r="B90" s="138"/>
      <c r="C90" s="138"/>
      <c r="D90" s="138"/>
      <c r="E90" s="138"/>
      <c r="F90" s="1850" t="s">
        <v>26</v>
      </c>
      <c r="G90" s="1850"/>
      <c r="H90" s="238"/>
      <c r="I90" s="239"/>
      <c r="J90" s="1104"/>
      <c r="K90" s="298">
        <f>SUMIFS(Tabel2[Totale budget],Tabel2[Kostenindeling 2],"Afschrijvingen")</f>
        <v>0</v>
      </c>
      <c r="L90" s="298" t="e">
        <f>SUMIFS(Tabel2[Afnameklanten (∑)],Tabel2[Kostenindeling 2],"Afschrijvingen")</f>
        <v>#VALUE!</v>
      </c>
      <c r="M90" s="298" t="e">
        <f>SUMIFS(Tabel2[Afnameklanten op TRHS (∑)],Tabel2[Kostenindeling 2],"Afschrijvingen")</f>
        <v>#VALUE!</v>
      </c>
      <c r="N90" s="298" t="e">
        <f>SUMIFS(Tabel2[Afnameklanten op MS (∑)],Tabel2[Kostenindeling 2],"Afschrijvingen")</f>
        <v>#VALUE!</v>
      </c>
      <c r="O90" s="298" t="e">
        <f>SUMIFS(Tabel2[Afnameklanten op TRLS (∑)],Tabel2[Kostenindeling 2],"Afschrijvingen")</f>
        <v>#VALUE!</v>
      </c>
      <c r="P90" s="298" t="e">
        <f>SUMIFS(Tabel2[Afnameklanten op LS (∑)],Tabel2[Kostenindeling 2],"Afschrijvingen")</f>
        <v>#VALUE!</v>
      </c>
      <c r="Q90" s="288" t="e">
        <f>SUMIFS(Tabel2[Afnameklanten op LS met piekmeting (∑)],Tabel2[Kostenindeling 2],"Afschrijvingen")</f>
        <v>#DIV/0!</v>
      </c>
      <c r="R90" s="1108" t="e">
        <f>SUMIFS(Tabel2[Afnameklanten met klassieke/terugdraaiende meter (∑)],Tabel2[Kostenindeling 2],"Afschrijvingen")</f>
        <v>#DIV/0!</v>
      </c>
      <c r="S90" s="1109" t="e">
        <f>SUMIFS(Tabel2[Injectieklanten (∑)],Tabel2[Kostenindeling 2],"Afschrijvingen")</f>
        <v>#VALUE!</v>
      </c>
      <c r="T90" s="563"/>
      <c r="AG90" s="60"/>
    </row>
    <row r="91" spans="1:33">
      <c r="A91" s="139"/>
      <c r="B91" s="140"/>
      <c r="C91" s="140"/>
      <c r="D91" s="140"/>
      <c r="E91" s="140"/>
      <c r="F91" s="1851" t="s">
        <v>190</v>
      </c>
      <c r="G91" s="1851"/>
      <c r="H91" s="240"/>
      <c r="I91" s="241"/>
      <c r="J91" s="1105"/>
      <c r="K91" s="299">
        <f>SUMIFS(Tabel2[Totale budget],Tabel2[Tariefcomponent],"Netgebruik",Tabel2[Kostenrubriek],"&lt;&gt;Marge",Tabel2[Kostenrubriek],"&lt;&gt;Budgettair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0</v>
      </c>
      <c r="L91" s="299" t="e">
        <f>SUMIFS(Tabel2[Afnameklanten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M91" s="299" t="e">
        <f>SUMIFS(Tabel2[Afnameklanten op TRHS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N91" s="299" t="e">
        <f>SUMIFS(Tabel2[Afnameklanten op MS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O91" s="299" t="e">
        <f>SUMIFS(Tabel2[Afnameklanten op TRLS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P91" s="299" t="e">
        <f>SUMIFS(Tabel2[Afnameklanten op LS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Q91" s="289" t="e">
        <f>SUMIFS(Tabel2[Afnameklanten op LS met piekmeting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#DIV/0!</v>
      </c>
      <c r="R91" s="1110" t="e">
        <f>SUMIFS(Tabel2[Afnameklanten met klassieke/terugdraaiende meter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#DIV/0!</v>
      </c>
      <c r="S91" s="1111" t="e">
        <f>SUMIFS(Tabel2[Injectieklanten (∑)],Tabel2[Tariefcomponent],"Netgebruik",Tabel2[Kostenrubriek],"&lt;&gt;Marge",Tabel2[Kostenrubriek],"&lt;&gt;Budgettair verschil - geïndexeerde tarieven voor het databeheer",Tabel2[Kostenrubriek],"&lt;&gt;Budgettair verschil - vaste tarieven voor de reactieve energie",Tabel2[Kostenrubriek],"&lt;&gt;Kapitaalkostenvergoeding voor regulatoire saldi",Tabel2[Kostenrubriek],"&lt;&gt;Kapitaalkostenvergoeding voor steuncertificatenvoorraad",Tabel2[Kostenrubriek],"&lt;&gt;Afbouw van regulatoire saldi binnen de tariefcomponent 'Netgebruik'")</f>
        <v>#VALUE!</v>
      </c>
      <c r="T91" s="563"/>
      <c r="V91" s="251"/>
      <c r="AG91" s="60"/>
    </row>
    <row r="92" spans="1:33">
      <c r="A92" s="139"/>
      <c r="B92" s="140"/>
      <c r="C92" s="140"/>
      <c r="D92" s="140"/>
      <c r="E92" s="140"/>
      <c r="F92" s="575" t="s">
        <v>63</v>
      </c>
      <c r="G92" s="575"/>
      <c r="H92" s="240"/>
      <c r="I92" s="241"/>
      <c r="J92" s="1105"/>
      <c r="K92" s="299">
        <f>SUMIFS(Tabel2[Totale budget],Tabel2[Kostenindeling 2],"Afbouw van regulatoire saldi")</f>
        <v>0</v>
      </c>
      <c r="L92" s="299">
        <f>SUMIFS(Tabel2[Afnameklanten (∑)],Tabel2[Kostenindeling 2],"Afbouw van regulatoire saldi")</f>
        <v>0</v>
      </c>
      <c r="M92" s="299" t="e">
        <f>SUMIFS(Tabel2[Afnameklanten op TRHS (∑)],Tabel2[Kostenindeling 2],"Afbouw van regulatoire saldi")</f>
        <v>#VALUE!</v>
      </c>
      <c r="N92" s="299" t="e">
        <f>SUMIFS(Tabel2[Afnameklanten op MS (∑)],Tabel2[Kostenindeling 2],"Afbouw van regulatoire saldi")</f>
        <v>#VALUE!</v>
      </c>
      <c r="O92" s="299" t="e">
        <f>SUMIFS(Tabel2[Afnameklanten op TRLS (∑)],Tabel2[Kostenindeling 2],"Afbouw van regulatoire saldi")</f>
        <v>#VALUE!</v>
      </c>
      <c r="P92" s="299" t="e">
        <f>SUMIFS(Tabel2[Afnameklanten op LS (∑)],Tabel2[Kostenindeling 2],"Afbouw van regulatoire saldi")</f>
        <v>#VALUE!</v>
      </c>
      <c r="Q92" s="289" t="e">
        <f>SUMIFS(Tabel2[Afnameklanten op LS met piekmeting (∑)],Tabel2[Kostenindeling 2],"Afbouw van regulatoire saldi")</f>
        <v>#VALUE!</v>
      </c>
      <c r="R92" s="1110" t="e">
        <f>SUMIFS(Tabel2[Afnameklanten met klassieke/terugdraaiende meter (∑)],Tabel2[Kostenindeling 2],"Afbouw van regulatoire saldi")</f>
        <v>#VALUE!</v>
      </c>
      <c r="S92" s="1111">
        <f>SUMIFS(Tabel2[Injectieklanten (∑)],Tabel2[Kostenindeling 2],"Afbouw van regulatoire saldi")</f>
        <v>0</v>
      </c>
      <c r="T92" s="563"/>
      <c r="AG92" s="60"/>
    </row>
    <row r="93" spans="1:33">
      <c r="A93" s="139"/>
      <c r="B93" s="140"/>
      <c r="C93" s="140"/>
      <c r="D93" s="140"/>
      <c r="E93" s="140"/>
      <c r="F93" s="575" t="s">
        <v>80</v>
      </c>
      <c r="G93" s="575"/>
      <c r="H93" s="240"/>
      <c r="I93" s="241"/>
      <c r="J93" s="1105"/>
      <c r="K93" s="299">
        <f>SUMIFS(Tabel2[Totale budget],Tabel2[Tariefcomponent],"Openbare dienstverplichtingen")</f>
        <v>0</v>
      </c>
      <c r="L93" s="299">
        <f>SUMIFS(Tabel2[Afnameklanten (∑)],Tabel2[Tariefcomponent],"Openbare dienstverplichtingen")</f>
        <v>0</v>
      </c>
      <c r="M93" s="299" t="e">
        <f>SUMIFS(Tabel2[Afnameklanten op TRHS (∑)],Tabel2[Tariefcomponent],"Openbare dienstverplichtingen")</f>
        <v>#VALUE!</v>
      </c>
      <c r="N93" s="299" t="e">
        <f>SUMIFS(Tabel2[Afnameklanten op MS (∑)],Tabel2[Tariefcomponent],"Openbare dienstverplichtingen")</f>
        <v>#VALUE!</v>
      </c>
      <c r="O93" s="299" t="e">
        <f>SUMIFS(Tabel2[Afnameklanten op TRLS (∑)],Tabel2[Tariefcomponent],"Openbare dienstverplichtingen")</f>
        <v>#VALUE!</v>
      </c>
      <c r="P93" s="299" t="e">
        <f>SUMIFS(Tabel2[Afnameklanten op LS (∑)],Tabel2[Tariefcomponent],"Openbare dienstverplichtingen")</f>
        <v>#VALUE!</v>
      </c>
      <c r="Q93" s="289" t="e">
        <f>SUMIFS(Tabel2[Afnameklanten op LS met piekmeting (∑)],Tabel2[Tariefcomponent],"Openbare dienstverplichtingen")</f>
        <v>#DIV/0!</v>
      </c>
      <c r="R93" s="1110" t="e">
        <f>SUMIFS(Tabel2[Afnameklanten met klassieke/terugdraaiende meter (∑)],Tabel2[Tariefcomponent],"Openbare dienstverplichtingen")</f>
        <v>#DIV/0!</v>
      </c>
      <c r="S93" s="1111">
        <f>SUMIFS(Tabel2[Injectieklanten (∑)],Tabel2[Tariefcomponent],"Openbare dienstverplichtingen")</f>
        <v>0</v>
      </c>
      <c r="T93" s="563"/>
      <c r="V93" s="60"/>
      <c r="AG93" s="60"/>
    </row>
    <row r="94" spans="1:33">
      <c r="A94" s="350"/>
      <c r="B94" s="351"/>
      <c r="C94" s="351"/>
      <c r="D94" s="351"/>
      <c r="E94" s="351"/>
      <c r="F94" s="352" t="s">
        <v>316</v>
      </c>
      <c r="G94" s="352"/>
      <c r="H94" s="353"/>
      <c r="I94" s="354"/>
      <c r="J94" s="1106"/>
      <c r="K94" s="356">
        <f>SUMIFS(Tabel2[Totale budget],Tabel2[Tariefcomponent],"Openbare dienstverplichtingen",Tabel2[Kostenrubriek],"&lt;&gt;Afbouw van regulatoire saldi binnen de tariefcomponent 'Openbare dienstverplichtingen'")</f>
        <v>0</v>
      </c>
      <c r="L94" s="356">
        <f>SUMIFS(Tabel2[Afnameklanten (∑)],Tabel2[Tariefcomponent],"Openbare dienstverplichtingen",Tabel2[Kostenrubriek],"&lt;&gt;Afbouw van regulatoire saldi binnen de tariefcomponent 'Openbare dienstverplichtingen'")</f>
        <v>0</v>
      </c>
      <c r="M94" s="356" t="e">
        <f>SUMIFS(Tabel2[Afnameklanten op TRHS (∑)],Tabel2[Tariefcomponent],"Openbare dienstverplichtingen",Tabel2[Kostenrubriek],"&lt;&gt;Afbouw van regulatoire saldi binnen de tariefcomponent 'Openbare dienstverplichtingen'")</f>
        <v>#VALUE!</v>
      </c>
      <c r="N94" s="356" t="e">
        <f>SUMIFS(Tabel2[Afnameklanten op MS (∑)],Tabel2[Tariefcomponent],"Openbare dienstverplichtingen",Tabel2[Kostenrubriek],"&lt;&gt;Afbouw van regulatoire saldi binnen de tariefcomponent 'Openbare dienstverplichtingen'")</f>
        <v>#VALUE!</v>
      </c>
      <c r="O94" s="356" t="e">
        <f>SUMIFS(Tabel2[Afnameklanten op TRLS (∑)],Tabel2[Tariefcomponent],"Openbare dienstverplichtingen",Tabel2[Kostenrubriek],"&lt;&gt;Afbouw van regulatoire saldi binnen de tariefcomponent 'Openbare dienstverplichtingen'")</f>
        <v>#VALUE!</v>
      </c>
      <c r="P94" s="356" t="e">
        <f>SUMIFS(Tabel2[Afnameklanten op LS (∑)],Tabel2[Tariefcomponent],"Openbare dienstverplichtingen",Tabel2[Kostenrubriek],"&lt;&gt;Afbouw van regulatoire saldi binnen de tariefcomponent 'Openbare dienstverplichtingen'")</f>
        <v>#VALUE!</v>
      </c>
      <c r="Q94" s="355" t="e">
        <f>SUMIFS(Tabel2[Afnameklanten op LS met piekmeting (∑)],Tabel2[Tariefcomponent],"Openbare dienstverplichtingen",Tabel2[Kostenrubriek],"&lt;&gt;Afbouw van regulatoire saldi binnen de tariefcomponent 'Openbare dienstverplichtingen'")</f>
        <v>#DIV/0!</v>
      </c>
      <c r="R94" s="1112" t="e">
        <f>SUMIFS(Tabel2[Afnameklanten met klassieke/terugdraaiende meter (∑)],Tabel2[Tariefcomponent],"Openbare dienstverplichtingen",Tabel2[Kostenrubriek],"&lt;&gt;Afbouw van regulatoire saldi binnen de tariefcomponent 'Openbare dienstverplichtingen'")</f>
        <v>#DIV/0!</v>
      </c>
      <c r="S94" s="1113">
        <f>SUMIFS(Tabel2[Injectieklanten (∑)],Tabel2[Tariefcomponent],"Openbare dienstverplichtingen",Tabel2[Kostenrubriek],"&lt;&gt;Afbouw van regulatoire saldi binnen de tariefcomponent 'Openbare dienstverplichtingen'")</f>
        <v>0</v>
      </c>
      <c r="T94" s="563"/>
      <c r="V94" s="564" t="s">
        <v>189</v>
      </c>
      <c r="AG94" s="60"/>
    </row>
    <row r="95" spans="1:33">
      <c r="A95" s="350"/>
      <c r="B95" s="351"/>
      <c r="C95" s="351"/>
      <c r="D95" s="351"/>
      <c r="E95" s="351"/>
      <c r="F95" s="352" t="s">
        <v>9</v>
      </c>
      <c r="G95" s="352"/>
      <c r="H95" s="353"/>
      <c r="I95" s="354"/>
      <c r="J95" s="1106"/>
      <c r="K95" s="356">
        <f>SUMIFS(Tabel2[Totale budget],Tabel2[Tariefcomponent],"Toeslagen")</f>
        <v>0</v>
      </c>
      <c r="L95" s="356">
        <f>SUMIFS(Tabel2[Afnameklanten (∑)],Tabel2[Tariefcomponent],"Toeslagen")</f>
        <v>0</v>
      </c>
      <c r="M95" s="356" t="e">
        <f>SUMIFS(Tabel2[Afnameklanten op TRHS (∑)],Tabel2[Tariefcomponent],"Toeslagen")</f>
        <v>#VALUE!</v>
      </c>
      <c r="N95" s="356" t="e">
        <f>SUMIFS(Tabel2[Afnameklanten op MS (∑)],Tabel2[Tariefcomponent],"Toeslagen")</f>
        <v>#VALUE!</v>
      </c>
      <c r="O95" s="356" t="e">
        <f>SUMIFS(Tabel2[Afnameklanten op TRLS (∑)],Tabel2[Tariefcomponent],"Toeslagen")</f>
        <v>#VALUE!</v>
      </c>
      <c r="P95" s="356" t="e">
        <f>SUMIFS(Tabel2[Afnameklanten op LS (∑)],Tabel2[Tariefcomponent],"Toeslagen")</f>
        <v>#VALUE!</v>
      </c>
      <c r="Q95" s="355" t="e">
        <f>SUMIFS(Tabel2[Afnameklanten op LS met piekmeting (∑)],Tabel2[Tariefcomponent],"Toeslagen")</f>
        <v>#DIV/0!</v>
      </c>
      <c r="R95" s="1112" t="e">
        <f>SUMIFS(Tabel2[Afnameklanten met klassieke/terugdraaiende meter (∑)],Tabel2[Tariefcomponent],"Toeslagen")</f>
        <v>#DIV/0!</v>
      </c>
      <c r="S95" s="1113">
        <f>SUMIFS(Tabel2[Injectieklanten (∑)],Tabel2[Tariefcomponent],"Toeslagen")</f>
        <v>0</v>
      </c>
      <c r="T95" s="563"/>
      <c r="V95" s="564"/>
      <c r="AG95" s="60"/>
    </row>
    <row r="96" spans="1:33" ht="15" thickBot="1">
      <c r="A96" s="141"/>
      <c r="B96" s="142"/>
      <c r="C96" s="142"/>
      <c r="D96" s="142"/>
      <c r="E96" s="142"/>
      <c r="F96" s="142" t="s">
        <v>506</v>
      </c>
      <c r="G96" s="143"/>
      <c r="H96" s="242"/>
      <c r="I96" s="243"/>
      <c r="J96" s="1107"/>
      <c r="K96" s="301">
        <f>SUMIFS(Tabel2[Totale budget],Tabel2[Subactiviteit],"Transmissie",Tabel2[Tariefcomponent],"Netgebruik")</f>
        <v>0</v>
      </c>
      <c r="L96" s="301">
        <f>SUMIFS(Tabel2[Afnameklanten (∑)],Tabel2[Subactiviteit],"Transmissie",Tabel2[Tariefcomponent],"Netgebruik")</f>
        <v>0</v>
      </c>
      <c r="M96" s="301" t="e">
        <f>SUMIFS(Tabel2[Afnameklanten op TRHS (∑)],Tabel2[Subactiviteit],"Transmissie",Tabel2[Tariefcomponent],"Netgebruik")</f>
        <v>#VALUE!</v>
      </c>
      <c r="N96" s="301" t="e">
        <f>SUMIFS(Tabel2[Afnameklanten op MS (∑)],Tabel2[Subactiviteit],"Transmissie",Tabel2[Tariefcomponent],"Netgebruik")</f>
        <v>#VALUE!</v>
      </c>
      <c r="O96" s="301" t="e">
        <f>SUMIFS(Tabel2[Afnameklanten op TRLS (∑)],Tabel2[Subactiviteit],"Transmissie",Tabel2[Tariefcomponent],"Netgebruik")</f>
        <v>#VALUE!</v>
      </c>
      <c r="P96" s="301" t="e">
        <f>SUMIFS(Tabel2[Afnameklanten op LS (∑)],Tabel2[Subactiviteit],"Transmissie",Tabel2[Tariefcomponent],"Netgebruik")</f>
        <v>#VALUE!</v>
      </c>
      <c r="Q96" s="300" t="e">
        <f>SUMIFS(Tabel2[Afnameklanten op LS met piekmeting (∑)],Tabel2[Subactiviteit],"Transmissie",Tabel2[Tariefcomponent],"Netgebruik")</f>
        <v>#DIV/0!</v>
      </c>
      <c r="R96" s="1114" t="e">
        <f>SUMIFS(Tabel2[Afnameklanten met klassieke/terugdraaiende meter (∑)],Tabel2[Subactiviteit],"Transmissie",Tabel2[Tariefcomponent],"Netgebruik")</f>
        <v>#DIV/0!</v>
      </c>
      <c r="S96" s="1115">
        <f>SUMIFS(Tabel2[Injectieklanten (∑)],Tabel2[Subactiviteit],"Transmissie",Tabel2[Tariefcomponent],"Netgebruik")</f>
        <v>0</v>
      </c>
      <c r="T96" s="563"/>
      <c r="AG96" s="60"/>
    </row>
    <row r="97" spans="1:19" ht="15" thickBot="1"/>
    <row r="98" spans="1:19" ht="15" thickBot="1">
      <c r="A98" s="1216"/>
      <c r="B98" s="1217"/>
      <c r="C98" s="1217"/>
      <c r="D98" s="1217"/>
      <c r="E98" s="1217"/>
      <c r="F98" s="1849" t="s">
        <v>531</v>
      </c>
      <c r="G98" s="1849"/>
      <c r="H98" s="1218"/>
      <c r="I98" s="1219"/>
      <c r="J98" s="1220"/>
      <c r="K98" s="1221" t="e">
        <f>SUMIFS(Tabel2[Totale budget],Tabel2[Subactiviteit],"Transmissie",Tabel2[Tariefcomponent],"Netgebruik")/SUMIFS(Tabel2[Totale budget],Tabel2[Tariefcomponent],"Netgebruik",Tabel2[Kostenrubriek],"&lt;&gt;Afbouw van regulatoire saldi binnen de tariefcomponent 'Netgebruik'")</f>
        <v>#DIV/0!</v>
      </c>
      <c r="L98" s="1221" t="e">
        <f>SUMIFS(Tabel2[Afnameklanten (∑)],Tabel2[Subactiviteit],"Transmissie",Tabel2[Tariefcomponent],"Netgebruik")/SUMIFS(Tabel2[Afnameklanten (∑)],Tabel2[Tariefcomponent],"Netgebruik",Tabel2[Kostenrubriek],"&lt;&gt;Afbouw van regulatoire saldi binnen de tariefcomponent 'Netgebruik'")</f>
        <v>#VALUE!</v>
      </c>
      <c r="M98" s="1221" t="e">
        <f>SUMIFS(Tabel2[Afnameklanten op TRHS (∑)],Tabel2[Subactiviteit],"Transmissie",Tabel2[Tariefcomponent],"Netgebruik")/SUMIFS(Tabel2[Afnameklanten op TRHS (∑)],Tabel2[Tariefcomponent],"Netgebruik",Tabel2[Kostenrubriek],"&lt;&gt;Afbouw van regulatoire saldi binnen de tariefcomponent 'Netgebruik'")</f>
        <v>#VALUE!</v>
      </c>
      <c r="N98" s="1221" t="e">
        <f>SUMIFS(Tabel2[Afnameklanten op MS (∑)],Tabel2[Subactiviteit],"Transmissie",Tabel2[Tariefcomponent],"Netgebruik")/SUMIFS(Tabel2[Afnameklanten op MS (∑)],Tabel2[Tariefcomponent],"Netgebruik",Tabel2[Kostenrubriek],"&lt;&gt;Afbouw van regulatoire saldi binnen de tariefcomponent 'Netgebruik'")</f>
        <v>#VALUE!</v>
      </c>
      <c r="O98" s="1221" t="e">
        <f>SUMIFS(Tabel2[Afnameklanten op TRLS (∑)],Tabel2[Subactiviteit],"Transmissie",Tabel2[Tariefcomponent],"Netgebruik")/SUMIFS(Tabel2[Afnameklanten op TRLS (∑)],Tabel2[Tariefcomponent],"Netgebruik",Tabel2[Kostenrubriek],"&lt;&gt;Afbouw van regulatoire saldi binnen de tariefcomponent 'Netgebruik'")</f>
        <v>#VALUE!</v>
      </c>
      <c r="P98" s="1221" t="e">
        <f>SUMIFS(Tabel2[Afnameklanten op LS (∑)],Tabel2[Subactiviteit],"Transmissie",Tabel2[Tariefcomponent],"Netgebruik")/SUMIFS(Tabel2[Afnameklanten op LS (∑)],Tabel2[Tariefcomponent],"Netgebruik",Tabel2[Kostenrubriek],"&lt;&gt;Afbouw van regulatoire saldi binnen de tariefcomponent 'Netgebruik'")</f>
        <v>#VALUE!</v>
      </c>
      <c r="Q98" s="1222" t="e">
        <f>SUMIFS(Tabel2[Afnameklanten op LS met piekmeting (∑)],Tabel2[Subactiviteit],"Transmissie",Tabel2[Tariefcomponent],"Netgebruik")/SUMIFS(Tabel2[Afnameklanten op LS met piekmeting (∑)],Tabel2[Tariefcomponent],"Netgebruik",Tabel2[Kostenrubriek],"&lt;&gt;Afbouw van regulatoire saldi binnen de tariefcomponent 'Netgebruik'")</f>
        <v>#DIV/0!</v>
      </c>
      <c r="R98" s="1223" t="e">
        <f>SUMIFS(Tabel2[Afnameklanten met klassieke/terugdraaiende meter (∑)],Tabel2[Subactiviteit],"Transmissie",Tabel2[Tariefcomponent],"Netgebruik")/SUMIFS(Tabel2[Afnameklanten met klassieke/terugdraaiende meter (∑)],Tabel2[Tariefcomponent],"Netgebruik",Tabel2[Kostenrubriek],"&lt;&gt;Afbouw van regulatoire saldi binnen de tariefcomponent 'Netgebruik'")</f>
        <v>#DIV/0!</v>
      </c>
      <c r="S98" s="1224" t="e">
        <f>SUMIFS(Tabel2[Injectieklanten (∑)],Tabel2[Subactiviteit],"Transmissie",Tabel2[Tariefcomponent],"Netgebruik")/SUMIFS(Tabel2[Injectieklanten (∑)],Tabel2[Tariefcomponent],"Netgebruik",Tabel2[Kostenrubriek],"&lt;&gt;Afbouw van regulatoire saldi binnen de tariefcomponent 'Netgebruik'")</f>
        <v>#VALUE!</v>
      </c>
    </row>
  </sheetData>
  <sheetProtection algorithmName="SHA-512" hashValue="9nduNCAJmHG0HCej93gainGuEg8bkccGH4Kq4AWne1EfkWuEjFOS74ElIqOUjjFx9rnwvhY2vRxhqFQH9m8xkg==" saltValue="c33+cFVzgBQrS6G7AfTCAw==" spinCount="100000" sheet="1" objects="1" scenarios="1" insertRows="0" deleteRows="0" sort="0" autoFilter="0"/>
  <mergeCells count="6">
    <mergeCell ref="H4:I4"/>
    <mergeCell ref="F98:G98"/>
    <mergeCell ref="E4:F4"/>
    <mergeCell ref="A1:G1"/>
    <mergeCell ref="F90:G90"/>
    <mergeCell ref="F91:G91"/>
  </mergeCells>
  <phoneticPr fontId="50" type="noConversion"/>
  <conditionalFormatting sqref="D96">
    <cfRule type="expression" dxfId="175" priority="5" stopIfTrue="1">
      <formula>$C96="Exogeen"</formula>
    </cfRule>
  </conditionalFormatting>
  <conditionalFormatting sqref="L8:L87 S8:S87">
    <cfRule type="expression" dxfId="174" priority="3">
      <formula>$H8=""</formula>
    </cfRule>
  </conditionalFormatting>
  <conditionalFormatting sqref="M8:R87">
    <cfRule type="expression" dxfId="173" priority="2">
      <formula>$I8=""</formula>
    </cfRule>
  </conditionalFormatting>
  <dataValidations count="13">
    <dataValidation type="list" allowBlank="1" showInputMessage="1" showErrorMessage="1" sqref="AJ8" xr:uid="{00000000-0002-0000-0600-000000000000}">
      <formula1>INDIRECT("Keuze_Activiteit")</formula1>
    </dataValidation>
    <dataValidation type="list" allowBlank="1" showInputMessage="1" showErrorMessage="1" sqref="AK8" xr:uid="{00000000-0002-0000-0600-000001000000}">
      <formula1>INDIRECT("Keuze_Subactiviteit")</formula1>
    </dataValidation>
    <dataValidation type="list" allowBlank="1" showInputMessage="1" showErrorMessage="1" sqref="AL8" xr:uid="{00000000-0002-0000-0600-000002000000}">
      <formula1>INDIRECT("Keuze_TariefcomponentN")</formula1>
    </dataValidation>
    <dataValidation type="list" allowBlank="1" showInputMessage="1" showErrorMessage="1" sqref="AM8" xr:uid="{00000000-0002-0000-0600-000003000000}">
      <formula1>INDIRECT("Keuze_TariefcomponentO")</formula1>
    </dataValidation>
    <dataValidation type="list" allowBlank="1" showInputMessage="1" showErrorMessage="1" sqref="A8:A87" xr:uid="{00000000-0002-0000-0600-000004000000}">
      <formula1>"Distributie,Transmissie"</formula1>
    </dataValidation>
    <dataValidation type="list" allowBlank="1" showInputMessage="1" showErrorMessage="1" sqref="B8:B87" xr:uid="{00000000-0002-0000-0600-000005000000}">
      <formula1>"Netgebruik,Reactieve energie,Databeheer,Openbare dienstverplichtingen,Overige transmissie"</formula1>
    </dataValidation>
    <dataValidation type="list" allowBlank="1" showInputMessage="1" showErrorMessage="1" sqref="C8:C87" xr:uid="{00000000-0002-0000-0600-000006000000}">
      <formula1>"Endogeen,Exogeen"</formula1>
    </dataValidation>
    <dataValidation type="list" allowBlank="1" showInputMessage="1" showErrorMessage="1" sqref="D8:D87" xr:uid="{00000000-0002-0000-0600-000007000000}">
      <formula1>"Afschrijvingen,Netto-operationele kosten,Afbouw van regulatoire saldi,Marge"</formula1>
    </dataValidation>
    <dataValidation type="list" allowBlank="1" showInputMessage="1" showErrorMessage="1" sqref="E8:E87" xr:uid="{00000000-0002-0000-0600-000008000000}">
      <formula1>"Direct,Indirect"</formula1>
    </dataValidation>
    <dataValidation type="list" allowBlank="1" showInputMessage="1" showErrorMessage="1" sqref="F8:F87" xr:uid="{00000000-0002-0000-0600-000009000000}">
      <formula1>"Capaciteitsgerelateerd,Niet-capaciteitsgerelateerd"</formula1>
    </dataValidation>
    <dataValidation type="list" allowBlank="1" showInputMessage="1" showErrorMessage="1" sqref="H8:H87" xr:uid="{D3B7681F-8B02-45E6-BB61-E063E41AC7A0}">
      <formula1>INDIRECT("VDSL1[Verdeelsleutel]")</formula1>
    </dataValidation>
    <dataValidation type="list" allowBlank="1" showInputMessage="1" showErrorMessage="1" sqref="I8:I87" xr:uid="{DC1D5A81-764B-4B8B-AED9-A8F42FC44E04}">
      <formula1>INDIRECT("VDSL2[Verdeelsleutel]")</formula1>
    </dataValidation>
    <dataValidation type="list" allowBlank="1" showInputMessage="1" showErrorMessage="1" sqref="J8:J87" xr:uid="{97680AB4-2033-4EFF-B454-B0B05C4F7857}">
      <formula1>INDIRECT("VDSL3[Verdeelsleutel]")</formula1>
    </dataValidation>
  </dataValidations>
  <pageMargins left="0.7" right="0.7" top="0.75" bottom="0.75" header="0.3" footer="0.3"/>
  <pageSetup paperSize="9" orientation="portrait" r:id="rId1"/>
  <ignoredErrors>
    <ignoredError sqref="M93:R93" evalError="1"/>
  </ignoredErrors>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ublished="0" codeName="Blad18"/>
  <dimension ref="A1:W55"/>
  <sheetViews>
    <sheetView zoomScaleNormal="100" workbookViewId="0">
      <selection activeCell="E4" sqref="E4:F4"/>
    </sheetView>
  </sheetViews>
  <sheetFormatPr defaultColWidth="20.7265625" defaultRowHeight="14.5"/>
  <cols>
    <col min="1" max="1" width="40.7265625" style="1" customWidth="1"/>
    <col min="2" max="9" width="20.7265625" style="1"/>
    <col min="10" max="15" width="20.7265625" style="1" customWidth="1"/>
    <col min="16" max="16384" width="20.7265625" style="1"/>
  </cols>
  <sheetData>
    <row r="1" spans="1:10" ht="18.5" thickBot="1">
      <c r="A1" s="1713" t="s">
        <v>213</v>
      </c>
      <c r="B1" s="1714"/>
      <c r="C1" s="1714"/>
      <c r="D1" s="1714"/>
      <c r="E1" s="1714"/>
      <c r="F1" s="1714"/>
      <c r="G1" s="1714"/>
      <c r="H1" s="1714"/>
      <c r="I1" s="1714"/>
      <c r="J1" s="1780"/>
    </row>
    <row r="2" spans="1:10" ht="18">
      <c r="A2" s="52"/>
      <c r="B2" s="52"/>
      <c r="C2" s="52"/>
      <c r="D2" s="52"/>
      <c r="E2" s="52"/>
      <c r="F2" s="63"/>
      <c r="G2" s="63"/>
    </row>
    <row r="3" spans="1:10" ht="15" thickBot="1">
      <c r="A3" s="54"/>
      <c r="B3" s="54"/>
      <c r="C3" s="54"/>
      <c r="D3" s="54"/>
      <c r="E3" s="55"/>
      <c r="F3" s="64"/>
      <c r="G3" s="64"/>
    </row>
    <row r="4" spans="1:10" ht="15" thickBot="1">
      <c r="A4" s="56"/>
      <c r="C4" s="57" t="s">
        <v>6</v>
      </c>
      <c r="D4" s="56"/>
      <c r="E4" s="1706" t="str">
        <f>DNB</f>
        <v>Naam distributienetbeheerder</v>
      </c>
      <c r="F4" s="1708"/>
      <c r="G4" s="66"/>
    </row>
    <row r="7" spans="1:10" ht="50.25" customHeight="1" thickBot="1">
      <c r="A7" s="253" t="s">
        <v>77</v>
      </c>
      <c r="B7" s="155" t="s">
        <v>96</v>
      </c>
      <c r="C7" s="156" t="s">
        <v>306</v>
      </c>
      <c r="D7" s="144" t="s">
        <v>294</v>
      </c>
      <c r="E7" s="144" t="s">
        <v>268</v>
      </c>
      <c r="F7" s="268" t="s">
        <v>295</v>
      </c>
      <c r="G7" s="268" t="s">
        <v>292</v>
      </c>
      <c r="H7" s="268" t="s">
        <v>496</v>
      </c>
      <c r="I7" s="268" t="s">
        <v>269</v>
      </c>
    </row>
    <row r="8" spans="1:10">
      <c r="A8" s="148" t="s">
        <v>78</v>
      </c>
      <c r="B8" s="256">
        <f>SUMIFS(Tabel2[Totale budget],Tabel2[Tariefcomponent],$A8)</f>
        <v>0</v>
      </c>
      <c r="C8" s="172" t="e">
        <f>SUMIFS(Tabel2[Afnameklanten op TRHS (∑)],Tabel2[Tariefcomponent],$A8)</f>
        <v>#VALUE!</v>
      </c>
      <c r="D8" s="257" t="e">
        <f>SUMIFS(Tabel2[Afnameklanten op MS (∑)],Tabel2[Tariefcomponent],$A8)</f>
        <v>#VALUE!</v>
      </c>
      <c r="E8" s="257" t="e">
        <f>SUMIFS(Tabel2[Afnameklanten op TRLS (∑)],Tabel2[Tariefcomponent],$A8)</f>
        <v>#VALUE!</v>
      </c>
      <c r="F8" s="258" t="e">
        <f>SUMIFS(Tabel2[Afnameklanten op LS (∑)],Tabel2[Tariefcomponent],$A8)</f>
        <v>#VALUE!</v>
      </c>
      <c r="G8" s="258" t="e">
        <f>SUMIFS(Tabel2[Afnameklanten op LS met piekmeting (∑)],Tabel2[Tariefcomponent],$A8)</f>
        <v>#DIV/0!</v>
      </c>
      <c r="H8" s="258" t="e">
        <f>SUMIFS(Tabel2[Afnameklanten met klassieke/terugdraaiende meter (∑)],Tabel2[Tariefcomponent],$A8)</f>
        <v>#DIV/0!</v>
      </c>
      <c r="I8" s="258" t="e">
        <f>SUMIFS(Tabel2[Injectieklanten (∑)],Tabel2[Tariefcomponent],$A8)</f>
        <v>#VALUE!</v>
      </c>
    </row>
    <row r="9" spans="1:10">
      <c r="A9" s="132" t="s">
        <v>13</v>
      </c>
      <c r="B9" s="259">
        <f>SUMIFS(Tabel2[Totale budget],Tabel2[Tariefcomponent],$A9)</f>
        <v>0</v>
      </c>
      <c r="C9" s="174" t="e">
        <f>SUMIFS(Tabel2[Afnameklanten op TRHS (∑)],Tabel2[Tariefcomponent],$A9)</f>
        <v>#VALUE!</v>
      </c>
      <c r="D9" s="260" t="e">
        <f>SUMIFS(Tabel2[Afnameklanten op MS (∑)],Tabel2[Tariefcomponent],$A9)</f>
        <v>#VALUE!</v>
      </c>
      <c r="E9" s="260" t="e">
        <f>SUMIFS(Tabel2[Afnameklanten op TRLS (∑)],Tabel2[Tariefcomponent],$A9)</f>
        <v>#VALUE!</v>
      </c>
      <c r="F9" s="261"/>
      <c r="G9" s="261"/>
      <c r="H9" s="261"/>
      <c r="I9" s="261"/>
    </row>
    <row r="10" spans="1:10">
      <c r="A10" s="132" t="s">
        <v>79</v>
      </c>
      <c r="B10" s="259">
        <f>SUMIFS(Tabel2[Totale budget],Tabel2[Tariefcomponent],$A10)</f>
        <v>0</v>
      </c>
      <c r="C10" s="174" t="e">
        <f>SUMIFS(Tabel2[Afnameklanten op TRHS (∑)],Tabel2[Tariefcomponent],$A10)</f>
        <v>#VALUE!</v>
      </c>
      <c r="D10" s="260" t="e">
        <f>SUMIFS(Tabel2[Afnameklanten op MS (∑)],Tabel2[Tariefcomponent],$A10)</f>
        <v>#VALUE!</v>
      </c>
      <c r="E10" s="260" t="e">
        <f>SUMIFS(Tabel2[Afnameklanten op TRLS (∑)],Tabel2[Tariefcomponent],$A10)</f>
        <v>#VALUE!</v>
      </c>
      <c r="F10" s="262" t="e">
        <f>SUMIFS(Tabel2[Afnameklanten op LS (∑)],Tabel2[Tariefcomponent],$A10)</f>
        <v>#VALUE!</v>
      </c>
      <c r="G10" s="262" t="e">
        <f>SUMIFS(Tabel2[Afnameklanten op LS met piekmeting (∑)],Tabel2[Tariefcomponent],$A10)</f>
        <v>#VALUE!</v>
      </c>
      <c r="H10" s="262" t="e">
        <f>SUMIFS(Tabel2[Afnameklanten met klassieke/terugdraaiende meter (∑)],Tabel2[Tariefcomponent],$A10)</f>
        <v>#VALUE!</v>
      </c>
      <c r="I10" s="262" t="e">
        <f>SUMIFS(Tabel2[Injectieklanten (∑)],Tabel2[Tariefcomponent],$A10)</f>
        <v>#VALUE!</v>
      </c>
    </row>
    <row r="11" spans="1:10">
      <c r="A11" s="132" t="s">
        <v>80</v>
      </c>
      <c r="B11" s="259">
        <f>SUMIFS(Tabel2[Totale budget],Tabel2[Tariefcomponent],$A11)</f>
        <v>0</v>
      </c>
      <c r="C11" s="174" t="e">
        <f>SUMIFS(Tabel2[Afnameklanten op TRHS (∑)],Tabel2[Tariefcomponent],$A11)</f>
        <v>#VALUE!</v>
      </c>
      <c r="D11" s="260" t="e">
        <f>SUMIFS(Tabel2[Afnameklanten op MS (∑)],Tabel2[Tariefcomponent],$A11)</f>
        <v>#VALUE!</v>
      </c>
      <c r="E11" s="260" t="e">
        <f>SUMIFS(Tabel2[Afnameklanten op TRLS (∑)],Tabel2[Tariefcomponent],$A11)</f>
        <v>#VALUE!</v>
      </c>
      <c r="F11" s="262" t="e">
        <f>SUMIFS(Tabel2[Afnameklanten op LS (∑)],Tabel2[Tariefcomponent],$A11)</f>
        <v>#VALUE!</v>
      </c>
      <c r="G11" s="262" t="e">
        <f>SUMIFS(Tabel2[Afnameklanten op LS met piekmeting (∑)],Tabel2[Tariefcomponent],$A11)</f>
        <v>#DIV/0!</v>
      </c>
      <c r="H11" s="262" t="e">
        <f>SUMIFS(Tabel2[Afnameklanten met klassieke/terugdraaiende meter (∑)],Tabel2[Tariefcomponent],$A11)</f>
        <v>#DIV/0!</v>
      </c>
      <c r="I11" s="261"/>
    </row>
    <row r="12" spans="1:10">
      <c r="A12" s="132" t="s">
        <v>9</v>
      </c>
      <c r="B12" s="259">
        <f>SUMIFS(Tabel2[Totale budget],Tabel2[Tariefcomponent],$A12)</f>
        <v>0</v>
      </c>
      <c r="C12" s="174" t="e">
        <f>SUMIFS(Tabel2[Afnameklanten op TRHS (∑)],Tabel2[Tariefcomponent],$A12)</f>
        <v>#VALUE!</v>
      </c>
      <c r="D12" s="260" t="e">
        <f>SUMIFS(Tabel2[Afnameklanten op MS (∑)],Tabel2[Tariefcomponent],$A12)</f>
        <v>#VALUE!</v>
      </c>
      <c r="E12" s="260" t="e">
        <f>SUMIFS(Tabel2[Afnameklanten op TRLS (∑)],Tabel2[Tariefcomponent],$A12)</f>
        <v>#VALUE!</v>
      </c>
      <c r="F12" s="262" t="e">
        <f>SUMIFS(Tabel2[Afnameklanten op LS (∑)],Tabel2[Tariefcomponent],$A12)</f>
        <v>#VALUE!</v>
      </c>
      <c r="G12" s="262" t="e">
        <f>SUMIFS(Tabel2[Afnameklanten op LS met piekmeting (∑)],Tabel2[Tariefcomponent],$A12)</f>
        <v>#DIV/0!</v>
      </c>
      <c r="H12" s="262" t="e">
        <f>SUMIFS(Tabel2[Afnameklanten met klassieke/terugdraaiende meter (∑)],Tabel2[Tariefcomponent],$A12)</f>
        <v>#DIV/0!</v>
      </c>
      <c r="I12" s="261"/>
    </row>
    <row r="13" spans="1:10" ht="15" thickBot="1">
      <c r="A13" s="133" t="s">
        <v>81</v>
      </c>
      <c r="B13" s="263">
        <f>SUMIFS(Tabel2[Totale budget],Tabel2[Tariefcomponent],$A13)</f>
        <v>0</v>
      </c>
      <c r="C13" s="176" t="e">
        <f>SUMIFS(Tabel2[Afnameklanten op TRHS (∑)],Tabel2[Tariefcomponent],$A13)</f>
        <v>#DIV/0!</v>
      </c>
      <c r="D13" s="264" t="e">
        <f>SUMIFS(Tabel2[Afnameklanten op MS (∑)],Tabel2[Tariefcomponent],$A13)</f>
        <v>#DIV/0!</v>
      </c>
      <c r="E13" s="264" t="e">
        <f>SUMIFS(Tabel2[Afnameklanten op TRLS (∑)],Tabel2[Tariefcomponent],$A13)</f>
        <v>#DIV/0!</v>
      </c>
      <c r="F13" s="265" t="e">
        <f>SUMIFS(Tabel2[Afnameklanten op LS (∑)],Tabel2[Tariefcomponent],$A13)</f>
        <v>#DIV/0!</v>
      </c>
      <c r="G13" s="265" t="e">
        <f>SUMIFS(Tabel2[Afnameklanten op LS met piekmeting (∑)],Tabel2[Tariefcomponent],$A13)</f>
        <v>#DIV/0!</v>
      </c>
      <c r="H13" s="265" t="e">
        <f>SUMIFS(Tabel2[Afnameklanten met klassieke/terugdraaiende meter (∑)],Tabel2[Tariefcomponent],$A13)</f>
        <v>#DIV/0!</v>
      </c>
      <c r="I13" s="269"/>
    </row>
    <row r="14" spans="1:10">
      <c r="A14" s="270" t="s">
        <v>11</v>
      </c>
      <c r="B14" s="271">
        <f>SUBTOTAL(109,Tabel3A[Totale budget])</f>
        <v>0</v>
      </c>
      <c r="C14" s="272" t="e">
        <f>SUBTOTAL(109,Tabel3A[Afnameklanten  op TRHS (∑)])</f>
        <v>#VALUE!</v>
      </c>
      <c r="D14" s="273" t="e">
        <f>SUBTOTAL(109,Tabel3A[Afnameklanten op MS (∑)])</f>
        <v>#VALUE!</v>
      </c>
      <c r="E14" s="273" t="e">
        <f>SUBTOTAL(109,Tabel3A[Afnameklanten op TRLS (∑)])</f>
        <v>#VALUE!</v>
      </c>
      <c r="F14" s="274" t="e">
        <f>SUBTOTAL(109,Tabel3A[Afnameklanten op LS (∑)])</f>
        <v>#VALUE!</v>
      </c>
      <c r="G14" s="274" t="e">
        <f>SUBTOTAL(109,Tabel3A[Afnameklanten op LS met piekmeting (∑)])</f>
        <v>#DIV/0!</v>
      </c>
      <c r="H14" s="274" t="e">
        <f>SUBTOTAL(109,Tabel3A[Afnameklanten met klassieke/terugdraaiende meter (∑)])</f>
        <v>#DIV/0!</v>
      </c>
      <c r="I14" s="274" t="e">
        <f>SUBTOTAL(109,Tabel3A[Injectieklanten (∑)])</f>
        <v>#VALUE!</v>
      </c>
    </row>
    <row r="17" spans="1:23" ht="15" thickBot="1"/>
    <row r="18" spans="1:23" ht="44" thickBot="1">
      <c r="A18" s="130" t="s">
        <v>77</v>
      </c>
      <c r="B18" s="155" t="s">
        <v>104</v>
      </c>
      <c r="C18" s="75" t="s">
        <v>293</v>
      </c>
      <c r="D18" s="156" t="s">
        <v>97</v>
      </c>
      <c r="E18" s="145" t="s">
        <v>127</v>
      </c>
      <c r="F18" s="76" t="s">
        <v>294</v>
      </c>
      <c r="G18" s="156" t="s">
        <v>128</v>
      </c>
      <c r="H18" s="144" t="s">
        <v>260</v>
      </c>
      <c r="I18" s="145" t="s">
        <v>261</v>
      </c>
      <c r="J18" s="76" t="s">
        <v>268</v>
      </c>
      <c r="K18" s="545" t="s">
        <v>98</v>
      </c>
      <c r="L18" s="341" t="s">
        <v>295</v>
      </c>
      <c r="M18" s="156" t="s">
        <v>114</v>
      </c>
      <c r="N18" s="144" t="s">
        <v>494</v>
      </c>
      <c r="O18" s="266" t="s">
        <v>115</v>
      </c>
      <c r="P18" s="266" t="s">
        <v>495</v>
      </c>
      <c r="Q18" s="145" t="s">
        <v>116</v>
      </c>
      <c r="R18" s="267" t="s">
        <v>269</v>
      </c>
      <c r="S18" s="146" t="s">
        <v>203</v>
      </c>
      <c r="T18" s="146" t="s">
        <v>307</v>
      </c>
      <c r="U18" s="146" t="s">
        <v>262</v>
      </c>
      <c r="V18" s="146" t="s">
        <v>99</v>
      </c>
      <c r="W18" s="147" t="s">
        <v>100</v>
      </c>
    </row>
    <row r="19" spans="1:23" ht="16.5">
      <c r="A19" s="132" t="s">
        <v>78</v>
      </c>
      <c r="B19" s="149" t="s">
        <v>105</v>
      </c>
      <c r="C19" s="306" t="e">
        <f>$C$8*1*INDEX(Rekenvolumes[Afnameklanten op TRHS (∑)],8)/'REKENVOLUMES'!$E$27/INDEX(Rekenvolumes[Afnameklanten op TRHS (∑)],8)</f>
        <v>#VALUE!</v>
      </c>
      <c r="D19" s="307" t="e">
        <f t="shared" ref="D19:E21" si="0">$C19</f>
        <v>#VALUE!</v>
      </c>
      <c r="E19" s="308" t="e">
        <f t="shared" si="0"/>
        <v>#VALUE!</v>
      </c>
      <c r="F19" s="309" t="e">
        <f>$D$8*1*(INDEX(Rekenvolumes[Afnameklanten op MS (∑)],8)-(1-FACTOR_DOORVOER)*INDEX(Rekenvolumes[Doorvoer op 26-1kV],8))/('REKENVOLUMES'!$H$27-(1-FACTOR_DOORVOER)*'REKENVOLUMES'!$K$27)/(INDEX(Rekenvolumes[Afnameklanten op MS (∑)],8)-(1-FACTOR_DOORVOER)*INDEX(Rekenvolumes[Doorvoer op 26-1kV],8))</f>
        <v>#VALUE!</v>
      </c>
      <c r="G19" s="307" t="e">
        <f t="shared" ref="G19:H21" si="1">$F19</f>
        <v>#VALUE!</v>
      </c>
      <c r="H19" s="310" t="e">
        <f t="shared" si="1"/>
        <v>#VALUE!</v>
      </c>
      <c r="I19" s="308" t="e">
        <f>$F19*FACTOR_DOORVOER</f>
        <v>#VALUE!</v>
      </c>
      <c r="J19" s="309" t="e">
        <f>$E$8*1*INDEX(Rekenvolumes[Afnameklanten op TRLS (∑)],8)/'REKENVOLUMES'!$L$27/INDEX(Rekenvolumes[Afnameklanten op TRLS (∑)],8)</f>
        <v>#VALUE!</v>
      </c>
      <c r="K19" s="306" t="e">
        <f>$J19</f>
        <v>#VALUE!</v>
      </c>
      <c r="L19" s="315"/>
      <c r="M19" s="314"/>
      <c r="N19" s="311"/>
      <c r="O19" s="318"/>
      <c r="P19" s="318"/>
      <c r="Q19" s="312" t="s">
        <v>117</v>
      </c>
      <c r="R19" s="333" t="s">
        <v>117</v>
      </c>
      <c r="S19" s="315" t="s">
        <v>117</v>
      </c>
      <c r="T19" s="315" t="str">
        <f t="shared" ref="T19:T37" si="2">$R19</f>
        <v xml:space="preserve"> </v>
      </c>
      <c r="U19" s="315" t="s">
        <v>117</v>
      </c>
      <c r="V19" s="315" t="s">
        <v>117</v>
      </c>
      <c r="W19" s="316" t="s">
        <v>117</v>
      </c>
    </row>
    <row r="20" spans="1:23" ht="16.5">
      <c r="A20" s="132" t="s">
        <v>78</v>
      </c>
      <c r="B20" s="150" t="s">
        <v>106</v>
      </c>
      <c r="C20" s="306" t="e">
        <f>$C$8*FACTOR_MP_TV*INDEX(Rekenvolumes[Afnameklanten op TRHS (∑)],8)/'REKENVOLUMES'!$E$27/INDEX(Rekenvolumes[Afnameklanten op TRHS (∑)],9)</f>
        <v>#VALUE!</v>
      </c>
      <c r="D20" s="307" t="e">
        <f t="shared" si="0"/>
        <v>#VALUE!</v>
      </c>
      <c r="E20" s="308" t="e">
        <f t="shared" si="0"/>
        <v>#VALUE!</v>
      </c>
      <c r="F20" s="309" t="e">
        <f>$D$8*FACTOR_MP_TV*(INDEX(Rekenvolumes[Afnameklanten op MS (∑)],8)-(1-FACTOR_DOORVOER)*INDEX(Rekenvolumes[Doorvoer op 26-1kV],8))/('REKENVOLUMES'!$H$27-(1-FACTOR_DOORVOER)*'REKENVOLUMES'!$K$27)/(INDEX(Rekenvolumes[Afnameklanten op MS (∑)],9)-(1-FACTOR_DOORVOER)*INDEX(Rekenvolumes[Doorvoer op 26-1kV],9))</f>
        <v>#VALUE!</v>
      </c>
      <c r="G20" s="307" t="e">
        <f t="shared" si="1"/>
        <v>#VALUE!</v>
      </c>
      <c r="H20" s="310" t="e">
        <f t="shared" si="1"/>
        <v>#VALUE!</v>
      </c>
      <c r="I20" s="308" t="e">
        <f>$F20*FACTOR_DOORVOER</f>
        <v>#VALUE!</v>
      </c>
      <c r="J20" s="309" t="e">
        <f>$E$8*FACTOR_MP_TV*INDEX(Rekenvolumes[Afnameklanten op TRLS (∑)],8)/'REKENVOLUMES'!$L$27/INDEX(Rekenvolumes[Afnameklanten op TRLS (∑)],9)</f>
        <v>#VALUE!</v>
      </c>
      <c r="K20" s="306" t="e">
        <f>$J20</f>
        <v>#VALUE!</v>
      </c>
      <c r="L20" s="315"/>
      <c r="M20" s="314"/>
      <c r="N20" s="311"/>
      <c r="O20" s="318"/>
      <c r="P20" s="318"/>
      <c r="Q20" s="312"/>
      <c r="R20" s="333" t="s">
        <v>117</v>
      </c>
      <c r="S20" s="315" t="s">
        <v>117</v>
      </c>
      <c r="T20" s="315" t="str">
        <f t="shared" si="2"/>
        <v xml:space="preserve"> </v>
      </c>
      <c r="U20" s="315" t="s">
        <v>117</v>
      </c>
      <c r="V20" s="315" t="s">
        <v>117</v>
      </c>
      <c r="W20" s="316" t="s">
        <v>117</v>
      </c>
    </row>
    <row r="21" spans="1:23" ht="16.5">
      <c r="A21" s="132" t="s">
        <v>78</v>
      </c>
      <c r="B21" s="150" t="s">
        <v>107</v>
      </c>
      <c r="C21" s="306" t="e">
        <f>$C$8*FACTOR_OST*INDEX(Rekenvolumes[Afnameklanten op TRHS (∑)],10)/'REKENVOLUMES'!$E$27/INDEX(Rekenvolumes[Afnameklanten op TRHS (∑)],10)</f>
        <v>#VALUE!</v>
      </c>
      <c r="D21" s="307" t="e">
        <f t="shared" si="0"/>
        <v>#VALUE!</v>
      </c>
      <c r="E21" s="308" t="e">
        <f t="shared" si="0"/>
        <v>#VALUE!</v>
      </c>
      <c r="F21" s="309" t="e">
        <f>$D$8*FACTOR_OST*(INDEX(Rekenvolumes[Afnameklanten op MS (∑)],10)-(1-FACTOR_DOORVOER)*INDEX(Rekenvolumes[Doorvoer op 26-1kV],10))/('REKENVOLUMES'!$H$27-(1-FACTOR_DOORVOER)*'REKENVOLUMES'!$K$27)/(INDEX(Rekenvolumes[Afnameklanten op MS (∑)],10)-(1-FACTOR_DOORVOER)*INDEX(Rekenvolumes[Doorvoer op 26-1kV],10))</f>
        <v>#VALUE!</v>
      </c>
      <c r="G21" s="307" t="e">
        <f t="shared" si="1"/>
        <v>#VALUE!</v>
      </c>
      <c r="H21" s="310" t="e">
        <f t="shared" si="1"/>
        <v>#VALUE!</v>
      </c>
      <c r="I21" s="308" t="e">
        <f>$F21*FACTOR_DOORVOER</f>
        <v>#VALUE!</v>
      </c>
      <c r="J21" s="309" t="e">
        <f>$E$8*FACTOR_OST*INDEX(Rekenvolumes[Afnameklanten op TRLS (∑)],10)/'REKENVOLUMES'!$L$27/INDEX(Rekenvolumes[Afnameklanten op TRLS (∑)],10)</f>
        <v>#VALUE!</v>
      </c>
      <c r="K21" s="306" t="e">
        <f>$J21</f>
        <v>#VALUE!</v>
      </c>
      <c r="L21" s="315"/>
      <c r="M21" s="314"/>
      <c r="N21" s="311"/>
      <c r="O21" s="318"/>
      <c r="P21" s="318"/>
      <c r="Q21" s="312"/>
      <c r="R21" s="333" t="s">
        <v>117</v>
      </c>
      <c r="S21" s="315" t="s">
        <v>117</v>
      </c>
      <c r="T21" s="315" t="str">
        <f t="shared" si="2"/>
        <v xml:space="preserve"> </v>
      </c>
      <c r="U21" s="315" t="s">
        <v>117</v>
      </c>
      <c r="V21" s="315" t="s">
        <v>117</v>
      </c>
      <c r="W21" s="316" t="s">
        <v>117</v>
      </c>
    </row>
    <row r="22" spans="1:23" ht="16.5">
      <c r="A22" s="132" t="s">
        <v>78</v>
      </c>
      <c r="B22" s="150" t="s">
        <v>108</v>
      </c>
      <c r="C22" s="317"/>
      <c r="D22" s="314"/>
      <c r="E22" s="312"/>
      <c r="F22" s="316"/>
      <c r="G22" s="314"/>
      <c r="H22" s="311"/>
      <c r="I22" s="312"/>
      <c r="J22" s="316"/>
      <c r="K22" s="317"/>
      <c r="L22" s="320"/>
      <c r="M22" s="319" t="e">
        <f>PROCENT_GEMMP*$G$8/(INDEX(Rekenvolumes[Afnameklanten op LS met piekmeting],11)+FACTOR_DOORVOER*INDEX(Rekenvolumes[Doorvoer op LS met piekmeting],11))</f>
        <v>#DIV/0!</v>
      </c>
      <c r="N22" s="310" t="e">
        <f>FACTOR_DOORVOER*$M22</f>
        <v>#DIV/0!</v>
      </c>
      <c r="O22" s="318"/>
      <c r="P22" s="318"/>
      <c r="Q22" s="312"/>
      <c r="R22" s="333" t="s">
        <v>117</v>
      </c>
      <c r="S22" s="315" t="s">
        <v>117</v>
      </c>
      <c r="T22" s="315" t="str">
        <f t="shared" si="2"/>
        <v xml:space="preserve"> </v>
      </c>
      <c r="U22" s="315" t="s">
        <v>117</v>
      </c>
      <c r="V22" s="315" t="s">
        <v>117</v>
      </c>
      <c r="W22" s="316" t="s">
        <v>117</v>
      </c>
    </row>
    <row r="23" spans="1:23" ht="16.5">
      <c r="A23" s="132" t="s">
        <v>78</v>
      </c>
      <c r="B23" s="150" t="s">
        <v>109</v>
      </c>
      <c r="C23" s="317"/>
      <c r="D23" s="314"/>
      <c r="E23" s="312"/>
      <c r="F23" s="316"/>
      <c r="G23" s="314"/>
      <c r="H23" s="311"/>
      <c r="I23" s="312"/>
      <c r="J23" s="316"/>
      <c r="K23" s="317"/>
      <c r="L23" s="320"/>
      <c r="M23" s="314"/>
      <c r="N23" s="311"/>
      <c r="O23" s="313" t="e">
        <f>FACTOR_VAST*$M$22</f>
        <v>#DIV/0!</v>
      </c>
      <c r="P23" s="313" t="e">
        <f>FACTOR_DOORVOER*$O23</f>
        <v>#DIV/0!</v>
      </c>
      <c r="Q23" s="312"/>
      <c r="R23" s="333" t="s">
        <v>117</v>
      </c>
      <c r="S23" s="315" t="s">
        <v>117</v>
      </c>
      <c r="T23" s="315" t="str">
        <f t="shared" si="2"/>
        <v xml:space="preserve"> </v>
      </c>
      <c r="U23" s="315" t="s">
        <v>117</v>
      </c>
      <c r="V23" s="315" t="s">
        <v>117</v>
      </c>
      <c r="W23" s="316" t="s">
        <v>117</v>
      </c>
    </row>
    <row r="24" spans="1:23" ht="16.5">
      <c r="A24" s="132" t="s">
        <v>78</v>
      </c>
      <c r="B24" s="150" t="s">
        <v>110</v>
      </c>
      <c r="C24" s="317"/>
      <c r="D24" s="314"/>
      <c r="E24" s="312"/>
      <c r="F24" s="316"/>
      <c r="G24" s="314"/>
      <c r="H24" s="311"/>
      <c r="I24" s="312"/>
      <c r="J24" s="316"/>
      <c r="K24" s="317"/>
      <c r="L24" s="320"/>
      <c r="M24" s="319" t="e">
        <f>PROCENT_KWH*$G$8/(INDEX(Rekenvolumes[Afnameklanten op LS met piekmeting],12)+FACTOR_DOORVOER*INDEX(Rekenvolumes[Doorvoer op LS met piekmeting],12)+INDEX(Rekenvolumes[Afnameklanten op LS met piekmeting],13)+FACTOR_DOORVOER*INDEX(Rekenvolumes[Doorvoer op LS met piekmeting],13)+INDEX(Rekenvolumes[Afnameklanten op LS met piekmeting],14)+FACTOR_DOORVOER*INDEX(Rekenvolumes[Doorvoer op LS met piekmeting],14))</f>
        <v>#DIV/0!</v>
      </c>
      <c r="N24" s="310" t="e">
        <f>FACTOR_DOORVOER*$M24</f>
        <v>#DIV/0!</v>
      </c>
      <c r="O24" s="313" t="e">
        <f>($H$8-$O$23*(INDEX(Rekenvolumes[Afnameklanten op LS met klassieke meter],1)+FACTOR_DOORVOER*INDEX(Rekenvolumes[Doorvoer op LS zonder piekmeting],1)+INDEX(Rekenvolumes[Prosumenten met terugdraaiende teller op LS],1)))/('REKENVOLUMES'!$Q$28+FACTOR_DOORVOER*'REKENVOLUMES'!$R$28+'REKENVOLUMES'!$S$28)</f>
        <v>#DIV/0!</v>
      </c>
      <c r="P24" s="313" t="e">
        <f>FACTOR_DOORVOER*$O24</f>
        <v>#DIV/0!</v>
      </c>
      <c r="Q24" s="312"/>
      <c r="R24" s="333" t="s">
        <v>117</v>
      </c>
      <c r="S24" s="315" t="s">
        <v>117</v>
      </c>
      <c r="T24" s="315" t="str">
        <f t="shared" si="2"/>
        <v xml:space="preserve"> </v>
      </c>
      <c r="U24" s="315" t="s">
        <v>117</v>
      </c>
      <c r="V24" s="315" t="s">
        <v>117</v>
      </c>
      <c r="W24" s="316" t="s">
        <v>117</v>
      </c>
    </row>
    <row r="25" spans="1:23" ht="16.5">
      <c r="A25" s="132" t="s">
        <v>78</v>
      </c>
      <c r="B25" s="150" t="s">
        <v>111</v>
      </c>
      <c r="C25" s="317"/>
      <c r="D25" s="314"/>
      <c r="E25" s="312"/>
      <c r="F25" s="316"/>
      <c r="G25" s="314"/>
      <c r="H25" s="311"/>
      <c r="I25" s="312"/>
      <c r="J25" s="316"/>
      <c r="K25" s="317"/>
      <c r="L25" s="315"/>
      <c r="M25" s="314"/>
      <c r="N25" s="311"/>
      <c r="O25" s="318"/>
      <c r="P25" s="318"/>
      <c r="Q25" s="312"/>
      <c r="R25" s="334" t="e">
        <f>$I$8/INDEX(Rekenvolumes[Injectieklanten (∑)],15)</f>
        <v>#VALUE!</v>
      </c>
      <c r="S25" s="320" t="e">
        <f>$R25</f>
        <v>#VALUE!</v>
      </c>
      <c r="T25" s="320" t="e">
        <f t="shared" si="2"/>
        <v>#VALUE!</v>
      </c>
      <c r="U25" s="320" t="e">
        <f>$R25</f>
        <v>#VALUE!</v>
      </c>
      <c r="V25" s="320" t="e">
        <f>$R25</f>
        <v>#VALUE!</v>
      </c>
      <c r="W25" s="320" t="e">
        <f>$R25</f>
        <v>#VALUE!</v>
      </c>
    </row>
    <row r="26" spans="1:23">
      <c r="A26" s="132" t="s">
        <v>13</v>
      </c>
      <c r="B26" s="150" t="s">
        <v>191</v>
      </c>
      <c r="C26" s="306" t="e">
        <f>$C$9/(INDEX(Rekenvolumes[Afnameklanten op TRHS (∑)],16)+INDEX(Rekenvolumes[Afnameklanten op TRHS (∑)],17))</f>
        <v>#VALUE!</v>
      </c>
      <c r="D26" s="307" t="e">
        <f t="shared" ref="D26:E28" si="3">$C26</f>
        <v>#VALUE!</v>
      </c>
      <c r="E26" s="308" t="e">
        <f t="shared" si="3"/>
        <v>#VALUE!</v>
      </c>
      <c r="F26" s="309" t="e">
        <f>$D$9/(INDEX(Rekenvolumes[Afnameklanten op MS (∑)],16)+INDEX(Rekenvolumes[Afnameklanten op MS (∑)],17)-(1-FACTOR_DOORVOER)*INDEX(Rekenvolumes[Doorvoer op 26-1kV],16)-(1-FACTOR_DOORVOER)*INDEX(Rekenvolumes[Doorvoer op 26-1kV],17))</f>
        <v>#VALUE!</v>
      </c>
      <c r="G26" s="307" t="e">
        <f t="shared" ref="G26:H28" si="4">$F26</f>
        <v>#VALUE!</v>
      </c>
      <c r="H26" s="310" t="e">
        <f t="shared" si="4"/>
        <v>#VALUE!</v>
      </c>
      <c r="I26" s="308" t="e">
        <f>$F26*FACTOR_DOORVOER</f>
        <v>#VALUE!</v>
      </c>
      <c r="J26" s="309" t="e">
        <f>$E$9/(INDEX(Rekenvolumes[Afnameklanten op TRLS (∑)],16)+INDEX(Rekenvolumes[Afnameklanten op TRLS (∑)],17))</f>
        <v>#VALUE!</v>
      </c>
      <c r="K26" s="306" t="e">
        <f>$J26</f>
        <v>#VALUE!</v>
      </c>
      <c r="L26" s="315"/>
      <c r="M26" s="314"/>
      <c r="N26" s="311"/>
      <c r="O26" s="318"/>
      <c r="P26" s="318"/>
      <c r="Q26" s="312"/>
      <c r="R26" s="333" t="s">
        <v>117</v>
      </c>
      <c r="S26" s="315" t="s">
        <v>117</v>
      </c>
      <c r="T26" s="315" t="str">
        <f t="shared" si="2"/>
        <v xml:space="preserve"> </v>
      </c>
      <c r="U26" s="315" t="s">
        <v>117</v>
      </c>
      <c r="V26" s="315" t="s">
        <v>117</v>
      </c>
      <c r="W26" s="316" t="s">
        <v>117</v>
      </c>
    </row>
    <row r="27" spans="1:23">
      <c r="A27" s="132" t="s">
        <v>79</v>
      </c>
      <c r="B27" s="150" t="s">
        <v>7</v>
      </c>
      <c r="C27" s="346" t="e">
        <f>TAR_DATA_NIETLS_2021*CPI_JAARMIN1/CPI_2020</f>
        <v>#DIV/0!</v>
      </c>
      <c r="D27" s="174" t="e">
        <f t="shared" si="3"/>
        <v>#DIV/0!</v>
      </c>
      <c r="E27" s="175" t="e">
        <f t="shared" si="3"/>
        <v>#DIV/0!</v>
      </c>
      <c r="F27" s="349" t="e">
        <f>TAR_DATA_NIETLS_2021*CPI_JAARMIN1/CPI_2020</f>
        <v>#DIV/0!</v>
      </c>
      <c r="G27" s="174" t="e">
        <f t="shared" si="4"/>
        <v>#DIV/0!</v>
      </c>
      <c r="H27" s="260" t="e">
        <f t="shared" si="4"/>
        <v>#DIV/0!</v>
      </c>
      <c r="I27" s="175" t="e">
        <f>$F27*FACTOR_DOORVOER</f>
        <v>#DIV/0!</v>
      </c>
      <c r="J27" s="349" t="e">
        <f>TAR_DATA_NIETLS_2021*CPI_JAARMIN1/CPI_2020</f>
        <v>#DIV/0!</v>
      </c>
      <c r="K27" s="346" t="e">
        <f>$J27</f>
        <v>#DIV/0!</v>
      </c>
      <c r="L27" s="263" t="e">
        <f>TAR_DATA_LSMR3_2021*CPI_JAARMIN1/CPI_2020</f>
        <v>#DIV/0!</v>
      </c>
      <c r="M27" s="174" t="e">
        <f>$L27</f>
        <v>#DIV/0!</v>
      </c>
      <c r="N27" s="260" t="e">
        <f>FACTOR_DOORVOER*$M27</f>
        <v>#DIV/0!</v>
      </c>
      <c r="O27" s="547"/>
      <c r="P27" s="547"/>
      <c r="Q27" s="343"/>
      <c r="R27" s="548" t="s">
        <v>117</v>
      </c>
      <c r="S27" s="344" t="s">
        <v>117</v>
      </c>
      <c r="T27" s="344" t="str">
        <f t="shared" si="2"/>
        <v xml:space="preserve"> </v>
      </c>
      <c r="U27" s="344" t="s">
        <v>117</v>
      </c>
      <c r="V27" s="344" t="s">
        <v>117</v>
      </c>
      <c r="W27" s="549" t="s">
        <v>117</v>
      </c>
    </row>
    <row r="28" spans="1:23">
      <c r="A28" s="132" t="s">
        <v>79</v>
      </c>
      <c r="B28" s="150" t="s">
        <v>8</v>
      </c>
      <c r="C28" s="346" t="e">
        <f>TAR_DATA_NIETLS_2021*CPI_JAARMIN1/CPI_2020</f>
        <v>#DIV/0!</v>
      </c>
      <c r="D28" s="174" t="e">
        <f t="shared" si="3"/>
        <v>#DIV/0!</v>
      </c>
      <c r="E28" s="175" t="e">
        <f t="shared" si="3"/>
        <v>#DIV/0!</v>
      </c>
      <c r="F28" s="349" t="e">
        <f>TAR_DATA_NIETLS_2021*CPI_JAARMIN1/CPI_2020</f>
        <v>#DIV/0!</v>
      </c>
      <c r="G28" s="174" t="e">
        <f t="shared" si="4"/>
        <v>#DIV/0!</v>
      </c>
      <c r="H28" s="260" t="e">
        <f t="shared" si="4"/>
        <v>#DIV/0!</v>
      </c>
      <c r="I28" s="175" t="e">
        <f>$F28*FACTOR_DOORVOER</f>
        <v>#DIV/0!</v>
      </c>
      <c r="J28" s="349" t="e">
        <f>TAR_DATA_NIETLS_2021*CPI_JAARMIN1/CPI_2020</f>
        <v>#DIV/0!</v>
      </c>
      <c r="K28" s="346" t="e">
        <f>$J28</f>
        <v>#DIV/0!</v>
      </c>
      <c r="L28" s="259" t="e">
        <f>TAR_DATA_LSMR1_2021*CPI_JAARMIN1/CPI_2020</f>
        <v>#DIV/0!</v>
      </c>
      <c r="M28" s="174" t="e">
        <f t="shared" ref="M28:M30" si="5">$L28</f>
        <v>#DIV/0!</v>
      </c>
      <c r="N28" s="260" t="e">
        <f>FACTOR_DOORVOER*$M28</f>
        <v>#DIV/0!</v>
      </c>
      <c r="O28" s="547"/>
      <c r="P28" s="547"/>
      <c r="Q28" s="343"/>
      <c r="R28" s="548"/>
      <c r="S28" s="344"/>
      <c r="T28" s="344"/>
      <c r="U28" s="344"/>
      <c r="V28" s="344"/>
      <c r="W28" s="549"/>
    </row>
    <row r="29" spans="1:23">
      <c r="A29" s="132" t="s">
        <v>79</v>
      </c>
      <c r="B29" s="150" t="s">
        <v>264</v>
      </c>
      <c r="C29" s="347"/>
      <c r="D29" s="345"/>
      <c r="E29" s="343"/>
      <c r="F29" s="549"/>
      <c r="G29" s="345"/>
      <c r="H29" s="342"/>
      <c r="I29" s="343"/>
      <c r="J29" s="549"/>
      <c r="K29" s="347"/>
      <c r="L29" s="259" t="e">
        <f>TAR_DATA_LSMR1_2021*CPI_JAARMIN1/CPI_2020</f>
        <v>#DIV/0!</v>
      </c>
      <c r="M29" s="174" t="e">
        <f t="shared" si="5"/>
        <v>#DIV/0!</v>
      </c>
      <c r="N29" s="342"/>
      <c r="O29" s="547"/>
      <c r="P29" s="547"/>
      <c r="Q29" s="343"/>
      <c r="R29" s="548"/>
      <c r="S29" s="344"/>
      <c r="T29" s="344"/>
      <c r="U29" s="344"/>
      <c r="V29" s="344"/>
      <c r="W29" s="549"/>
    </row>
    <row r="30" spans="1:23">
      <c r="A30" s="132" t="s">
        <v>79</v>
      </c>
      <c r="B30" s="150" t="s">
        <v>265</v>
      </c>
      <c r="C30" s="347"/>
      <c r="D30" s="345"/>
      <c r="E30" s="343"/>
      <c r="F30" s="549"/>
      <c r="G30" s="345"/>
      <c r="H30" s="342"/>
      <c r="I30" s="343"/>
      <c r="J30" s="549"/>
      <c r="K30" s="347"/>
      <c r="L30" s="259" t="e">
        <f>TAR_DATA_LSMR3_2021*CPI_JAARMIN1/CPI_2020</f>
        <v>#DIV/0!</v>
      </c>
      <c r="M30" s="174" t="e">
        <f t="shared" si="5"/>
        <v>#DIV/0!</v>
      </c>
      <c r="N30" s="342"/>
      <c r="O30" s="547"/>
      <c r="P30" s="547"/>
      <c r="Q30" s="343"/>
      <c r="R30" s="548"/>
      <c r="S30" s="344"/>
      <c r="T30" s="344"/>
      <c r="U30" s="344"/>
      <c r="V30" s="344"/>
      <c r="W30" s="549"/>
    </row>
    <row r="31" spans="1:23">
      <c r="A31" s="132" t="s">
        <v>79</v>
      </c>
      <c r="B31" s="150" t="s">
        <v>124</v>
      </c>
      <c r="C31" s="347"/>
      <c r="D31" s="345"/>
      <c r="E31" s="343"/>
      <c r="F31" s="549"/>
      <c r="G31" s="345"/>
      <c r="H31" s="342"/>
      <c r="I31" s="343"/>
      <c r="J31" s="549"/>
      <c r="K31" s="347"/>
      <c r="L31" s="259" t="e">
        <f>TAR_DATA_LSMR1_2021*CPI_JAARMIN1/CPI_2020</f>
        <v>#DIV/0!</v>
      </c>
      <c r="M31" s="345"/>
      <c r="N31" s="261"/>
      <c r="O31" s="260" t="e">
        <f>$L31</f>
        <v>#DIV/0!</v>
      </c>
      <c r="P31" s="260" t="e">
        <f>FACTOR_DOORVOER*$O31</f>
        <v>#DIV/0!</v>
      </c>
      <c r="Q31" s="343"/>
      <c r="R31" s="548"/>
      <c r="S31" s="344"/>
      <c r="T31" s="344"/>
      <c r="U31" s="344"/>
      <c r="V31" s="344"/>
      <c r="W31" s="549"/>
    </row>
    <row r="32" spans="1:23">
      <c r="A32" s="132" t="s">
        <v>79</v>
      </c>
      <c r="B32" s="150" t="s">
        <v>322</v>
      </c>
      <c r="C32" s="347"/>
      <c r="D32" s="345"/>
      <c r="E32" s="343"/>
      <c r="F32" s="549"/>
      <c r="G32" s="345"/>
      <c r="H32" s="342"/>
      <c r="I32" s="343"/>
      <c r="J32" s="549"/>
      <c r="K32" s="347"/>
      <c r="L32" s="344"/>
      <c r="M32" s="345"/>
      <c r="N32" s="261"/>
      <c r="O32" s="342"/>
      <c r="P32" s="342"/>
      <c r="Q32" s="343"/>
      <c r="R32" s="348" t="e">
        <f>TAR_DATA_PROD_2021*CPI_JAARMIN1/CPI_2020</f>
        <v>#DIV/0!</v>
      </c>
      <c r="S32" s="259" t="e">
        <f>$R32</f>
        <v>#DIV/0!</v>
      </c>
      <c r="T32" s="259" t="e">
        <f t="shared" ref="T32:W32" si="6">$R32</f>
        <v>#DIV/0!</v>
      </c>
      <c r="U32" s="259" t="e">
        <f t="shared" si="6"/>
        <v>#DIV/0!</v>
      </c>
      <c r="V32" s="259" t="e">
        <f t="shared" si="6"/>
        <v>#DIV/0!</v>
      </c>
      <c r="W32" s="349" t="e">
        <f t="shared" si="6"/>
        <v>#DIV/0!</v>
      </c>
    </row>
    <row r="33" spans="1:23" ht="16.5">
      <c r="A33" s="132" t="s">
        <v>80</v>
      </c>
      <c r="B33" s="150" t="s">
        <v>211</v>
      </c>
      <c r="C33" s="306" t="e">
        <f>$C$11/(INDEX(Rekenvolumes[Afnameklanten op TRHS (∑)],12)+INDEX(Rekenvolumes[Afnameklanten op TRHS (∑)],13)+(1-KORTING_XN)*INDEX(Rekenvolumes[Afnameklanten op TRHS (∑)],14))</f>
        <v>#VALUE!</v>
      </c>
      <c r="D33" s="307" t="e">
        <f>$C33</f>
        <v>#VALUE!</v>
      </c>
      <c r="E33" s="308" t="e">
        <f>$C33</f>
        <v>#VALUE!</v>
      </c>
      <c r="F33" s="309" t="e">
        <f>$D$11/(INDEX(Rekenvolumes[Afnameklanten op MS (∑)],12)+INDEX(Rekenvolumes[Afnameklanten op MS (∑)],13)+(1-KORTING_XN)*INDEX(Rekenvolumes[Afnameklanten op MS (∑)],14)-(1-FACTOR_DOORVOER)*INDEX(Rekenvolumes[Doorvoer op 26-1kV],12)-(1-FACTOR_DOORVOER)*INDEX(Rekenvolumes[Doorvoer op 26-1kV],13)-(1-KORTING_XN)*(1-FACTOR_DOORVOER)*INDEX(Rekenvolumes[Doorvoer op 26-1kV],14))</f>
        <v>#VALUE!</v>
      </c>
      <c r="G33" s="307" t="e">
        <f>$F33</f>
        <v>#VALUE!</v>
      </c>
      <c r="H33" s="310" t="e">
        <f>$F33</f>
        <v>#VALUE!</v>
      </c>
      <c r="I33" s="308" t="e">
        <f>$F33*FACTOR_DOORVOER</f>
        <v>#VALUE!</v>
      </c>
      <c r="J33" s="309" t="e">
        <f>$E$11/(INDEX(Rekenvolumes[Afnameklanten op TRLS (∑)],12)+INDEX(Rekenvolumes[Afnameklanten op TRLS (∑)],13)+(1-KORTING_XN)*INDEX(Rekenvolumes[Afnameklanten op TRLS (∑)],14))</f>
        <v>#VALUE!</v>
      </c>
      <c r="K33" s="306" t="e">
        <f t="shared" ref="K33:K36" si="7">$J33</f>
        <v>#VALUE!</v>
      </c>
      <c r="L33" s="320" t="e">
        <f>$F$11/(INDEX(Rekenvolumes[Afnameklanten op LS (∑)],12)+INDEX(Rekenvolumes[Afnameklanten op LS (∑)],13)+(1-KORTING_XN)*INDEX(Rekenvolumes[Afnameklanten op LS (∑)],14)-(1-FACTOR_DOORVOER)*INDEX(Rekenvolumes[Doorvoer op LS met piekmeting],12)-(1-FACTOR_DOORVOER)*INDEX(Rekenvolumes[Doorvoer op LS zonder piekmeting],12)-(1-FACTOR_DOORVOER)*INDEX(Rekenvolumes[Doorvoer op LS met piekmeting],13)-(1-FACTOR_DOORVOER)*INDEX(Rekenvolumes[Doorvoer op LS zonder piekmeting],13)-(1-KORTING_XN)*(1-FACTOR_DOORVOER)*INDEX(Rekenvolumes[Doorvoer op LS met piekmeting],14)-(1-KORTING_XN)*(1-FACTOR_DOORVOER)*INDEX(Rekenvolumes[Doorvoer op LS zonder piekmeting],14))</f>
        <v>#VALUE!</v>
      </c>
      <c r="M33" s="307" t="e">
        <f>$L33</f>
        <v>#VALUE!</v>
      </c>
      <c r="N33" s="310" t="e">
        <f>FACTOR_DOORVOER*$L33</f>
        <v>#VALUE!</v>
      </c>
      <c r="O33" s="310" t="e">
        <f>$L33</f>
        <v>#VALUE!</v>
      </c>
      <c r="P33" s="310" t="e">
        <f>FACTOR_DOORVOER*$L33</f>
        <v>#VALUE!</v>
      </c>
      <c r="Q33" s="312"/>
      <c r="R33" s="333" t="s">
        <v>117</v>
      </c>
      <c r="S33" s="315" t="s">
        <v>117</v>
      </c>
      <c r="T33" s="315"/>
      <c r="U33" s="315" t="s">
        <v>117</v>
      </c>
      <c r="V33" s="315" t="s">
        <v>117</v>
      </c>
      <c r="W33" s="316" t="s">
        <v>117</v>
      </c>
    </row>
    <row r="34" spans="1:23" ht="16.5">
      <c r="A34" s="132" t="s">
        <v>80</v>
      </c>
      <c r="B34" s="150" t="s">
        <v>210</v>
      </c>
      <c r="C34" s="317"/>
      <c r="D34" s="314"/>
      <c r="E34" s="312"/>
      <c r="F34" s="309" t="e">
        <f>(1-KORTING_XN)*$F$33</f>
        <v>#VALUE!</v>
      </c>
      <c r="G34" s="314"/>
      <c r="H34" s="310" t="e">
        <f>$F34</f>
        <v>#VALUE!</v>
      </c>
      <c r="I34" s="312"/>
      <c r="J34" s="309" t="e">
        <f>(1-KORTING_XN)*$J$33</f>
        <v>#VALUE!</v>
      </c>
      <c r="K34" s="306" t="e">
        <f t="shared" si="7"/>
        <v>#VALUE!</v>
      </c>
      <c r="L34" s="320" t="e">
        <f>(1-KORTING_XN)*$L$33</f>
        <v>#VALUE!</v>
      </c>
      <c r="M34" s="307" t="e">
        <f>$L34</f>
        <v>#VALUE!</v>
      </c>
      <c r="N34" s="336"/>
      <c r="O34" s="310" t="e">
        <f>$L34</f>
        <v>#VALUE!</v>
      </c>
      <c r="P34" s="318"/>
      <c r="Q34" s="312"/>
      <c r="R34" s="333"/>
      <c r="S34" s="315"/>
      <c r="T34" s="315"/>
      <c r="U34" s="315"/>
      <c r="V34" s="315"/>
      <c r="W34" s="316"/>
    </row>
    <row r="35" spans="1:23" ht="16.5">
      <c r="A35" s="132" t="s">
        <v>9</v>
      </c>
      <c r="B35" s="150" t="s">
        <v>110</v>
      </c>
      <c r="C35" s="306" t="e">
        <f>$C$12/(INDEX(Rekenvolumes[Afnameklanten op TRHS (∑)],12)+INDEX(Rekenvolumes[Afnameklanten op TRHS (∑)],13)+INDEX(Rekenvolumes[Afnameklanten op TRHS (∑)],14))</f>
        <v>#VALUE!</v>
      </c>
      <c r="D35" s="307" t="e">
        <f t="shared" ref="D35:E36" si="8">$C35</f>
        <v>#VALUE!</v>
      </c>
      <c r="E35" s="308" t="e">
        <f t="shared" si="8"/>
        <v>#VALUE!</v>
      </c>
      <c r="F35" s="309" t="e">
        <f>$D$12/(INDEX(Rekenvolumes[Afnameklanten op MS (∑)],12)+INDEX(Rekenvolumes[Afnameklanten op MS (∑)],13)+INDEX(Rekenvolumes[Afnameklanten op MS (∑)],14)-(1-FACTOR_DOORVOER)*INDEX(Rekenvolumes[Doorvoer op 26-1kV],12)-(1-FACTOR_DOORVOER)*INDEX(Rekenvolumes[Doorvoer op 26-1kV],13)-(1-FACTOR_DOORVOER)*INDEX(Rekenvolumes[Doorvoer op 26-1kV],14))</f>
        <v>#VALUE!</v>
      </c>
      <c r="G35" s="307" t="e">
        <f>$F35</f>
        <v>#VALUE!</v>
      </c>
      <c r="H35" s="310" t="e">
        <f t="shared" ref="H35:H36" si="9">$F35</f>
        <v>#VALUE!</v>
      </c>
      <c r="I35" s="308" t="e">
        <f>$F35*FACTOR_DOORVOER</f>
        <v>#VALUE!</v>
      </c>
      <c r="J35" s="309" t="e">
        <f>$E$12/(INDEX(Rekenvolumes[Afnameklanten op TRLS (∑)],12)+INDEX(Rekenvolumes[Afnameklanten op TRLS (∑)],13)+INDEX(Rekenvolumes[Afnameklanten op TRLS (∑)],14))</f>
        <v>#VALUE!</v>
      </c>
      <c r="K35" s="306" t="e">
        <f t="shared" si="7"/>
        <v>#VALUE!</v>
      </c>
      <c r="L35" s="320" t="e">
        <f>$F$12/(INDEX(Rekenvolumes[Afnameklanten op LS (∑)],12)+INDEX(Rekenvolumes[Afnameklanten op LS (∑)],13)+INDEX(Rekenvolumes[Afnameklanten op LS (∑)],14)-(1-FACTOR_DOORVOER)*INDEX(Rekenvolumes[Doorvoer op LS met piekmeting],12)-(1-FACTOR_DOORVOER)*INDEX(Rekenvolumes[Doorvoer op LS zonder piekmeting],12)-(1-FACTOR_DOORVOER)*INDEX(Rekenvolumes[Doorvoer op LS met piekmeting],13)-(1-FACTOR_DOORVOER)*INDEX(Rekenvolumes[Doorvoer op LS zonder piekmeting],13)-(1-FACTOR_DOORVOER)*INDEX(Rekenvolumes[Doorvoer op LS met piekmeting],14)-(1-FACTOR_DOORVOER)*INDEX(Rekenvolumes[Doorvoer op LS zonder piekmeting],14))</f>
        <v>#VALUE!</v>
      </c>
      <c r="M35" s="307" t="e">
        <f>$L35</f>
        <v>#VALUE!</v>
      </c>
      <c r="N35" s="310" t="e">
        <f>FACTOR_DOORVOER*$L35</f>
        <v>#VALUE!</v>
      </c>
      <c r="O35" s="310" t="e">
        <f t="shared" ref="O35" si="10">$L35</f>
        <v>#VALUE!</v>
      </c>
      <c r="P35" s="310" t="e">
        <f>FACTOR_DOORVOER*$L35</f>
        <v>#VALUE!</v>
      </c>
      <c r="Q35" s="312"/>
      <c r="R35" s="333" t="s">
        <v>117</v>
      </c>
      <c r="S35" s="315" t="s">
        <v>117</v>
      </c>
      <c r="T35" s="315"/>
      <c r="U35" s="315" t="s">
        <v>117</v>
      </c>
      <c r="V35" s="315" t="s">
        <v>117</v>
      </c>
      <c r="W35" s="316" t="s">
        <v>117</v>
      </c>
    </row>
    <row r="36" spans="1:23" ht="16.5">
      <c r="A36" s="133" t="s">
        <v>81</v>
      </c>
      <c r="B36" s="151" t="s">
        <v>263</v>
      </c>
      <c r="C36" s="306" t="e">
        <f>$C$13/(INDEX(Rekenvolumes[Afnameklanten op TRHS (∑)],12)+INDEX(Rekenvolumes[Afnameklanten op TRHS (∑)],13)+INDEX(Rekenvolumes[Afnameklanten op TRHS (∑)],14))</f>
        <v>#DIV/0!</v>
      </c>
      <c r="D36" s="322" t="e">
        <f t="shared" si="8"/>
        <v>#DIV/0!</v>
      </c>
      <c r="E36" s="323" t="e">
        <f t="shared" si="8"/>
        <v>#DIV/0!</v>
      </c>
      <c r="F36" s="309" t="e">
        <f>$D$13/(INDEX(Rekenvolumes[Afnameklanten op MS (∑)],12)+INDEX(Rekenvolumes[Afnameklanten op MS (∑)],13)+INDEX(Rekenvolumes[Afnameklanten op MS (∑)],14)-(1-FACTOR_DOORVOER)*INDEX(Rekenvolumes[Doorvoer op 26-1kV],12)-(1-FACTOR_DOORVOER)*INDEX(Rekenvolumes[Doorvoer op 26-1kV],13)-(1-FACTOR_DOORVOER)*INDEX(Rekenvolumes[Doorvoer op 26-1kV],14))</f>
        <v>#DIV/0!</v>
      </c>
      <c r="G36" s="322" t="e">
        <f>$F36</f>
        <v>#DIV/0!</v>
      </c>
      <c r="H36" s="325" t="e">
        <f t="shared" si="9"/>
        <v>#DIV/0!</v>
      </c>
      <c r="I36" s="323" t="e">
        <f>$F36*FACTOR_DOORVOER</f>
        <v>#DIV/0!</v>
      </c>
      <c r="J36" s="324" t="e">
        <f>$E$13/(INDEX(Rekenvolumes[Afnameklanten op TRLS (∑)],12)+INDEX(Rekenvolumes[Afnameklanten op TRLS (∑)],13)+INDEX(Rekenvolumes[Afnameklanten op TRLS (∑)],14))</f>
        <v>#DIV/0!</v>
      </c>
      <c r="K36" s="321" t="e">
        <f t="shared" si="7"/>
        <v>#DIV/0!</v>
      </c>
      <c r="L36" s="546" t="e">
        <f>$F$13/(INDEX(Rekenvolumes[Afnameklanten op LS (∑)],12)+INDEX(Rekenvolumes[Afnameklanten op LS (∑)],13)+INDEX(Rekenvolumes[Afnameklanten op LS (∑)],14)-(1-FACTOR_DOORVOER)*INDEX(Rekenvolumes[Doorvoer op LS met piekmeting],12)-(1-FACTOR_DOORVOER)*INDEX(Rekenvolumes[Doorvoer op LS zonder piekmeting],12)-(1-FACTOR_DOORVOER)*INDEX(Rekenvolumes[Doorvoer op LS met piekmeting],13)-(1-FACTOR_DOORVOER)*INDEX(Rekenvolumes[Doorvoer op LS zonder piekmeting],13)-(1-FACTOR_DOORVOER)*INDEX(Rekenvolumes[Doorvoer op LS met piekmeting],14)-(1-FACTOR_DOORVOER)*INDEX(Rekenvolumes[Doorvoer op LS zonder piekmeting],14))</f>
        <v>#DIV/0!</v>
      </c>
      <c r="M36" s="307" t="e">
        <f>$L36</f>
        <v>#DIV/0!</v>
      </c>
      <c r="N36" s="310" t="e">
        <f>FACTOR_DOORVOER*$L36</f>
        <v>#DIV/0!</v>
      </c>
      <c r="O36" s="310" t="e">
        <f t="shared" ref="O36" si="11">$L36</f>
        <v>#DIV/0!</v>
      </c>
      <c r="P36" s="313" t="e">
        <f>FACTOR_DOORVOER*$L36</f>
        <v>#DIV/0!</v>
      </c>
      <c r="Q36" s="331"/>
      <c r="R36" s="335"/>
      <c r="S36" s="327"/>
      <c r="T36" s="327"/>
      <c r="U36" s="327"/>
      <c r="V36" s="327"/>
      <c r="W36" s="328"/>
    </row>
    <row r="37" spans="1:23" ht="17" thickBot="1">
      <c r="A37" s="133" t="s">
        <v>475</v>
      </c>
      <c r="B37" s="338" t="s">
        <v>148</v>
      </c>
      <c r="C37" s="329"/>
      <c r="D37" s="330"/>
      <c r="E37" s="331"/>
      <c r="F37" s="328"/>
      <c r="G37" s="330"/>
      <c r="H37" s="326"/>
      <c r="I37" s="331"/>
      <c r="J37" s="328"/>
      <c r="K37" s="329"/>
      <c r="L37" s="327" t="s">
        <v>117</v>
      </c>
      <c r="M37" s="330" t="s">
        <v>117</v>
      </c>
      <c r="N37" s="326" t="s">
        <v>117</v>
      </c>
      <c r="O37" s="332" t="s">
        <v>117</v>
      </c>
      <c r="P37" s="332" t="s">
        <v>117</v>
      </c>
      <c r="Q37" s="1588" t="e">
        <f>$Q$54</f>
        <v>#DIV/0!</v>
      </c>
      <c r="R37" s="335" t="s">
        <v>117</v>
      </c>
      <c r="S37" s="327" t="s">
        <v>117</v>
      </c>
      <c r="T37" s="327" t="str">
        <f t="shared" si="2"/>
        <v xml:space="preserve"> </v>
      </c>
      <c r="U37" s="327" t="s">
        <v>117</v>
      </c>
      <c r="V37" s="327" t="s">
        <v>117</v>
      </c>
      <c r="W37" s="328" t="s">
        <v>117</v>
      </c>
    </row>
    <row r="41" spans="1:23" ht="15.75" customHeight="1" thickBot="1">
      <c r="N41" s="158"/>
      <c r="O41" s="133"/>
      <c r="P41" s="133"/>
      <c r="Q41" s="133"/>
      <c r="R41" s="159"/>
    </row>
    <row r="42" spans="1:23" ht="15" thickBot="1">
      <c r="N42" s="1852"/>
      <c r="O42" s="161"/>
      <c r="P42" s="558" t="e">
        <f>SUM($O$24,$O$33,$O$35:$O$36)</f>
        <v>#DIV/0!</v>
      </c>
      <c r="Q42" s="161" t="s">
        <v>192</v>
      </c>
      <c r="R42" s="162"/>
    </row>
    <row r="43" spans="1:23" ht="15" thickBot="1">
      <c r="N43" s="1852"/>
      <c r="O43" s="161"/>
      <c r="P43" s="161"/>
      <c r="Q43" s="161"/>
      <c r="R43" s="162"/>
    </row>
    <row r="44" spans="1:23" ht="15" thickBot="1">
      <c r="N44" s="1852"/>
      <c r="O44" s="161"/>
      <c r="P44" s="163" t="s">
        <v>193</v>
      </c>
      <c r="Q44" s="157">
        <f>OMVORMERVERMOGEN</f>
        <v>0</v>
      </c>
      <c r="R44" s="162"/>
    </row>
    <row r="45" spans="1:23" ht="15" thickBot="1">
      <c r="N45" s="1852"/>
      <c r="O45" s="161"/>
      <c r="P45" s="163"/>
      <c r="Q45" s="164"/>
      <c r="R45" s="162"/>
    </row>
    <row r="46" spans="1:23" ht="15" thickBot="1">
      <c r="N46" s="1852"/>
      <c r="O46" s="161"/>
      <c r="P46" s="163" t="s">
        <v>194</v>
      </c>
      <c r="Q46" s="157">
        <f>$Q$44/DIM_OMV</f>
        <v>0</v>
      </c>
      <c r="R46" s="162"/>
    </row>
    <row r="47" spans="1:23" ht="15" thickBot="1">
      <c r="N47" s="1852"/>
      <c r="O47" s="161"/>
      <c r="P47" s="163"/>
      <c r="Q47" s="164"/>
      <c r="R47" s="162"/>
    </row>
    <row r="48" spans="1:23" ht="15" thickBot="1">
      <c r="N48" s="1852"/>
      <c r="O48" s="161"/>
      <c r="P48" s="163" t="s">
        <v>195</v>
      </c>
      <c r="Q48" s="157">
        <f>$Q$46*VOLLASTUREN</f>
        <v>0</v>
      </c>
      <c r="R48" s="162"/>
    </row>
    <row r="49" spans="14:18" ht="15" thickBot="1">
      <c r="N49" s="1852"/>
      <c r="O49" s="161"/>
      <c r="P49" s="163"/>
      <c r="Q49" s="164"/>
      <c r="R49" s="162"/>
    </row>
    <row r="50" spans="14:18" ht="15" thickBot="1">
      <c r="N50" s="1852"/>
      <c r="O50" s="161"/>
      <c r="P50" s="163" t="s">
        <v>196</v>
      </c>
      <c r="Q50" s="157">
        <f>$Q$48*(1-ZELFCONSUMPTIE)</f>
        <v>0</v>
      </c>
      <c r="R50" s="162"/>
    </row>
    <row r="51" spans="14:18" ht="15" thickBot="1">
      <c r="N51" s="1852"/>
      <c r="O51" s="161"/>
      <c r="P51" s="161"/>
      <c r="Q51" s="161"/>
      <c r="R51" s="162"/>
    </row>
    <row r="52" spans="14:18" ht="15" thickBot="1">
      <c r="N52" s="1852"/>
      <c r="O52" s="161"/>
      <c r="P52" s="163" t="s">
        <v>197</v>
      </c>
      <c r="Q52" s="1116" t="e">
        <f>$P$42*$Q$50</f>
        <v>#DIV/0!</v>
      </c>
      <c r="R52" s="162"/>
    </row>
    <row r="53" spans="14:18" ht="15" customHeight="1" thickBot="1">
      <c r="N53" s="1852"/>
      <c r="O53" s="161"/>
      <c r="P53" s="161"/>
      <c r="Q53" s="161"/>
      <c r="R53" s="162"/>
    </row>
    <row r="54" spans="14:18" ht="15" thickBot="1">
      <c r="N54" s="1852"/>
      <c r="O54" s="161"/>
      <c r="P54" s="163" t="s">
        <v>198</v>
      </c>
      <c r="Q54" s="544" t="e">
        <f>$Q$52/$Q$44</f>
        <v>#DIV/0!</v>
      </c>
      <c r="R54" s="162"/>
    </row>
    <row r="55" spans="14:18" ht="15" customHeight="1">
      <c r="N55" s="165"/>
      <c r="O55" s="166"/>
      <c r="P55" s="166"/>
      <c r="Q55" s="166"/>
      <c r="R55" s="167"/>
    </row>
  </sheetData>
  <sheetProtection algorithmName="SHA-512" hashValue="s7oCXOIIqitu9EsZy5CC2/USqr8g4o53nBA0ra5VGR/v5q8fK1/gq/R0i19uUkFpcMwKmt5gibXOpQXI90INLA==" saltValue="nY1S7X9+hzxeJeCYkmrQLQ==" spinCount="100000" sheet="1" objects="1" scenarios="1"/>
  <mergeCells count="3">
    <mergeCell ref="E4:F4"/>
    <mergeCell ref="N42:N54"/>
    <mergeCell ref="A1:J1"/>
  </mergeCells>
  <phoneticPr fontId="50" type="noConversion"/>
  <pageMargins left="0.7" right="0.7" top="0.75" bottom="0.75" header="0.3" footer="0.3"/>
  <pageSetup paperSize="9" orientation="portrait" r:id="rId1"/>
  <ignoredErrors>
    <ignoredError sqref="U37:W37 U33:W33 U35:W35 U19:W24 U26:W27 S26:S27 S19:S24 S35 S33 S37" calculatedColumn="1"/>
  </ignoredErrors>
  <tableParts count="2">
    <tablePart r:id="rId2"/>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ublished="0" codeName="Blad33"/>
  <dimension ref="A1:W38"/>
  <sheetViews>
    <sheetView zoomScaleNormal="100" workbookViewId="0">
      <selection activeCell="E4" sqref="E4:F4"/>
    </sheetView>
  </sheetViews>
  <sheetFormatPr defaultColWidth="20.7265625" defaultRowHeight="14.5"/>
  <cols>
    <col min="1" max="1" width="40.7265625" style="1" customWidth="1"/>
    <col min="2" max="9" width="20.7265625" style="1"/>
    <col min="10" max="15" width="20.7265625" style="1" customWidth="1"/>
    <col min="16" max="16384" width="20.7265625" style="1"/>
  </cols>
  <sheetData>
    <row r="1" spans="1:23" ht="18.5" thickBot="1">
      <c r="A1" s="1713" t="s">
        <v>532</v>
      </c>
      <c r="B1" s="1714"/>
      <c r="C1" s="1714"/>
      <c r="D1" s="1714"/>
      <c r="E1" s="1714"/>
      <c r="F1" s="1714"/>
      <c r="G1" s="1714"/>
      <c r="H1" s="1714"/>
      <c r="I1" s="1714"/>
      <c r="J1" s="1780"/>
    </row>
    <row r="2" spans="1:23" ht="18">
      <c r="A2" s="52"/>
      <c r="B2" s="52"/>
      <c r="C2" s="52"/>
      <c r="D2" s="52"/>
      <c r="E2" s="52"/>
      <c r="F2" s="63"/>
      <c r="G2" s="63"/>
    </row>
    <row r="3" spans="1:23" ht="15" thickBot="1">
      <c r="A3" s="54"/>
      <c r="B3" s="54"/>
      <c r="C3" s="54"/>
      <c r="D3" s="54"/>
      <c r="E3" s="55"/>
      <c r="F3" s="64"/>
      <c r="G3" s="64"/>
    </row>
    <row r="4" spans="1:23" ht="15" thickBot="1">
      <c r="A4" s="56"/>
      <c r="C4" s="57" t="s">
        <v>6</v>
      </c>
      <c r="D4" s="56"/>
      <c r="E4" s="1706" t="str">
        <f>DNB</f>
        <v>Naam distributienetbeheerder</v>
      </c>
      <c r="F4" s="1708"/>
      <c r="G4" s="66"/>
    </row>
    <row r="6" spans="1:23" ht="15" thickBot="1"/>
    <row r="7" spans="1:23" ht="44" thickBot="1">
      <c r="A7" s="254" t="s">
        <v>77</v>
      </c>
      <c r="B7" s="155" t="s">
        <v>104</v>
      </c>
      <c r="C7" s="75" t="s">
        <v>293</v>
      </c>
      <c r="D7" s="156" t="s">
        <v>97</v>
      </c>
      <c r="E7" s="145" t="s">
        <v>127</v>
      </c>
      <c r="F7" s="76" t="s">
        <v>294</v>
      </c>
      <c r="G7" s="156" t="s">
        <v>128</v>
      </c>
      <c r="H7" s="144" t="s">
        <v>260</v>
      </c>
      <c r="I7" s="145" t="s">
        <v>261</v>
      </c>
      <c r="J7" s="76" t="s">
        <v>268</v>
      </c>
      <c r="K7" s="545" t="s">
        <v>98</v>
      </c>
      <c r="L7" s="341" t="s">
        <v>295</v>
      </c>
      <c r="M7" s="156" t="s">
        <v>114</v>
      </c>
      <c r="N7" s="144" t="s">
        <v>494</v>
      </c>
      <c r="O7" s="266" t="s">
        <v>115</v>
      </c>
      <c r="P7" s="266" t="s">
        <v>495</v>
      </c>
      <c r="Q7" s="145" t="s">
        <v>116</v>
      </c>
      <c r="R7" s="267" t="s">
        <v>269</v>
      </c>
      <c r="S7" s="146" t="s">
        <v>203</v>
      </c>
      <c r="T7" s="146" t="s">
        <v>307</v>
      </c>
      <c r="U7" s="146" t="s">
        <v>262</v>
      </c>
      <c r="V7" s="146" t="s">
        <v>99</v>
      </c>
      <c r="W7" s="147" t="s">
        <v>100</v>
      </c>
    </row>
    <row r="8" spans="1:23" ht="16.5">
      <c r="A8" s="132" t="s">
        <v>78</v>
      </c>
      <c r="B8" s="149" t="s">
        <v>105</v>
      </c>
      <c r="C8" s="306" t="e">
        <f>PROCENT_VERHOGING_NA_MAX*INDEX(Tabel3B[Afnameklanten op TRHS (∑)],1)</f>
        <v>#VALUE!</v>
      </c>
      <c r="D8" s="307" t="e">
        <f>PROCENT_VERHOGING_NA_MAX*INDEX(Tabel3B[Afnameklanten op TRHS],1)</f>
        <v>#VALUE!</v>
      </c>
      <c r="E8" s="308" t="e">
        <f>PROCENT_VERHOGING_NA_MAX*INDEX(Tabel3B[Afnameklanten op &gt;26-36 kV met AV ≥ 5MVA],1)</f>
        <v>#VALUE!</v>
      </c>
      <c r="F8" s="309" t="e">
        <f>PROCENT_VERHOGING_NA_MAX*INDEX(Tabel3B[Afnameklanten op MS (∑)],1)</f>
        <v>#VALUE!</v>
      </c>
      <c r="G8" s="307" t="e">
        <f>PROCENT_VERHOGING_NA_MAX*INDEX(Tabel3B[Afnameklanten op &gt;26-36 kV met AV &lt; 5MVA],1)</f>
        <v>#VALUE!</v>
      </c>
      <c r="H8" s="310" t="e">
        <f>PROCENT_VERHOGING_NA_MAX*INDEX(Tabel3B[Afnameklanten op 26-1kV],1)</f>
        <v>#VALUE!</v>
      </c>
      <c r="I8" s="308" t="e">
        <f>PROCENT_VERHOGING_NA_MAX*INDEX(Tabel3B[Doorvoer op 26-1kV],1)</f>
        <v>#VALUE!</v>
      </c>
      <c r="J8" s="309" t="e">
        <f>PROCENT_VERHOGING_NA_MAX*INDEX(Tabel3B[Afnameklanten op TRLS (∑)],1)</f>
        <v>#VALUE!</v>
      </c>
      <c r="K8" s="306" t="e">
        <f>PROCENT_VERHOGING_NA_MAX*INDEX(Tabel3B[Afnameklanten op TRLS],1)</f>
        <v>#VALUE!</v>
      </c>
      <c r="L8" s="315" t="s">
        <v>117</v>
      </c>
      <c r="M8" s="314" t="s">
        <v>117</v>
      </c>
      <c r="N8" s="311" t="s">
        <v>117</v>
      </c>
      <c r="O8" s="318" t="s">
        <v>117</v>
      </c>
      <c r="P8" s="318" t="s">
        <v>117</v>
      </c>
      <c r="Q8" s="312" t="s">
        <v>117</v>
      </c>
      <c r="R8" s="333" t="str">
        <f>INDEX(Tabel3B[Injectieklanten (∑)],1)</f>
        <v xml:space="preserve"> </v>
      </c>
      <c r="S8" s="315" t="str">
        <f>INDEX(Tabel3B[Injectieklanten op TRHS],1)</f>
        <v xml:space="preserve"> </v>
      </c>
      <c r="T8" s="315" t="str">
        <f>INDEX(Tabel3B[Injectieklanten  op &gt;26-36kV],1)</f>
        <v xml:space="preserve"> </v>
      </c>
      <c r="U8" s="315" t="str">
        <f>INDEX(Tabel3B[Injectieklanten op 26-1kV],1)</f>
        <v xml:space="preserve"> </v>
      </c>
      <c r="V8" s="315" t="str">
        <f>INDEX(Tabel3B[Injectieklanten op TRLS],1)</f>
        <v xml:space="preserve"> </v>
      </c>
      <c r="W8" s="316" t="str">
        <f>INDEX(Tabel3B[Injectieklanten op LS],1)</f>
        <v xml:space="preserve"> </v>
      </c>
    </row>
    <row r="9" spans="1:23" ht="16.5">
      <c r="A9" s="132" t="s">
        <v>78</v>
      </c>
      <c r="B9" s="150" t="s">
        <v>106</v>
      </c>
      <c r="C9" s="306" t="e">
        <f>PROCENT_VERHOGING_NA_MAX*INDEX(Tabel3B[Afnameklanten op TRHS (∑)],2)</f>
        <v>#VALUE!</v>
      </c>
      <c r="D9" s="307" t="e">
        <f>PROCENT_VERHOGING_NA_MAX*INDEX(Tabel3B[Afnameklanten op TRHS],2)</f>
        <v>#VALUE!</v>
      </c>
      <c r="E9" s="308" t="e">
        <f>PROCENT_VERHOGING_NA_MAX*INDEX(Tabel3B[Afnameklanten op &gt;26-36 kV met AV ≥ 5MVA],2)</f>
        <v>#VALUE!</v>
      </c>
      <c r="F9" s="309" t="e">
        <f>PROCENT_VERHOGING_NA_MAX*INDEX(Tabel3B[Afnameklanten op MS (∑)],2)</f>
        <v>#VALUE!</v>
      </c>
      <c r="G9" s="307" t="e">
        <f>PROCENT_VERHOGING_NA_MAX*INDEX(Tabel3B[Afnameklanten op &gt;26-36 kV met AV &lt; 5MVA],2)</f>
        <v>#VALUE!</v>
      </c>
      <c r="H9" s="310" t="e">
        <f>PROCENT_VERHOGING_NA_MAX*INDEX(Tabel3B[Afnameklanten op 26-1kV],2)</f>
        <v>#VALUE!</v>
      </c>
      <c r="I9" s="308" t="e">
        <f>PROCENT_VERHOGING_NA_MAX*INDEX(Tabel3B[Doorvoer op 26-1kV],2)</f>
        <v>#VALUE!</v>
      </c>
      <c r="J9" s="309" t="e">
        <f>PROCENT_VERHOGING_NA_MAX*INDEX(Tabel3B[Afnameklanten op TRLS (∑)],2)</f>
        <v>#VALUE!</v>
      </c>
      <c r="K9" s="306" t="e">
        <f>PROCENT_VERHOGING_NA_MAX*INDEX(Tabel3B[Afnameklanten op TRLS],2)</f>
        <v>#VALUE!</v>
      </c>
      <c r="L9" s="315"/>
      <c r="M9" s="314"/>
      <c r="N9" s="311"/>
      <c r="O9" s="318"/>
      <c r="P9" s="318"/>
      <c r="Q9" s="312"/>
      <c r="R9" s="333" t="str">
        <f>INDEX(Tabel3B[Injectieklanten (∑)],2)</f>
        <v xml:space="preserve"> </v>
      </c>
      <c r="S9" s="315" t="str">
        <f>INDEX(Tabel3B[Injectieklanten op TRHS],2)</f>
        <v xml:space="preserve"> </v>
      </c>
      <c r="T9" s="315" t="str">
        <f>INDEX(Tabel3B[Injectieklanten  op &gt;26-36kV],2)</f>
        <v xml:space="preserve"> </v>
      </c>
      <c r="U9" s="315" t="str">
        <f>INDEX(Tabel3B[Injectieklanten op 26-1kV],2)</f>
        <v xml:space="preserve"> </v>
      </c>
      <c r="V9" s="315" t="str">
        <f>INDEX(Tabel3B[Injectieklanten op TRLS],2)</f>
        <v xml:space="preserve"> </v>
      </c>
      <c r="W9" s="316" t="str">
        <f>INDEX(Tabel3B[Injectieklanten op LS],2)</f>
        <v xml:space="preserve"> </v>
      </c>
    </row>
    <row r="10" spans="1:23" ht="16.5">
      <c r="A10" s="132" t="s">
        <v>78</v>
      </c>
      <c r="B10" s="150" t="s">
        <v>107</v>
      </c>
      <c r="C10" s="306" t="e">
        <f>PROCENT_VERHOGING_NA_MAX*INDEX(Tabel3B[Afnameklanten op TRHS (∑)],3)</f>
        <v>#VALUE!</v>
      </c>
      <c r="D10" s="307" t="e">
        <f>PROCENT_VERHOGING_NA_MAX*INDEX(Tabel3B[Afnameklanten op TRHS],3)</f>
        <v>#VALUE!</v>
      </c>
      <c r="E10" s="308" t="e">
        <f>PROCENT_VERHOGING_NA_MAX*INDEX(Tabel3B[Afnameklanten op &gt;26-36 kV met AV ≥ 5MVA],3)</f>
        <v>#VALUE!</v>
      </c>
      <c r="F10" s="309" t="e">
        <f>PROCENT_VERHOGING_NA_MAX*INDEX(Tabel3B[Afnameklanten op MS (∑)],3)</f>
        <v>#VALUE!</v>
      </c>
      <c r="G10" s="307" t="e">
        <f>PROCENT_VERHOGING_NA_MAX*INDEX(Tabel3B[Afnameklanten op &gt;26-36 kV met AV &lt; 5MVA],3)</f>
        <v>#VALUE!</v>
      </c>
      <c r="H10" s="310" t="e">
        <f>PROCENT_VERHOGING_NA_MAX*INDEX(Tabel3B[Afnameklanten op 26-1kV],3)</f>
        <v>#VALUE!</v>
      </c>
      <c r="I10" s="308" t="e">
        <f>PROCENT_VERHOGING_NA_MAX*INDEX(Tabel3B[Doorvoer op 26-1kV],3)</f>
        <v>#VALUE!</v>
      </c>
      <c r="J10" s="309" t="e">
        <f>PROCENT_VERHOGING_NA_MAX*INDEX(Tabel3B[Afnameklanten op TRLS (∑)],3)</f>
        <v>#VALUE!</v>
      </c>
      <c r="K10" s="306" t="e">
        <f>PROCENT_VERHOGING_NA_MAX*INDEX(Tabel3B[Afnameklanten op TRLS],3)</f>
        <v>#VALUE!</v>
      </c>
      <c r="L10" s="315"/>
      <c r="M10" s="314"/>
      <c r="N10" s="311"/>
      <c r="O10" s="318"/>
      <c r="P10" s="318"/>
      <c r="Q10" s="312"/>
      <c r="R10" s="333" t="str">
        <f>INDEX(Tabel3B[Injectieklanten (∑)],3)</f>
        <v xml:space="preserve"> </v>
      </c>
      <c r="S10" s="315" t="str">
        <f>INDEX(Tabel3B[Injectieklanten op TRHS],3)</f>
        <v xml:space="preserve"> </v>
      </c>
      <c r="T10" s="315" t="str">
        <f>INDEX(Tabel3B[Injectieklanten  op &gt;26-36kV],3)</f>
        <v xml:space="preserve"> </v>
      </c>
      <c r="U10" s="315" t="str">
        <f>INDEX(Tabel3B[Injectieklanten op 26-1kV],3)</f>
        <v xml:space="preserve"> </v>
      </c>
      <c r="V10" s="315" t="str">
        <f>INDEX(Tabel3B[Injectieklanten op TRLS],3)</f>
        <v xml:space="preserve"> </v>
      </c>
      <c r="W10" s="316" t="str">
        <f>INDEX(Tabel3B[Injectieklanten op LS],3)</f>
        <v xml:space="preserve"> </v>
      </c>
    </row>
    <row r="11" spans="1:23" ht="16.5">
      <c r="A11" s="132" t="s">
        <v>78</v>
      </c>
      <c r="B11" s="150" t="s">
        <v>108</v>
      </c>
      <c r="C11" s="317"/>
      <c r="D11" s="314"/>
      <c r="E11" s="312"/>
      <c r="F11" s="316"/>
      <c r="G11" s="314"/>
      <c r="H11" s="311"/>
      <c r="I11" s="312"/>
      <c r="J11" s="316"/>
      <c r="K11" s="317"/>
      <c r="L11" s="320"/>
      <c r="M11" s="319" t="e">
        <f>PROCENT_VERHOGING_NA_MAX*INDEX(Tabel3B[Afnameklanten op LS met piekmeting],4)</f>
        <v>#DIV/0!</v>
      </c>
      <c r="N11" s="337" t="e">
        <f>PROCENT_VERHOGING_NA_MAX*INDEX(Tabel3B[Doorvoer op LS met piekmeting],4)</f>
        <v>#DIV/0!</v>
      </c>
      <c r="O11" s="318"/>
      <c r="P11" s="318"/>
      <c r="Q11" s="312"/>
      <c r="R11" s="333" t="str">
        <f>INDEX(Tabel3B[Injectieklanten (∑)],4)</f>
        <v xml:space="preserve"> </v>
      </c>
      <c r="S11" s="315" t="str">
        <f>INDEX(Tabel3B[Injectieklanten op TRHS],4)</f>
        <v xml:space="preserve"> </v>
      </c>
      <c r="T11" s="315" t="str">
        <f>INDEX(Tabel3B[Injectieklanten  op &gt;26-36kV],4)</f>
        <v xml:space="preserve"> </v>
      </c>
      <c r="U11" s="315" t="str">
        <f>INDEX(Tabel3B[Injectieklanten op 26-1kV],4)</f>
        <v xml:space="preserve"> </v>
      </c>
      <c r="V11" s="315" t="str">
        <f>INDEX(Tabel3B[Injectieklanten op TRLS],4)</f>
        <v xml:space="preserve"> </v>
      </c>
      <c r="W11" s="316" t="str">
        <f>INDEX(Tabel3B[Injectieklanten op LS],4)</f>
        <v xml:space="preserve"> </v>
      </c>
    </row>
    <row r="12" spans="1:23" ht="16.5">
      <c r="A12" s="132" t="s">
        <v>78</v>
      </c>
      <c r="B12" s="150" t="s">
        <v>109</v>
      </c>
      <c r="C12" s="317"/>
      <c r="D12" s="314"/>
      <c r="E12" s="312"/>
      <c r="F12" s="316"/>
      <c r="G12" s="314"/>
      <c r="H12" s="311"/>
      <c r="I12" s="312"/>
      <c r="J12" s="316"/>
      <c r="K12" s="317"/>
      <c r="L12" s="320"/>
      <c r="M12" s="314"/>
      <c r="N12" s="311"/>
      <c r="O12" s="313" t="e">
        <f>PROCENT_VERHOGING_NA_MAX*INDEX(Tabel3B[Afnameklanten op LS met klassieke meter],5)</f>
        <v>#DIV/0!</v>
      </c>
      <c r="P12" s="313" t="e">
        <f>PROCENT_VERHOGING_NA_MAX*INDEX(Tabel3B[Doorvoer op LS zonder piekmeting],5)</f>
        <v>#DIV/0!</v>
      </c>
      <c r="Q12" s="312"/>
      <c r="R12" s="333" t="str">
        <f>INDEX(Tabel3B[Injectieklanten (∑)],5)</f>
        <v xml:space="preserve"> </v>
      </c>
      <c r="S12" s="315" t="str">
        <f>INDEX(Tabel3B[Injectieklanten op TRHS],5)</f>
        <v xml:space="preserve"> </v>
      </c>
      <c r="T12" s="315" t="str">
        <f>INDEX(Tabel3B[Injectieklanten  op &gt;26-36kV],5)</f>
        <v xml:space="preserve"> </v>
      </c>
      <c r="U12" s="315" t="str">
        <f>INDEX(Tabel3B[Injectieklanten op 26-1kV],5)</f>
        <v xml:space="preserve"> </v>
      </c>
      <c r="V12" s="315" t="str">
        <f>INDEX(Tabel3B[Injectieklanten op TRLS],5)</f>
        <v xml:space="preserve"> </v>
      </c>
      <c r="W12" s="316" t="str">
        <f>INDEX(Tabel3B[Injectieklanten op LS],5)</f>
        <v xml:space="preserve"> </v>
      </c>
    </row>
    <row r="13" spans="1:23" ht="16.5">
      <c r="A13" s="132" t="s">
        <v>78</v>
      </c>
      <c r="B13" s="150" t="s">
        <v>110</v>
      </c>
      <c r="C13" s="317"/>
      <c r="D13" s="314"/>
      <c r="E13" s="312"/>
      <c r="F13" s="316"/>
      <c r="G13" s="314"/>
      <c r="H13" s="311"/>
      <c r="I13" s="312"/>
      <c r="J13" s="316"/>
      <c r="K13" s="317"/>
      <c r="L13" s="320"/>
      <c r="M13" s="319" t="e">
        <f>PROCENT_VERHOGING_NA_MAX*INDEX(Tabel3B[Afnameklanten op LS met piekmeting],6)</f>
        <v>#DIV/0!</v>
      </c>
      <c r="N13" s="337" t="e">
        <f>PROCENT_VERHOGING_NA_MAX*INDEX(Tabel3B[Doorvoer op LS met piekmeting],6)</f>
        <v>#DIV/0!</v>
      </c>
      <c r="O13" s="313" t="e">
        <f>PROCENT_VERHOGING_NA_MAX*INDEX(Tabel3B[Afnameklanten op LS met klassieke meter],6)</f>
        <v>#DIV/0!</v>
      </c>
      <c r="P13" s="313" t="e">
        <f>PROCENT_VERHOGING_NA_MAX*INDEX(Tabel3B[Doorvoer op LS zonder piekmeting],6)</f>
        <v>#DIV/0!</v>
      </c>
      <c r="Q13" s="312"/>
      <c r="R13" s="333" t="str">
        <f>INDEX(Tabel3B[Injectieklanten (∑)],6)</f>
        <v xml:space="preserve"> </v>
      </c>
      <c r="S13" s="315" t="str">
        <f>INDEX(Tabel3B[Injectieklanten op TRHS],6)</f>
        <v xml:space="preserve"> </v>
      </c>
      <c r="T13" s="315" t="str">
        <f>INDEX(Tabel3B[Injectieklanten  op &gt;26-36kV],6)</f>
        <v xml:space="preserve"> </v>
      </c>
      <c r="U13" s="315" t="str">
        <f>INDEX(Tabel3B[Injectieklanten op 26-1kV],6)</f>
        <v xml:space="preserve"> </v>
      </c>
      <c r="V13" s="315" t="str">
        <f>INDEX(Tabel3B[Injectieklanten op TRLS],6)</f>
        <v xml:space="preserve"> </v>
      </c>
      <c r="W13" s="316" t="str">
        <f>INDEX(Tabel3B[Injectieklanten op LS],6)</f>
        <v xml:space="preserve"> </v>
      </c>
    </row>
    <row r="14" spans="1:23" ht="16.5">
      <c r="A14" s="132" t="s">
        <v>78</v>
      </c>
      <c r="B14" s="150" t="s">
        <v>111</v>
      </c>
      <c r="C14" s="317"/>
      <c r="D14" s="314"/>
      <c r="E14" s="312"/>
      <c r="F14" s="316"/>
      <c r="G14" s="314"/>
      <c r="H14" s="311"/>
      <c r="I14" s="312"/>
      <c r="J14" s="316"/>
      <c r="K14" s="317"/>
      <c r="L14" s="315"/>
      <c r="M14" s="314"/>
      <c r="N14" s="311"/>
      <c r="O14" s="318"/>
      <c r="P14" s="318"/>
      <c r="Q14" s="312"/>
      <c r="R14" s="334" t="e">
        <f>INDEX(Tabel3B[Injectieklanten (∑)],7)</f>
        <v>#VALUE!</v>
      </c>
      <c r="S14" s="320" t="e">
        <f>INDEX(Tabel3B[Injectieklanten op TRHS],7)</f>
        <v>#VALUE!</v>
      </c>
      <c r="T14" s="320" t="e">
        <f>INDEX(Tabel3B[Injectieklanten  op &gt;26-36kV],7)</f>
        <v>#VALUE!</v>
      </c>
      <c r="U14" s="320" t="e">
        <f>INDEX(Tabel3B[Injectieklanten op 26-1kV],7)</f>
        <v>#VALUE!</v>
      </c>
      <c r="V14" s="320" t="e">
        <f>INDEX(Tabel3B[Injectieklanten op TRLS],7)</f>
        <v>#VALUE!</v>
      </c>
      <c r="W14" s="320" t="e">
        <f>INDEX(Tabel3B[Injectieklanten op LS],7)</f>
        <v>#VALUE!</v>
      </c>
    </row>
    <row r="15" spans="1:23">
      <c r="A15" s="132" t="s">
        <v>13</v>
      </c>
      <c r="B15" s="150" t="s">
        <v>191</v>
      </c>
      <c r="C15" s="306" t="e">
        <f>INDEX(Tabel3B[Afnameklanten op TRHS (∑)],8)</f>
        <v>#VALUE!</v>
      </c>
      <c r="D15" s="307" t="e">
        <f>INDEX(Tabel3B[Afnameklanten op TRHS],8)</f>
        <v>#VALUE!</v>
      </c>
      <c r="E15" s="308" t="e">
        <f>INDEX(Tabel3B[Afnameklanten op &gt;26-36 kV met AV ≥ 5MVA],8)</f>
        <v>#VALUE!</v>
      </c>
      <c r="F15" s="309" t="e">
        <f>INDEX(Tabel3B[Afnameklanten op MS (∑)],8)</f>
        <v>#VALUE!</v>
      </c>
      <c r="G15" s="307" t="e">
        <f>INDEX(Tabel3B[Afnameklanten op &gt;26-36 kV met AV &lt; 5MVA],8)</f>
        <v>#VALUE!</v>
      </c>
      <c r="H15" s="310" t="e">
        <f>INDEX(Tabel3B[Afnameklanten op 26-1kV],8)</f>
        <v>#VALUE!</v>
      </c>
      <c r="I15" s="308" t="e">
        <f>INDEX(Tabel3B[Doorvoer op 26-1kV],8)</f>
        <v>#VALUE!</v>
      </c>
      <c r="J15" s="309" t="e">
        <f>INDEX(Tabel3B[Afnameklanten op TRLS (∑)],8)</f>
        <v>#VALUE!</v>
      </c>
      <c r="K15" s="306" t="e">
        <f>INDEX(Tabel3B[Afnameklanten op TRLS],8)</f>
        <v>#VALUE!</v>
      </c>
      <c r="L15" s="315"/>
      <c r="M15" s="314"/>
      <c r="N15" s="311"/>
      <c r="O15" s="318"/>
      <c r="P15" s="318"/>
      <c r="Q15" s="312"/>
      <c r="R15" s="333" t="str">
        <f>INDEX(Tabel3B[Injectieklanten (∑)],8)</f>
        <v xml:space="preserve"> </v>
      </c>
      <c r="S15" s="315" t="str">
        <f>INDEX(Tabel3B[Injectieklanten op TRHS],8)</f>
        <v xml:space="preserve"> </v>
      </c>
      <c r="T15" s="315" t="str">
        <f>INDEX(Tabel3B[Injectieklanten  op &gt;26-36kV],8)</f>
        <v xml:space="preserve"> </v>
      </c>
      <c r="U15" s="315" t="str">
        <f>INDEX(Tabel3B[Injectieklanten op 26-1kV],8)</f>
        <v xml:space="preserve"> </v>
      </c>
      <c r="V15" s="315" t="str">
        <f>INDEX(Tabel3B[Injectieklanten op TRLS],8)</f>
        <v xml:space="preserve"> </v>
      </c>
      <c r="W15" s="316" t="str">
        <f>INDEX(Tabel3B[Injectieklanten op LS],8)</f>
        <v xml:space="preserve"> </v>
      </c>
    </row>
    <row r="16" spans="1:23">
      <c r="A16" s="132" t="s">
        <v>79</v>
      </c>
      <c r="B16" s="150" t="s">
        <v>7</v>
      </c>
      <c r="C16" s="346" t="e">
        <f>INDEX(Tabel3B[Afnameklanten op TRHS (∑)],9)</f>
        <v>#DIV/0!</v>
      </c>
      <c r="D16" s="174" t="e">
        <f>INDEX(Tabel3B[Afnameklanten op TRHS],9)</f>
        <v>#DIV/0!</v>
      </c>
      <c r="E16" s="175" t="e">
        <f>INDEX(Tabel3B[Afnameklanten op &gt;26-36 kV met AV ≥ 5MVA],9)</f>
        <v>#DIV/0!</v>
      </c>
      <c r="F16" s="349" t="e">
        <f>INDEX(Tabel3B[Afnameklanten op MS (∑)],9)</f>
        <v>#DIV/0!</v>
      </c>
      <c r="G16" s="174" t="e">
        <f>INDEX(Tabel3B[Afnameklanten op &gt;26-36 kV met AV &lt; 5MVA],9)</f>
        <v>#DIV/0!</v>
      </c>
      <c r="H16" s="260" t="e">
        <f>INDEX(Tabel3B[Afnameklanten op 26-1kV],9)</f>
        <v>#DIV/0!</v>
      </c>
      <c r="I16" s="175" t="e">
        <f>INDEX(Tabel3B[Doorvoer op 26-1kV],9)</f>
        <v>#DIV/0!</v>
      </c>
      <c r="J16" s="349" t="e">
        <f>INDEX(Tabel3B[Afnameklanten op TRLS (∑)],9)</f>
        <v>#DIV/0!</v>
      </c>
      <c r="K16" s="346" t="e">
        <f>INDEX(Tabel3B[Afnameklanten op TRLS],9)</f>
        <v>#DIV/0!</v>
      </c>
      <c r="L16" s="263" t="e">
        <f>INDEX(Tabel3B[Afnameklanten op LS (∑)],9)</f>
        <v>#DIV/0!</v>
      </c>
      <c r="M16" s="174" t="e">
        <f>INDEX(Tabel3B[Afnameklanten op LS met piekmeting],9)</f>
        <v>#DIV/0!</v>
      </c>
      <c r="N16" s="260" t="e">
        <f>INDEX(Tabel3B[Doorvoer op LS met piekmeting],9)</f>
        <v>#DIV/0!</v>
      </c>
      <c r="O16" s="547"/>
      <c r="P16" s="547"/>
      <c r="Q16" s="343"/>
      <c r="R16" s="548" t="str">
        <f>INDEX(Tabel3B[Injectieklanten (∑)],9)</f>
        <v xml:space="preserve"> </v>
      </c>
      <c r="S16" s="344" t="str">
        <f>INDEX(Tabel3B[Injectieklanten op TRHS],9)</f>
        <v xml:space="preserve"> </v>
      </c>
      <c r="T16" s="344" t="str">
        <f>INDEX(Tabel3B[Injectieklanten  op &gt;26-36kV],9)</f>
        <v xml:space="preserve"> </v>
      </c>
      <c r="U16" s="344" t="str">
        <f>INDEX(Tabel3B[Injectieklanten op 26-1kV],9)</f>
        <v xml:space="preserve"> </v>
      </c>
      <c r="V16" s="344" t="str">
        <f>INDEX(Tabel3B[Injectieklanten op TRLS],9)</f>
        <v xml:space="preserve"> </v>
      </c>
      <c r="W16" s="549" t="str">
        <f>INDEX(Tabel3B[Injectieklanten op LS],9)</f>
        <v xml:space="preserve"> </v>
      </c>
    </row>
    <row r="17" spans="1:23">
      <c r="A17" s="132" t="s">
        <v>79</v>
      </c>
      <c r="B17" s="150" t="s">
        <v>8</v>
      </c>
      <c r="C17" s="346" t="e">
        <f>INDEX(Tabel3B[Afnameklanten op TRHS (∑)],10)</f>
        <v>#DIV/0!</v>
      </c>
      <c r="D17" s="174" t="e">
        <f>INDEX(Tabel3B[Afnameklanten op TRHS],10)</f>
        <v>#DIV/0!</v>
      </c>
      <c r="E17" s="175" t="e">
        <f>INDEX(Tabel3B[Afnameklanten op &gt;26-36 kV met AV ≥ 5MVA],10)</f>
        <v>#DIV/0!</v>
      </c>
      <c r="F17" s="349" t="e">
        <f>INDEX(Tabel3B[Afnameklanten op MS (∑)],10)</f>
        <v>#DIV/0!</v>
      </c>
      <c r="G17" s="174" t="e">
        <f>INDEX(Tabel3B[Afnameklanten op &gt;26-36 kV met AV &lt; 5MVA],10)</f>
        <v>#DIV/0!</v>
      </c>
      <c r="H17" s="260" t="e">
        <f>INDEX(Tabel3B[Afnameklanten op 26-1kV],10)</f>
        <v>#DIV/0!</v>
      </c>
      <c r="I17" s="175" t="e">
        <f>INDEX(Tabel3B[Doorvoer op 26-1kV],10)</f>
        <v>#DIV/0!</v>
      </c>
      <c r="J17" s="349" t="e">
        <f>INDEX(Tabel3B[Afnameklanten op TRLS (∑)],10)</f>
        <v>#DIV/0!</v>
      </c>
      <c r="K17" s="346" t="e">
        <f>INDEX(Tabel3B[Afnameklanten op TRLS],10)</f>
        <v>#DIV/0!</v>
      </c>
      <c r="L17" s="259" t="e">
        <f>INDEX(Tabel3B[Afnameklanten op LS (∑)],10)</f>
        <v>#DIV/0!</v>
      </c>
      <c r="M17" s="174" t="e">
        <f>INDEX(Tabel3B[Afnameklanten op LS met piekmeting],10)</f>
        <v>#DIV/0!</v>
      </c>
      <c r="N17" s="260" t="e">
        <f>INDEX(Tabel3B[Doorvoer op LS met piekmeting],10)</f>
        <v>#DIV/0!</v>
      </c>
      <c r="O17" s="547"/>
      <c r="P17" s="547"/>
      <c r="Q17" s="343"/>
      <c r="R17" s="548"/>
      <c r="S17" s="344"/>
      <c r="T17" s="344"/>
      <c r="U17" s="344"/>
      <c r="V17" s="344"/>
      <c r="W17" s="549"/>
    </row>
    <row r="18" spans="1:23">
      <c r="A18" s="132" t="s">
        <v>79</v>
      </c>
      <c r="B18" s="150" t="s">
        <v>264</v>
      </c>
      <c r="C18" s="347"/>
      <c r="D18" s="345"/>
      <c r="E18" s="343"/>
      <c r="F18" s="549"/>
      <c r="G18" s="345"/>
      <c r="H18" s="342"/>
      <c r="I18" s="343"/>
      <c r="J18" s="549"/>
      <c r="K18" s="347"/>
      <c r="L18" s="259" t="e">
        <f>INDEX(Tabel3B[Afnameklanten op LS (∑)],11)</f>
        <v>#DIV/0!</v>
      </c>
      <c r="M18" s="174" t="e">
        <f>INDEX(Tabel3B[Afnameklanten op LS met piekmeting],11)</f>
        <v>#DIV/0!</v>
      </c>
      <c r="N18" s="342"/>
      <c r="O18" s="547"/>
      <c r="P18" s="547"/>
      <c r="Q18" s="343"/>
      <c r="R18" s="548"/>
      <c r="S18" s="344"/>
      <c r="T18" s="344"/>
      <c r="U18" s="344"/>
      <c r="V18" s="344"/>
      <c r="W18" s="549"/>
    </row>
    <row r="19" spans="1:23">
      <c r="A19" s="132" t="s">
        <v>79</v>
      </c>
      <c r="B19" s="150" t="s">
        <v>265</v>
      </c>
      <c r="C19" s="347"/>
      <c r="D19" s="345"/>
      <c r="E19" s="343"/>
      <c r="F19" s="549"/>
      <c r="G19" s="345"/>
      <c r="H19" s="342"/>
      <c r="I19" s="343"/>
      <c r="J19" s="549"/>
      <c r="K19" s="347"/>
      <c r="L19" s="259" t="e">
        <f>INDEX(Tabel3B[Afnameklanten op LS (∑)],12)</f>
        <v>#DIV/0!</v>
      </c>
      <c r="M19" s="174" t="e">
        <f>INDEX(Tabel3B[Afnameklanten op LS met piekmeting],12)</f>
        <v>#DIV/0!</v>
      </c>
      <c r="N19" s="342"/>
      <c r="O19" s="547"/>
      <c r="P19" s="547"/>
      <c r="Q19" s="343"/>
      <c r="R19" s="548"/>
      <c r="S19" s="344"/>
      <c r="T19" s="344"/>
      <c r="U19" s="344"/>
      <c r="V19" s="344"/>
      <c r="W19" s="549"/>
    </row>
    <row r="20" spans="1:23">
      <c r="A20" s="132" t="s">
        <v>79</v>
      </c>
      <c r="B20" s="150" t="s">
        <v>124</v>
      </c>
      <c r="C20" s="347"/>
      <c r="D20" s="345"/>
      <c r="E20" s="343"/>
      <c r="F20" s="549"/>
      <c r="G20" s="345"/>
      <c r="H20" s="342"/>
      <c r="I20" s="343"/>
      <c r="J20" s="549"/>
      <c r="K20" s="347"/>
      <c r="L20" s="259" t="e">
        <f>INDEX(Tabel3B[Afnameklanten op LS (∑)],13)</f>
        <v>#DIV/0!</v>
      </c>
      <c r="M20" s="345"/>
      <c r="N20" s="261"/>
      <c r="O20" s="260" t="e">
        <f>INDEX(Tabel3B[Afnameklanten op LS met klassieke meter],13)</f>
        <v>#DIV/0!</v>
      </c>
      <c r="P20" s="260" t="e">
        <f>INDEX(Tabel3B[Doorvoer op LS zonder piekmeting],13)</f>
        <v>#DIV/0!</v>
      </c>
      <c r="Q20" s="343"/>
      <c r="R20" s="548"/>
      <c r="S20" s="344"/>
      <c r="T20" s="344"/>
      <c r="U20" s="344"/>
      <c r="V20" s="344"/>
      <c r="W20" s="549"/>
    </row>
    <row r="21" spans="1:23">
      <c r="A21" s="132" t="s">
        <v>79</v>
      </c>
      <c r="B21" s="150" t="s">
        <v>322</v>
      </c>
      <c r="C21" s="347"/>
      <c r="D21" s="345"/>
      <c r="E21" s="343"/>
      <c r="F21" s="549"/>
      <c r="G21" s="345"/>
      <c r="H21" s="342"/>
      <c r="I21" s="343"/>
      <c r="J21" s="549"/>
      <c r="K21" s="347"/>
      <c r="L21" s="344"/>
      <c r="M21" s="345"/>
      <c r="N21" s="261"/>
      <c r="O21" s="342"/>
      <c r="P21" s="342"/>
      <c r="Q21" s="343"/>
      <c r="R21" s="348" t="e">
        <f>INDEX(Tabel3B[Injectieklanten (∑)],14)</f>
        <v>#DIV/0!</v>
      </c>
      <c r="S21" s="348" t="e">
        <f>INDEX(Tabel3B[Injectieklanten op TRHS],14)</f>
        <v>#DIV/0!</v>
      </c>
      <c r="T21" s="348" t="e">
        <f>INDEX(Tabel3B[Injectieklanten  op &gt;26-36kV],14)</f>
        <v>#DIV/0!</v>
      </c>
      <c r="U21" s="348" t="e">
        <f>INDEX(Tabel3B[Injectieklanten op 26-1kV],14)</f>
        <v>#DIV/0!</v>
      </c>
      <c r="V21" s="348" t="e">
        <f>INDEX(Tabel3B[Injectieklanten op TRLS],14)</f>
        <v>#DIV/0!</v>
      </c>
      <c r="W21" s="348" t="e">
        <f>INDEX(Tabel3B[Injectieklanten op LS],14)</f>
        <v>#DIV/0!</v>
      </c>
    </row>
    <row r="22" spans="1:23" ht="16.5">
      <c r="A22" s="132" t="s">
        <v>80</v>
      </c>
      <c r="B22" s="150" t="s">
        <v>211</v>
      </c>
      <c r="C22" s="306" t="e">
        <f>INDEX(Tabel3B[Afnameklanten op TRHS (∑)],15)</f>
        <v>#VALUE!</v>
      </c>
      <c r="D22" s="307" t="e">
        <f>INDEX(Tabel3B[Afnameklanten op TRHS],15)</f>
        <v>#VALUE!</v>
      </c>
      <c r="E22" s="308" t="e">
        <f>INDEX(Tabel3B[Afnameklanten op &gt;26-36 kV met AV ≥ 5MVA],15)</f>
        <v>#VALUE!</v>
      </c>
      <c r="F22" s="309" t="e">
        <f>INDEX(Tabel3B[Afnameklanten op MS (∑)],15)</f>
        <v>#VALUE!</v>
      </c>
      <c r="G22" s="307" t="e">
        <f>INDEX(Tabel3B[Afnameklanten op &gt;26-36 kV met AV &lt; 5MVA],15)</f>
        <v>#VALUE!</v>
      </c>
      <c r="H22" s="310" t="e">
        <f>INDEX(Tabel3B[Afnameklanten op 26-1kV],15)</f>
        <v>#VALUE!</v>
      </c>
      <c r="I22" s="308" t="e">
        <f>INDEX(Tabel3B[Doorvoer op 26-1kV],15)</f>
        <v>#VALUE!</v>
      </c>
      <c r="J22" s="309" t="e">
        <f>INDEX(Tabel3B[Afnameklanten op TRLS (∑)],15)</f>
        <v>#VALUE!</v>
      </c>
      <c r="K22" s="306" t="e">
        <f>INDEX(Tabel3B[Afnameklanten op TRLS],15)</f>
        <v>#VALUE!</v>
      </c>
      <c r="L22" s="320" t="e">
        <f>INDEX(Tabel3B[Afnameklanten op LS (∑)],15)</f>
        <v>#VALUE!</v>
      </c>
      <c r="M22" s="307" t="e">
        <f>INDEX(Tabel3B[Afnameklanten op LS met piekmeting],15)</f>
        <v>#VALUE!</v>
      </c>
      <c r="N22" s="310" t="e">
        <f>INDEX(Tabel3B[Doorvoer op LS met piekmeting],15)</f>
        <v>#VALUE!</v>
      </c>
      <c r="O22" s="310" t="e">
        <f>INDEX(Tabel3B[Afnameklanten op LS met klassieke meter],15)</f>
        <v>#VALUE!</v>
      </c>
      <c r="P22" s="310" t="e">
        <f>INDEX(Tabel3B[Doorvoer op LS zonder piekmeting],15)</f>
        <v>#VALUE!</v>
      </c>
      <c r="Q22" s="312"/>
      <c r="R22" s="333"/>
      <c r="S22" s="315"/>
      <c r="T22" s="315"/>
      <c r="U22" s="315"/>
      <c r="V22" s="315"/>
      <c r="W22" s="316"/>
    </row>
    <row r="23" spans="1:23" ht="16.5">
      <c r="A23" s="132" t="s">
        <v>80</v>
      </c>
      <c r="B23" s="150" t="s">
        <v>210</v>
      </c>
      <c r="C23" s="317"/>
      <c r="D23" s="314"/>
      <c r="E23" s="312"/>
      <c r="F23" s="309" t="e">
        <f>INDEX(Tabel3B[Afnameklanten op MS (∑)],16)</f>
        <v>#VALUE!</v>
      </c>
      <c r="G23" s="314"/>
      <c r="H23" s="310" t="e">
        <f>INDEX(Tabel3B[Afnameklanten op 26-1kV],16)</f>
        <v>#VALUE!</v>
      </c>
      <c r="I23" s="312"/>
      <c r="J23" s="309" t="e">
        <f>INDEX(Tabel3B[Afnameklanten op TRLS (∑)],16)</f>
        <v>#VALUE!</v>
      </c>
      <c r="K23" s="306" t="e">
        <f>INDEX(Tabel3B[Afnameklanten op TRLS],16)</f>
        <v>#VALUE!</v>
      </c>
      <c r="L23" s="551" t="e">
        <f>INDEX(Tabel3B[Afnameklanten op LS (∑)],16)</f>
        <v>#VALUE!</v>
      </c>
      <c r="M23" s="307" t="e">
        <f>INDEX(Tabel3B[Afnameklanten op LS met piekmeting],16)</f>
        <v>#VALUE!</v>
      </c>
      <c r="N23" s="336"/>
      <c r="O23" s="310" t="e">
        <f>INDEX(Tabel3B[Afnameklanten op LS met klassieke meter],16)</f>
        <v>#VALUE!</v>
      </c>
      <c r="P23" s="550"/>
      <c r="Q23" s="312"/>
      <c r="R23" s="333"/>
      <c r="S23" s="315"/>
      <c r="T23" s="315"/>
      <c r="U23" s="315"/>
      <c r="V23" s="315"/>
      <c r="W23" s="316"/>
    </row>
    <row r="24" spans="1:23" ht="16.5">
      <c r="A24" s="132" t="s">
        <v>9</v>
      </c>
      <c r="B24" s="150" t="s">
        <v>110</v>
      </c>
      <c r="C24" s="306" t="e">
        <f>INDEX(Tabel3B[Afnameklanten op TRHS (∑)],17)</f>
        <v>#VALUE!</v>
      </c>
      <c r="D24" s="307" t="e">
        <f>INDEX(Tabel3B[Afnameklanten op TRHS],17)</f>
        <v>#VALUE!</v>
      </c>
      <c r="E24" s="308" t="e">
        <f>INDEX(Tabel3B[Afnameklanten op &gt;26-36 kV met AV ≥ 5MVA],17)</f>
        <v>#VALUE!</v>
      </c>
      <c r="F24" s="309" t="e">
        <f>INDEX(Tabel3B[Afnameklanten op MS (∑)],17)</f>
        <v>#VALUE!</v>
      </c>
      <c r="G24" s="307" t="e">
        <f>INDEX(Tabel3B[Afnameklanten op &gt;26-36 kV met AV &lt; 5MVA],17)</f>
        <v>#VALUE!</v>
      </c>
      <c r="H24" s="310" t="e">
        <f>INDEX(Tabel3B[Afnameklanten op 26-1kV],17)</f>
        <v>#VALUE!</v>
      </c>
      <c r="I24" s="308" t="e">
        <f>INDEX(Tabel3B[Doorvoer op 26-1kV],17)</f>
        <v>#VALUE!</v>
      </c>
      <c r="J24" s="309" t="e">
        <f>INDEX(Tabel3B[Afnameklanten op TRLS (∑)],17)</f>
        <v>#VALUE!</v>
      </c>
      <c r="K24" s="306" t="e">
        <f>INDEX(Tabel3B[Afnameklanten op TRLS],17)</f>
        <v>#VALUE!</v>
      </c>
      <c r="L24" s="320" t="e">
        <f>INDEX(Tabel3B[Afnameklanten op LS (∑)],17)</f>
        <v>#VALUE!</v>
      </c>
      <c r="M24" s="307" t="e">
        <f>INDEX(Tabel3B[Afnameklanten op LS met piekmeting],17)</f>
        <v>#VALUE!</v>
      </c>
      <c r="N24" s="310" t="e">
        <f>INDEX(Tabel3B[Doorvoer op LS met piekmeting],17)</f>
        <v>#VALUE!</v>
      </c>
      <c r="O24" s="310" t="e">
        <f>INDEX(Tabel3B[Afnameklanten op LS met klassieke meter],17)</f>
        <v>#VALUE!</v>
      </c>
      <c r="P24" s="310" t="e">
        <f>INDEX(Tabel3B[Doorvoer op LS zonder piekmeting],17)</f>
        <v>#VALUE!</v>
      </c>
      <c r="Q24" s="312"/>
      <c r="R24" s="333"/>
      <c r="S24" s="315"/>
      <c r="T24" s="315"/>
      <c r="U24" s="315"/>
      <c r="V24" s="315"/>
      <c r="W24" s="316"/>
    </row>
    <row r="25" spans="1:23" ht="16.5">
      <c r="A25" s="133" t="s">
        <v>81</v>
      </c>
      <c r="B25" s="151" t="s">
        <v>263</v>
      </c>
      <c r="C25" s="306" t="e">
        <f>INDEX(Tabel3B[Afnameklanten op TRHS (∑)],18)</f>
        <v>#DIV/0!</v>
      </c>
      <c r="D25" s="322" t="e">
        <f>INDEX(Tabel3B[Afnameklanten op TRHS],18)</f>
        <v>#DIV/0!</v>
      </c>
      <c r="E25" s="323" t="e">
        <f>INDEX(Tabel3B[Afnameklanten op &gt;26-36 kV met AV ≥ 5MVA],18)</f>
        <v>#DIV/0!</v>
      </c>
      <c r="F25" s="309" t="e">
        <f>INDEX(Tabel3B[Afnameklanten op MS (∑)],18)</f>
        <v>#DIV/0!</v>
      </c>
      <c r="G25" s="322" t="e">
        <f>INDEX(Tabel3B[Afnameklanten op &gt;26-36 kV met AV &lt; 5MVA],18)</f>
        <v>#DIV/0!</v>
      </c>
      <c r="H25" s="325" t="e">
        <f>INDEX(Tabel3B[Afnameklanten op 26-1kV],18)</f>
        <v>#DIV/0!</v>
      </c>
      <c r="I25" s="323" t="e">
        <f>INDEX(Tabel3B[Doorvoer op 26-1kV],18)</f>
        <v>#DIV/0!</v>
      </c>
      <c r="J25" s="324" t="e">
        <f>INDEX(Tabel3B[Afnameklanten op TRLS (∑)],18)</f>
        <v>#DIV/0!</v>
      </c>
      <c r="K25" s="321" t="e">
        <f>INDEX(Tabel3B[Afnameklanten op TRLS],18)</f>
        <v>#DIV/0!</v>
      </c>
      <c r="L25" s="546" t="e">
        <f>INDEX(Tabel3B[Afnameklanten op LS (∑)],18)</f>
        <v>#DIV/0!</v>
      </c>
      <c r="M25" s="307" t="e">
        <f>INDEX(Tabel3B[Afnameklanten op LS met piekmeting],18)</f>
        <v>#DIV/0!</v>
      </c>
      <c r="N25" s="310" t="e">
        <f>INDEX(Tabel3B[Doorvoer op LS met piekmeting],18)</f>
        <v>#DIV/0!</v>
      </c>
      <c r="O25" s="310" t="e">
        <f>INDEX(Tabel3B[Afnameklanten op LS met klassieke meter],18)</f>
        <v>#DIV/0!</v>
      </c>
      <c r="P25" s="310" t="e">
        <f>INDEX(Tabel3B[Doorvoer op LS zonder piekmeting],18)</f>
        <v>#DIV/0!</v>
      </c>
      <c r="Q25" s="331"/>
      <c r="R25" s="335"/>
      <c r="S25" s="327"/>
      <c r="T25" s="327"/>
      <c r="U25" s="327"/>
      <c r="V25" s="327"/>
      <c r="W25" s="328"/>
    </row>
    <row r="26" spans="1:23" ht="17" thickBot="1">
      <c r="A26" s="133" t="s">
        <v>475</v>
      </c>
      <c r="B26" s="338" t="s">
        <v>148</v>
      </c>
      <c r="C26" s="329"/>
      <c r="D26" s="330"/>
      <c r="E26" s="331"/>
      <c r="F26" s="328"/>
      <c r="G26" s="330"/>
      <c r="H26" s="326"/>
      <c r="I26" s="331"/>
      <c r="J26" s="328"/>
      <c r="K26" s="329"/>
      <c r="L26" s="327"/>
      <c r="M26" s="330"/>
      <c r="N26" s="326"/>
      <c r="O26" s="332"/>
      <c r="P26" s="332"/>
      <c r="Q26" s="323" t="e">
        <f>SUM($O$13,$O$22,$O$24:$O$25)/DIM_OMV*VOLLASTUREN*(1-ZELFCONSUMPTIE)</f>
        <v>#DIV/0!</v>
      </c>
      <c r="R26" s="335"/>
      <c r="S26" s="327"/>
      <c r="T26" s="327"/>
      <c r="U26" s="327"/>
      <c r="V26" s="327"/>
      <c r="W26" s="328"/>
    </row>
    <row r="29" spans="1:23" ht="15" thickBot="1"/>
    <row r="30" spans="1:23" ht="44" thickBot="1">
      <c r="A30" s="74" t="s">
        <v>77</v>
      </c>
      <c r="B30" s="340" t="s">
        <v>96</v>
      </c>
      <c r="C30" s="341" t="s">
        <v>293</v>
      </c>
      <c r="D30" s="156" t="s">
        <v>97</v>
      </c>
      <c r="E30" s="145" t="s">
        <v>127</v>
      </c>
      <c r="F30" s="341" t="s">
        <v>294</v>
      </c>
      <c r="G30" s="156" t="s">
        <v>128</v>
      </c>
      <c r="H30" s="144" t="s">
        <v>260</v>
      </c>
      <c r="I30" s="145" t="s">
        <v>261</v>
      </c>
      <c r="J30" s="341" t="s">
        <v>268</v>
      </c>
      <c r="K30" s="156" t="s">
        <v>98</v>
      </c>
      <c r="L30" s="341" t="s">
        <v>295</v>
      </c>
      <c r="M30" s="156" t="s">
        <v>114</v>
      </c>
      <c r="N30" s="144" t="s">
        <v>494</v>
      </c>
      <c r="O30" s="144" t="s">
        <v>115</v>
      </c>
      <c r="P30" s="144" t="s">
        <v>495</v>
      </c>
      <c r="Q30" s="145" t="s">
        <v>116</v>
      </c>
      <c r="R30" s="267" t="s">
        <v>269</v>
      </c>
      <c r="S30" s="146" t="s">
        <v>203</v>
      </c>
      <c r="T30" s="146" t="s">
        <v>307</v>
      </c>
      <c r="U30" s="146" t="s">
        <v>262</v>
      </c>
      <c r="V30" s="146" t="s">
        <v>99</v>
      </c>
      <c r="W30" s="147" t="s">
        <v>100</v>
      </c>
    </row>
    <row r="31" spans="1:23">
      <c r="A31" s="148" t="s">
        <v>78</v>
      </c>
      <c r="B31" s="1056" t="e">
        <f>SUM(Tabel4A[[#This Row],[Afnameklanten op TRHS (∑)]],Tabel4A[[#This Row],[Afnameklanten op MS (∑)]],Tabel4A[[#This Row],[Afnameklanten op TRLS (∑)]],Tabel4A[[#This Row],[Afnameklanten op LS (∑)]],Tabel4A[[#This Row],[Injectieklanten (∑)]])</f>
        <v>#VALUE!</v>
      </c>
      <c r="C31" s="1057" t="e">
        <f>SUM(Tabel4A[[#This Row],[Afnameklanten op TRHS]:[Afnameklanten op &gt;26-36 kV met AV ≥ 5MVA]])</f>
        <v>#VALUE!</v>
      </c>
      <c r="D31" s="1058" t="e">
        <f>$D$8*INDEX(Rekenvolumes[Afnameklanten op TRHS],8)+$D$9*INDEX(Rekenvolumes[Afnameklanten op TRHS],9)+$D$10*INDEX(Rekenvolumes[Afnameklanten op TRHS],10)</f>
        <v>#VALUE!</v>
      </c>
      <c r="E31" s="1059" t="e">
        <f>$E$8*INDEX(Rekenvolumes[Afnameklanten op &gt;26-36 kV met AV ≥ 5MVA],8)+$E$9*INDEX(Rekenvolumes[Afnameklanten op &gt;26-36 kV met AV ≥ 5MVA],9)+$E$10*INDEX(Rekenvolumes[Afnameklanten op &gt;26-36 kV met AV ≥ 5MVA],10)</f>
        <v>#VALUE!</v>
      </c>
      <c r="F31" s="1057" t="e">
        <f>SUM(Tabel4A[[#This Row],[Afnameklanten op &gt;26-36 kV met AV &lt; 5MVA]:[Doorvoer op 26-1kV]])</f>
        <v>#VALUE!</v>
      </c>
      <c r="G31" s="1058" t="e">
        <f>$G$8*INDEX(Rekenvolumes[Afnameklanten op &gt;26-36 kV met AV &lt; 5MVA],8)+$G$9*INDEX(Rekenvolumes[Afnameklanten op &gt;26-36 kV met AV &lt; 5MVA],9)+$G$10*INDEX(Rekenvolumes[Afnameklanten op &gt;26-36 kV met AV &lt; 5MVA],10)</f>
        <v>#VALUE!</v>
      </c>
      <c r="H31" s="1060" t="e">
        <f>$H$8*INDEX(Rekenvolumes[Afnameklanten op 26-1kV],8)+$H$9*INDEX(Rekenvolumes[Afnameklanten op 26-1kV],9)+$H$10*INDEX(Rekenvolumes[Afnameklanten op 26-1kV],10)</f>
        <v>#VALUE!</v>
      </c>
      <c r="I31" s="1059" t="e">
        <f>$I$8*INDEX(Rekenvolumes[Doorvoer op 26-1kV],8)+$I$9*INDEX(Rekenvolumes[Doorvoer op 26-1kV],9)+$I$10*INDEX(Rekenvolumes[Doorvoer op 26-1kV],10)</f>
        <v>#VALUE!</v>
      </c>
      <c r="J31" s="1057" t="e">
        <f>SUM(Tabel4A[[#This Row],[Afnameklanten op TRLS]])</f>
        <v>#VALUE!</v>
      </c>
      <c r="K31" s="1058" t="e">
        <f>$K$8*INDEX(Rekenvolumes[Afnameklanten op TRLS],8)+$K$9*INDEX(Rekenvolumes[Afnameklanten op TRLS],9)+$K$10*INDEX(Rekenvolumes[Afnameklanten op TRLS],10)</f>
        <v>#VALUE!</v>
      </c>
      <c r="L31" s="1057" t="e">
        <f>SUM(Tabel4A[[#This Row],[Afnameklanten op LS met piekmeting]:[Prosumenten met terugdraaiende teller op LS]])</f>
        <v>#DIV/0!</v>
      </c>
      <c r="M31" s="1058" t="e">
        <f>$M$11*INDEX(Rekenvolumes[Afnameklanten op LS met piekmeting],11)+$M$13*(INDEX(Rekenvolumes[Afnameklanten op LS met piekmeting],12)+INDEX(Rekenvolumes[Afnameklanten op LS met piekmeting],13)+INDEX(Rekenvolumes[Afnameklanten op LS met piekmeting],14))</f>
        <v>#DIV/0!</v>
      </c>
      <c r="N31" s="1060" t="e">
        <f>$N$11*INDEX(Rekenvolumes[Doorvoer op LS met piekmeting],11)+$N$13*(INDEX(Rekenvolumes[Doorvoer op LS met piekmeting],12)+INDEX(Rekenvolumes[Doorvoer op LS met piekmeting],13)+INDEX(Rekenvolumes[Doorvoer op LS met piekmeting],14))</f>
        <v>#DIV/0!</v>
      </c>
      <c r="O31" s="1060" t="e">
        <f>$O$12*INDEX(Rekenvolumes[Afnameklanten op LS met klassieke meter],1)+$O$13*(INDEX(Rekenvolumes[Afnameklanten op LS met klassieke meter],12)+INDEX(Rekenvolumes[Afnameklanten op LS met klassieke meter],13)+INDEX(Rekenvolumes[Afnameklanten op LS met klassieke meter],14))</f>
        <v>#DIV/0!</v>
      </c>
      <c r="P31" s="1060" t="e">
        <f>$P$12*INDEX(Rekenvolumes[Doorvoer op LS zonder piekmeting],1)+$P$13*(INDEX(Rekenvolumes[Doorvoer op LS zonder piekmeting],12)+INDEX(Rekenvolumes[Doorvoer op LS zonder piekmeting],13)+INDEX(Rekenvolumes[Doorvoer op LS zonder piekmeting],14))</f>
        <v>#DIV/0!</v>
      </c>
      <c r="Q31" s="1088" t="e">
        <f>$Q$26*INDEX(Rekenvolumes[Prosumenten met terugdraaiende teller op LS],18)</f>
        <v>#DIV/0!</v>
      </c>
      <c r="R31" s="1061" t="e">
        <f>SUM(Tabel4A[[#This Row],[Injectieklanten op TRHS]:[Injectieklanten op LS]])</f>
        <v>#VALUE!</v>
      </c>
      <c r="S31" s="1057" t="e">
        <f>$S$14*INDEX(Rekenvolumes[Injectieklanten op TRHS],15)</f>
        <v>#VALUE!</v>
      </c>
      <c r="T31" s="1057" t="e">
        <f>$R$14*INDEX(Rekenvolumes[Injectieklanten op &gt;26-36kV],15)</f>
        <v>#VALUE!</v>
      </c>
      <c r="U31" s="1057" t="e">
        <f>$U$14*INDEX(Rekenvolumes[Injectieklanten op 26-1kV],15)</f>
        <v>#VALUE!</v>
      </c>
      <c r="V31" s="1057" t="e">
        <f>$V$14*INDEX(Rekenvolumes[Injectieklanten op TRLS],15)</f>
        <v>#VALUE!</v>
      </c>
      <c r="W31" s="1062" t="e">
        <f>$W$14*INDEX(Rekenvolumes[Injectieklanten op LS],15)</f>
        <v>#VALUE!</v>
      </c>
    </row>
    <row r="32" spans="1:23">
      <c r="A32" s="443" t="s">
        <v>337</v>
      </c>
      <c r="B32" s="1063" t="e">
        <f>SUM(Tabel4A[[#This Row],[Afnameklanten op TRHS (∑)]],Tabel4A[[#This Row],[Afnameklanten op MS (∑)]],Tabel4A[[#This Row],[Afnameklanten op TRLS (∑)]],Tabel4A[[#This Row],[Afnameklanten op LS (∑)]],Tabel4A[[#This Row],[Injectieklanten (∑)]])</f>
        <v>#VALUE!</v>
      </c>
      <c r="C32" s="1057" t="e">
        <f>SUM(Tabel4A[[#This Row],[Afnameklanten op TRHS]:[Afnameklanten op &gt;26-36 kV met AV ≥ 5MVA]])-MAXIMUM!$E$9</f>
        <v>#VALUE!</v>
      </c>
      <c r="D32" s="1058"/>
      <c r="E32" s="1059"/>
      <c r="F32" s="1057" t="e">
        <f>SUM(Tabel4A[[#This Row],[Afnameklanten op &gt;26-36 kV met AV &lt; 5MVA]:[Doorvoer op 26-1kV]])-MAXIMUM!$E$11</f>
        <v>#VALUE!</v>
      </c>
      <c r="G32" s="1058"/>
      <c r="H32" s="1060"/>
      <c r="I32" s="1059"/>
      <c r="J32" s="1057" t="e">
        <f>SUM(Tabel4A[[#This Row],[Afnameklanten op TRLS]])-MAXIMUM!$E$14</f>
        <v>#VALUE!</v>
      </c>
      <c r="K32" s="1058"/>
      <c r="L32" s="1057" t="e">
        <f>SUM(Tabel4A[[#This Row],[Afnameklanten op LS met piekmeting]:[Prosumenten met terugdraaiende teller op LS]])-MAXIMUM!$E$15</f>
        <v>#DIV/0!</v>
      </c>
      <c r="M32" s="1058"/>
      <c r="N32" s="1060"/>
      <c r="O32" s="1060"/>
      <c r="P32" s="1060"/>
      <c r="Q32" s="1089"/>
      <c r="R32" s="1061" t="e">
        <f>SUM(Tabel4A[[#This Row],[Injectieklanten op TRHS]:[Injectieklanten op LS]])-MAXIMUM!$E$21</f>
        <v>#VALUE!</v>
      </c>
      <c r="S32" s="1057"/>
      <c r="T32" s="1057"/>
      <c r="U32" s="1057"/>
      <c r="V32" s="1057"/>
      <c r="W32" s="1062"/>
    </row>
    <row r="33" spans="1:23">
      <c r="A33" s="132" t="s">
        <v>13</v>
      </c>
      <c r="B33" s="1064" t="e">
        <f>SUM(Tabel4A[[#This Row],[Afnameklanten op TRHS (∑)]],Tabel4A[[#This Row],[Afnameklanten op MS (∑)]],Tabel4A[[#This Row],[Afnameklanten op TRLS (∑)]],Tabel4A[[#This Row],[Afnameklanten op LS (∑)]],Tabel4A[[#This Row],[Injectieklanten (∑)]])</f>
        <v>#VALUE!</v>
      </c>
      <c r="C33" s="1057" t="e">
        <f>SUM(Tabel4A[[#This Row],[Afnameklanten op TRHS]:[Afnameklanten op &gt;26-36 kV met AV ≥ 5MVA]])</f>
        <v>#VALUE!</v>
      </c>
      <c r="D33" s="1058" t="e">
        <f>$D$15*(INDEX(Rekenvolumes[Afnameklanten op TRHS],16)+INDEX(Rekenvolumes[Afnameklanten op TRHS],17))</f>
        <v>#VALUE!</v>
      </c>
      <c r="E33" s="1059" t="e">
        <f>$E$15*(INDEX(Rekenvolumes[Afnameklanten op &gt;26-36 kV met AV ≥ 5MVA],16)+INDEX(Rekenvolumes[Afnameklanten op &gt;26-36 kV met AV ≥ 5MVA],17))</f>
        <v>#VALUE!</v>
      </c>
      <c r="F33" s="1057" t="e">
        <f>SUM(Tabel4A[[#This Row],[Afnameklanten op &gt;26-36 kV met AV &lt; 5MVA]:[Doorvoer op 26-1kV]])</f>
        <v>#VALUE!</v>
      </c>
      <c r="G33" s="1058" t="e">
        <f>$G$15*(INDEX(Rekenvolumes[Afnameklanten op &gt;26-36 kV met AV &lt; 5MVA],16)+INDEX(Rekenvolumes[Afnameklanten op &gt;26-36 kV met AV &lt; 5MVA],17))</f>
        <v>#VALUE!</v>
      </c>
      <c r="H33" s="1060" t="e">
        <f>$H$15*(INDEX(Rekenvolumes[Afnameklanten op 26-1kV],16)+INDEX(Rekenvolumes[Afnameklanten op 26-1kV],17))</f>
        <v>#VALUE!</v>
      </c>
      <c r="I33" s="1059" t="e">
        <f>$I$15*(INDEX(Rekenvolumes[Doorvoer op 26-1kV],16)+INDEX(Rekenvolumes[Doorvoer op 26-1kV],17))</f>
        <v>#VALUE!</v>
      </c>
      <c r="J33" s="1057" t="e">
        <f>SUM(Tabel4A[[#This Row],[Afnameklanten op TRLS]])</f>
        <v>#VALUE!</v>
      </c>
      <c r="K33" s="1058" t="e">
        <f>$K$15*(INDEX(Rekenvolumes[Afnameklanten op TRLS],16)+INDEX(Rekenvolumes[Afnameklanten op TRLS],17))</f>
        <v>#VALUE!</v>
      </c>
      <c r="L33" s="1065"/>
      <c r="M33" s="1066"/>
      <c r="N33" s="1067"/>
      <c r="O33" s="1067"/>
      <c r="P33" s="1067"/>
      <c r="Q33" s="1089"/>
      <c r="R33" s="1065"/>
      <c r="S33" s="1065"/>
      <c r="T33" s="1065"/>
      <c r="U33" s="1065"/>
      <c r="V33" s="1065"/>
      <c r="W33" s="1068"/>
    </row>
    <row r="34" spans="1:23">
      <c r="A34" s="132" t="s">
        <v>79</v>
      </c>
      <c r="B34" s="1063" t="e">
        <f>SUM(Tabel4A[[#This Row],[Afnameklanten op TRHS (∑)]],Tabel4A[[#This Row],[Afnameklanten op MS (∑)]],Tabel4A[[#This Row],[Afnameklanten op TRLS (∑)]],Tabel4A[[#This Row],[Afnameklanten op LS (∑)]],Tabel4A[[#This Row],[Injectieklanten (∑)]])</f>
        <v>#DIV/0!</v>
      </c>
      <c r="C34" s="1057" t="e">
        <f>SUM(Tabel4A[[#This Row],[Afnameklanten op TRHS]:[Afnameklanten op &gt;26-36 kV met AV ≥ 5MVA]])</f>
        <v>#DIV/0!</v>
      </c>
      <c r="D34" s="1058" t="e">
        <f>$D$16*INDEX(Rekenvolumes[Afnameklanten op TRHS],2)+$D$17*INDEX(Rekenvolumes[Afnameklanten op TRHS],3)+$D$18*INDEX(Rekenvolumes[Afnameklanten op TRHS],4)+$D$19*INDEX(Rekenvolumes[Afnameklanten op TRHS],5)+$D$20*INDEX(Rekenvolumes[Afnameklanten op TRHS],6)+$D$21*INDEX(Rekenvolumes[Afnameklanten op TRHS],7)</f>
        <v>#DIV/0!</v>
      </c>
      <c r="E34" s="1059" t="e">
        <f>$E$16*INDEX(Rekenvolumes[Afnameklanten op &gt;26-36 kV met AV ≥ 5MVA],2)+$E$17*INDEX(Rekenvolumes[Afnameklanten op &gt;26-36 kV met AV ≥ 5MVA],3)+$E$18*INDEX(Rekenvolumes[Afnameklanten op &gt;26-36 kV met AV ≥ 5MVA],4)+$E$19*INDEX(Rekenvolumes[Afnameklanten op &gt;26-36 kV met AV ≥ 5MVA],5)+$E$20*INDEX(Rekenvolumes[Afnameklanten op &gt;26-36 kV met AV ≥ 5MVA],6)+$E$21*INDEX(Rekenvolumes[Afnameklanten op &gt;26-36 kV met AV ≥ 5MVA],7)</f>
        <v>#DIV/0!</v>
      </c>
      <c r="F34" s="1057" t="e">
        <f>SUM(Tabel4A[[#This Row],[Afnameklanten op &gt;26-36 kV met AV &lt; 5MVA]:[Doorvoer op 26-1kV]])</f>
        <v>#DIV/0!</v>
      </c>
      <c r="G34" s="1058" t="e">
        <f>$G$16*INDEX(Rekenvolumes[Afnameklanten op &gt;26-36 kV met AV &lt; 5MVA],2)+$G$17*INDEX(Rekenvolumes[Afnameklanten op &gt;26-36 kV met AV &lt; 5MVA],3)+$G$18*INDEX(Rekenvolumes[Afnameklanten op &gt;26-36 kV met AV &lt; 5MVA],4)+$G$19*INDEX(Rekenvolumes[Afnameklanten op &gt;26-36 kV met AV &lt; 5MVA],5)+$G$20*INDEX(Rekenvolumes[Afnameklanten op &gt;26-36 kV met AV &lt; 5MVA],6)+$G$21*INDEX(Rekenvolumes[Afnameklanten op &gt;26-36 kV met AV &lt; 5MVA],7)</f>
        <v>#DIV/0!</v>
      </c>
      <c r="H34" s="1060" t="e">
        <f>$H$16*INDEX(Rekenvolumes[Afnameklanten op 26-1kV],2)+$H$17*INDEX(Rekenvolumes[Afnameklanten op 26-1kV],3)+$H$18*INDEX(Rekenvolumes[Afnameklanten op 26-1kV],4)+$H$19*INDEX(Rekenvolumes[Afnameklanten op 26-1kV],5)+$H$20*INDEX(Rekenvolumes[Afnameklanten op 26-1kV],6)+$H$21*INDEX(Rekenvolumes[Afnameklanten op 26-1kV],7)</f>
        <v>#DIV/0!</v>
      </c>
      <c r="I34" s="1059" t="e">
        <f>$I$16*INDEX(Rekenvolumes[Doorvoer op 26-1kV],2)+$I$17*INDEX(Rekenvolumes[Doorvoer op 26-1kV],3)+$I$18*INDEX(Rekenvolumes[Doorvoer op 26-1kV],4)+$I$19*INDEX(Rekenvolumes[Doorvoer op 26-1kV],5)+$I$20*INDEX(Rekenvolumes[Doorvoer op 26-1kV],6)+$I$21*INDEX(Rekenvolumes[Doorvoer op 26-1kV],7)</f>
        <v>#DIV/0!</v>
      </c>
      <c r="J34" s="1057" t="e">
        <f>SUM(Tabel4A[[#This Row],[Afnameklanten op TRLS]])</f>
        <v>#DIV/0!</v>
      </c>
      <c r="K34" s="1058" t="e">
        <f>$K$16*INDEX(Rekenvolumes[Afnameklanten op TRLS],2)+$K$17*INDEX(Rekenvolumes[Afnameklanten op TRLS],3)+$K$18*INDEX(Rekenvolumes[Afnameklanten op TRLS],4)+$K$19*INDEX(Rekenvolumes[Afnameklanten op TRLS],5)+$K$20*INDEX(Rekenvolumes[Afnameklanten op TRLS],6)+$K$21*INDEX(Rekenvolumes[Afnameklanten op TRLS],7)</f>
        <v>#DIV/0!</v>
      </c>
      <c r="L34" s="1057" t="e">
        <f>SUM(Tabel4A[[#This Row],[Afnameklanten op LS met piekmeting]:[Prosumenten met terugdraaiende teller op LS]])</f>
        <v>#DIV/0!</v>
      </c>
      <c r="M34" s="1058" t="e">
        <f>$M$16*INDEX(Rekenvolumes[Afnameklanten op LS met piekmeting],2)+$M$17*INDEX(Rekenvolumes[Afnameklanten op LS met piekmeting],3)+$M$18*INDEX(Rekenvolumes[Afnameklanten op LS met piekmeting],4)+$M$19*INDEX(Rekenvolumes[Afnameklanten op LS met piekmeting],5)+$M$20*INDEX(Rekenvolumes[Afnameklanten op LS met piekmeting],6)+$M$21*INDEX(Rekenvolumes[Afnameklanten op LS met piekmeting],7)</f>
        <v>#DIV/0!</v>
      </c>
      <c r="N34" s="1060" t="e">
        <f>$N$16*INDEX(Rekenvolumes[Doorvoer op LS met piekmeting],2)+$N$17*INDEX(Rekenvolumes[Doorvoer op LS met piekmeting],3)+$N$18*INDEX(Rekenvolumes[Doorvoer op LS met piekmeting],4)+$N$19*INDEX(Rekenvolumes[Doorvoer op LS met piekmeting],5)+$N$20*INDEX(Rekenvolumes[Doorvoer op LS met piekmeting],6)+$N$21*INDEX(Rekenvolumes[Doorvoer op LS met piekmeting],7)</f>
        <v>#DIV/0!</v>
      </c>
      <c r="O34" s="1060" t="e">
        <f>$O$16*INDEX(Rekenvolumes[Afnameklanten op LS met klassieke meter],2)+$O$17*INDEX(Rekenvolumes[Afnameklanten op LS met klassieke meter],3)+$O$18*INDEX(Rekenvolumes[Afnameklanten op LS met klassieke meter],4)+$O$19*INDEX(Rekenvolumes[Afnameklanten op LS met klassieke meter],5)+$O$20*INDEX(Rekenvolumes[Afnameklanten op LS met klassieke meter],6)+$O$21*INDEX(Rekenvolumes[Afnameklanten op LS met klassieke meter],7)</f>
        <v>#DIV/0!</v>
      </c>
      <c r="P34" s="1060" t="e">
        <f>$P$16*INDEX(Rekenvolumes[Doorvoer op LS zonder piekmeting],2)+$P$17*INDEX(Rekenvolumes[Doorvoer op LS zonder piekmeting],3)+$P$18*INDEX(Rekenvolumes[Doorvoer op LS zonder piekmeting],4)+$P$19*INDEX(Rekenvolumes[Doorvoer op LS zonder piekmeting],5)+$P$20*INDEX(Rekenvolumes[Doorvoer op LS zonder piekmeting],6)+$P$21*INDEX(Rekenvolumes[Doorvoer op LS zonder piekmeting],7)</f>
        <v>#DIV/0!</v>
      </c>
      <c r="Q34" s="1089"/>
      <c r="R34" s="1061" t="e">
        <f>SUM(Tabel4A[[#This Row],[Injectieklanten op TRHS]:[Injectieklanten op LS]])</f>
        <v>#DIV/0!</v>
      </c>
      <c r="S34" s="1057" t="e">
        <f>$S$21*INDEX(Rekenvolumes[Injectieklanten op TRHS],7)</f>
        <v>#DIV/0!</v>
      </c>
      <c r="T34" s="1057" t="e">
        <f>$T$21*INDEX(Rekenvolumes[Injectieklanten op &gt;26-36kV],7)</f>
        <v>#DIV/0!</v>
      </c>
      <c r="U34" s="1057" t="e">
        <f>$U$21*INDEX(Rekenvolumes[Injectieklanten op 26-1kV],7)</f>
        <v>#DIV/0!</v>
      </c>
      <c r="V34" s="1057" t="e">
        <f>$V$21*INDEX(Rekenvolumes[Injectieklanten op TRLS],7)</f>
        <v>#DIV/0!</v>
      </c>
      <c r="W34" s="1062" t="e">
        <f>$W$21*INDEX(Rekenvolumes[Injectieklanten op LS],7)</f>
        <v>#DIV/0!</v>
      </c>
    </row>
    <row r="35" spans="1:23">
      <c r="A35" s="132" t="s">
        <v>80</v>
      </c>
      <c r="B35" s="1064" t="e">
        <f>SUM(Tabel4A[[#This Row],[Afnameklanten op TRHS (∑)]],Tabel4A[[#This Row],[Afnameklanten op MS (∑)]],Tabel4A[[#This Row],[Afnameklanten op TRLS (∑)]],Tabel4A[[#This Row],[Afnameklanten op LS (∑)]],Tabel4A[[#This Row],[Injectieklanten (∑)]])</f>
        <v>#VALUE!</v>
      </c>
      <c r="C35" s="1057" t="e">
        <f>SUM(Tabel4A[[#This Row],[Afnameklanten op TRHS]:[Afnameklanten op &gt;26-36 kV met AV ≥ 5MVA]])</f>
        <v>#VALUE!</v>
      </c>
      <c r="D35" s="1058" t="e">
        <f>$D$22*(INDEX(Rekenvolumes[Afnameklanten op TRHS],12)+INDEX(Rekenvolumes[Afnameklanten op TRHS],13))+$D$23*INDEX(Rekenvolumes[Afnameklanten op TRHS],14)</f>
        <v>#VALUE!</v>
      </c>
      <c r="E35" s="1059" t="e">
        <f>$E$22*(INDEX(Rekenvolumes[Afnameklanten op &gt;26-36 kV met AV ≥ 5MVA],12)+INDEX(Rekenvolumes[Afnameklanten op &gt;26-36 kV met AV ≥ 5MVA],13))+$E$23*INDEX(Rekenvolumes[Afnameklanten op &gt;26-36 kV met AV ≥ 5MVA],14)</f>
        <v>#VALUE!</v>
      </c>
      <c r="F35" s="1057" t="e">
        <f>SUM(Tabel4A[[#This Row],[Afnameklanten op &gt;26-36 kV met AV &lt; 5MVA]:[Doorvoer op 26-1kV]])</f>
        <v>#VALUE!</v>
      </c>
      <c r="G35" s="1058" t="e">
        <f>$G$22*(INDEX(Rekenvolumes[Afnameklanten op &gt;26-36 kV met AV &lt; 5MVA],12)+INDEX(Rekenvolumes[Afnameklanten op &gt;26-36 kV met AV &lt; 5MVA],13))+$G$23*INDEX(Rekenvolumes[Afnameklanten op &gt;26-36 kV met AV &lt; 5MVA],14)</f>
        <v>#VALUE!</v>
      </c>
      <c r="H35" s="1060" t="e">
        <f>$H$22*(INDEX(Rekenvolumes[Afnameklanten op 26-1kV],12)+INDEX(Rekenvolumes[Afnameklanten op 26-1kV],13))+$H$23*INDEX(Rekenvolumes[Afnameklanten op 26-1kV],14)</f>
        <v>#VALUE!</v>
      </c>
      <c r="I35" s="1059" t="e">
        <f>$I$22*(INDEX(Rekenvolumes[Doorvoer op 26-1kV],12)+INDEX(Rekenvolumes[Doorvoer op 26-1kV],13))+$I$23*INDEX(Rekenvolumes[Doorvoer op 26-1kV],14)</f>
        <v>#VALUE!</v>
      </c>
      <c r="J35" s="1057" t="e">
        <f>SUM(Tabel4A[[#This Row],[Afnameklanten op TRLS]])</f>
        <v>#VALUE!</v>
      </c>
      <c r="K35" s="1058" t="e">
        <f>$K$22*(INDEX(Rekenvolumes[Afnameklanten op TRLS],12)+INDEX(Rekenvolumes[Afnameklanten op TRLS],13))+$K$23*INDEX(Rekenvolumes[Afnameklanten op TRLS],14)</f>
        <v>#VALUE!</v>
      </c>
      <c r="L35" s="1057" t="e">
        <f>SUM(Tabel4A[[#This Row],[Afnameklanten op LS met piekmeting]:[Prosumenten met terugdraaiende teller op LS]])</f>
        <v>#VALUE!</v>
      </c>
      <c r="M35" s="1058" t="e">
        <f>$M$22*(INDEX(Rekenvolumes[Afnameklanten op LS met piekmeting],12)+INDEX(Rekenvolumes[Afnameklanten op LS met piekmeting],13))+$M$23*INDEX(Rekenvolumes[Afnameklanten op LS met piekmeting],14)</f>
        <v>#VALUE!</v>
      </c>
      <c r="N35" s="1060" t="e">
        <f>$N$22*(INDEX(Rekenvolumes[Doorvoer op LS met piekmeting],12)+INDEX(Rekenvolumes[Doorvoer op LS met piekmeting],13))+$N$23*INDEX(Rekenvolumes[Doorvoer op LS met piekmeting],14)</f>
        <v>#VALUE!</v>
      </c>
      <c r="O35" s="1060" t="e">
        <f>$O$22*(INDEX(Rekenvolumes[Afnameklanten op LS met klassieke meter],12)+INDEX(Rekenvolumes[Afnameklanten op LS met klassieke meter],13))+$O$23*INDEX(Rekenvolumes[Afnameklanten op LS met klassieke meter],14)</f>
        <v>#VALUE!</v>
      </c>
      <c r="P35" s="1060" t="e">
        <f>$P$22*(INDEX(Rekenvolumes[Doorvoer op LS zonder piekmeting],12)+INDEX(Rekenvolumes[Doorvoer op LS zonder piekmeting],13))+$P$23*INDEX(Rekenvolumes[Doorvoer op LS zonder piekmeting],14)</f>
        <v>#VALUE!</v>
      </c>
      <c r="Q35" s="1089"/>
      <c r="R35" s="1065"/>
      <c r="S35" s="1065"/>
      <c r="T35" s="1065"/>
      <c r="U35" s="1065"/>
      <c r="V35" s="1065"/>
      <c r="W35" s="1068"/>
    </row>
    <row r="36" spans="1:23">
      <c r="A36" s="132" t="s">
        <v>9</v>
      </c>
      <c r="B36" s="1064" t="e">
        <f>SUM(Tabel4A[[#This Row],[Afnameklanten op TRHS (∑)]],Tabel4A[[#This Row],[Afnameklanten op MS (∑)]],Tabel4A[[#This Row],[Afnameklanten op TRLS (∑)]],Tabel4A[[#This Row],[Afnameklanten op LS (∑)]],Tabel4A[[#This Row],[Injectieklanten (∑)]])</f>
        <v>#VALUE!</v>
      </c>
      <c r="C36" s="1057" t="e">
        <f>SUM(Tabel4A[[#This Row],[Afnameklanten op TRHS]:[Afnameklanten op &gt;26-36 kV met AV ≥ 5MVA]])</f>
        <v>#VALUE!</v>
      </c>
      <c r="D36" s="1058" t="e">
        <f>$D$24*(INDEX(Rekenvolumes[Afnameklanten op TRHS],12)+INDEX(Rekenvolumes[Afnameklanten op TRHS],13)+INDEX(Rekenvolumes[Afnameklanten op TRHS],14))</f>
        <v>#VALUE!</v>
      </c>
      <c r="E36" s="1059" t="e">
        <f>$E$24*(INDEX(Rekenvolumes[Afnameklanten op &gt;26-36 kV met AV ≥ 5MVA],12)+INDEX(Rekenvolumes[Afnameklanten op &gt;26-36 kV met AV ≥ 5MVA],13)+INDEX(Rekenvolumes[Afnameklanten op &gt;26-36 kV met AV ≥ 5MVA],14))</f>
        <v>#VALUE!</v>
      </c>
      <c r="F36" s="1057" t="e">
        <f>SUM(Tabel4A[[#This Row],[Afnameklanten op &gt;26-36 kV met AV &lt; 5MVA]:[Doorvoer op 26-1kV]])</f>
        <v>#VALUE!</v>
      </c>
      <c r="G36" s="1058" t="e">
        <f>$G$24*(INDEX(Rekenvolumes[Afnameklanten op &gt;26-36 kV met AV &lt; 5MVA],12)+INDEX(Rekenvolumes[Afnameklanten op &gt;26-36 kV met AV &lt; 5MVA],13)+INDEX(Rekenvolumes[Afnameklanten op &gt;26-36 kV met AV &lt; 5MVA],14))</f>
        <v>#VALUE!</v>
      </c>
      <c r="H36" s="1060" t="e">
        <f>$H$24*(INDEX(Rekenvolumes[Afnameklanten op 26-1kV],12)+INDEX(Rekenvolumes[Afnameklanten op 26-1kV],13)+INDEX(Rekenvolumes[Afnameklanten op 26-1kV],14))</f>
        <v>#VALUE!</v>
      </c>
      <c r="I36" s="1059" t="e">
        <f>$I$24*(INDEX(Rekenvolumes[Doorvoer op 26-1kV],12)+INDEX(Rekenvolumes[Doorvoer op 26-1kV],13)+INDEX(Rekenvolumes[Doorvoer op 26-1kV],14))</f>
        <v>#VALUE!</v>
      </c>
      <c r="J36" s="1057" t="e">
        <f>SUM(Tabel4A[[#This Row],[Afnameklanten op TRLS]])</f>
        <v>#VALUE!</v>
      </c>
      <c r="K36" s="1058" t="e">
        <f>$K$24*(INDEX(Rekenvolumes[Afnameklanten op TRLS],12)+INDEX(Rekenvolumes[Afnameklanten op TRLS],13)+INDEX(Rekenvolumes[Afnameklanten op TRLS],14))</f>
        <v>#VALUE!</v>
      </c>
      <c r="L36" s="1057" t="e">
        <f>SUM(Tabel4A[[#This Row],[Afnameklanten op LS met piekmeting]:[Prosumenten met terugdraaiende teller op LS]])</f>
        <v>#VALUE!</v>
      </c>
      <c r="M36" s="1058" t="e">
        <f>$M$24*(INDEX(Rekenvolumes[Afnameklanten op LS met piekmeting],12)+INDEX(Rekenvolumes[Afnameklanten op LS met piekmeting],13)+INDEX(Rekenvolumes[Afnameklanten op LS met piekmeting],14))</f>
        <v>#VALUE!</v>
      </c>
      <c r="N36" s="1060" t="e">
        <f>$N$24*(INDEX(Rekenvolumes[Doorvoer op LS met piekmeting],12)+INDEX(Rekenvolumes[Doorvoer op LS met piekmeting],13)+INDEX(Rekenvolumes[Doorvoer op LS met piekmeting],14))</f>
        <v>#VALUE!</v>
      </c>
      <c r="O36" s="1060" t="e">
        <f>$O$24*(INDEX(Rekenvolumes[Afnameklanten op LS met klassieke meter],12)+INDEX(Rekenvolumes[Afnameklanten op LS met klassieke meter],13)+INDEX(Rekenvolumes[Afnameklanten op LS met klassieke meter],14))</f>
        <v>#VALUE!</v>
      </c>
      <c r="P36" s="1060" t="e">
        <f>$P24*(INDEX(Rekenvolumes[Doorvoer op LS zonder piekmeting],12)+INDEX(Rekenvolumes[Doorvoer op LS zonder piekmeting],13)+INDEX(Rekenvolumes[Doorvoer op LS zonder piekmeting],14))</f>
        <v>#VALUE!</v>
      </c>
      <c r="Q36" s="1089"/>
      <c r="R36" s="1065"/>
      <c r="S36" s="1065"/>
      <c r="T36" s="1065"/>
      <c r="U36" s="1065"/>
      <c r="V36" s="1065"/>
      <c r="W36" s="1068"/>
    </row>
    <row r="37" spans="1:23" ht="15" thickBot="1">
      <c r="A37" s="133" t="s">
        <v>81</v>
      </c>
      <c r="B37" s="1069" t="e">
        <f>SUM(Tabel4A[[#This Row],[Afnameklanten op TRHS (∑)]],Tabel4A[[#This Row],[Afnameklanten op MS (∑)]],Tabel4A[[#This Row],[Afnameklanten op TRLS (∑)]],Tabel4A[[#This Row],[Afnameklanten op LS (∑)]],Tabel4A[[#This Row],[Injectieklanten (∑)]])</f>
        <v>#DIV/0!</v>
      </c>
      <c r="C37" s="1070" t="e">
        <f>SUM(Tabel4A[[#This Row],[Afnameklanten op TRHS]:[Afnameklanten op &gt;26-36 kV met AV ≥ 5MVA]])</f>
        <v>#DIV/0!</v>
      </c>
      <c r="D37" s="1071" t="e">
        <f>$D$25*(INDEX(Rekenvolumes[Afnameklanten op TRHS],12)+INDEX(Rekenvolumes[Afnameklanten op TRHS],13)+INDEX(Rekenvolumes[Afnameklanten op TRHS],14))</f>
        <v>#DIV/0!</v>
      </c>
      <c r="E37" s="1072" t="e">
        <f>$E$25*(INDEX(Rekenvolumes[Afnameklanten op &gt;26-36 kV met AV ≥ 5MVA],12)+INDEX(Rekenvolumes[Afnameklanten op &gt;26-36 kV met AV ≥ 5MVA],13)+INDEX(Rekenvolumes[Afnameklanten op &gt;26-36 kV met AV ≥ 5MVA],14))</f>
        <v>#DIV/0!</v>
      </c>
      <c r="F37" s="1070" t="e">
        <f>SUM(Tabel4A[[#This Row],[Afnameklanten op &gt;26-36 kV met AV &lt; 5MVA]:[Doorvoer op 26-1kV]])</f>
        <v>#DIV/0!</v>
      </c>
      <c r="G37" s="1071" t="e">
        <f>$G$25*(INDEX(Rekenvolumes[Afnameklanten op &gt;26-36 kV met AV &lt; 5MVA],12)+INDEX(Rekenvolumes[Afnameklanten op &gt;26-36 kV met AV &lt; 5MVA],13)+INDEX(Rekenvolumes[Afnameklanten op &gt;26-36 kV met AV &lt; 5MVA],14))</f>
        <v>#DIV/0!</v>
      </c>
      <c r="H37" s="1073" t="e">
        <f>$H$25*(INDEX(Rekenvolumes[Afnameklanten op 26-1kV],12)+INDEX(Rekenvolumes[Afnameklanten op 26-1kV],13)+INDEX(Rekenvolumes[Afnameklanten op 26-1kV],14))</f>
        <v>#DIV/0!</v>
      </c>
      <c r="I37" s="1072" t="e">
        <f>$I$25*(INDEX(Rekenvolumes[Doorvoer op 26-1kV],12)+INDEX(Rekenvolumes[Doorvoer op 26-1kV],13)+INDEX(Rekenvolumes[Doorvoer op 26-1kV],14))</f>
        <v>#DIV/0!</v>
      </c>
      <c r="J37" s="1070" t="e">
        <f>SUM(Tabel4A[[#This Row],[Afnameklanten op TRLS]])</f>
        <v>#DIV/0!</v>
      </c>
      <c r="K37" s="1071" t="e">
        <f>$K$25*(INDEX(Rekenvolumes[Afnameklanten op TRLS],12)+INDEX(Rekenvolumes[Afnameklanten op TRLS],13)+INDEX(Rekenvolumes[Afnameklanten op TRLS],14))</f>
        <v>#DIV/0!</v>
      </c>
      <c r="L37" s="1070" t="e">
        <f>SUM(Tabel4A[[#This Row],[Afnameklanten op LS met piekmeting]:[Prosumenten met terugdraaiende teller op LS]])</f>
        <v>#DIV/0!</v>
      </c>
      <c r="M37" s="1071" t="e">
        <f>$M$25*(INDEX(Rekenvolumes[Afnameklanten op LS met piekmeting],12)+INDEX(Rekenvolumes[Afnameklanten op LS met piekmeting],13)+INDEX(Rekenvolumes[Afnameklanten op LS met piekmeting],14))</f>
        <v>#DIV/0!</v>
      </c>
      <c r="N37" s="1073" t="e">
        <f>$N$25*(INDEX(Rekenvolumes[Doorvoer op LS met piekmeting],12)+INDEX(Rekenvolumes[Doorvoer op LS met piekmeting],13)+INDEX(Rekenvolumes[Doorvoer op LS met piekmeting],14))</f>
        <v>#DIV/0!</v>
      </c>
      <c r="O37" s="1073" t="e">
        <f>$O$25*(INDEX(Rekenvolumes[Afnameklanten op LS met klassieke meter],12)+INDEX(Rekenvolumes[Afnameklanten op LS met klassieke meter],13)+INDEX(Rekenvolumes[Afnameklanten op LS met klassieke meter],14))</f>
        <v>#DIV/0!</v>
      </c>
      <c r="P37" s="1073" t="e">
        <f>$P$25*(INDEX(Rekenvolumes[Doorvoer op LS zonder piekmeting],12)+INDEX(Rekenvolumes[Doorvoer op LS zonder piekmeting],13)+INDEX(Rekenvolumes[Doorvoer op LS zonder piekmeting],14))</f>
        <v>#DIV/0!</v>
      </c>
      <c r="Q37" s="1089"/>
      <c r="R37" s="1065"/>
      <c r="S37" s="1065"/>
      <c r="T37" s="1065"/>
      <c r="U37" s="1065"/>
      <c r="V37" s="1065"/>
      <c r="W37" s="1068"/>
    </row>
    <row r="38" spans="1:23" ht="15" thickBot="1">
      <c r="A38" s="339" t="s">
        <v>11</v>
      </c>
      <c r="B38" s="1074" t="e">
        <f>SUBTOTAL(109,Tabel4A[Totale budget])</f>
        <v>#VALUE!</v>
      </c>
      <c r="C38" s="1075" t="e">
        <f>SUBTOTAL(109,Tabel4A[Afnameklanten op TRHS (∑)])</f>
        <v>#VALUE!</v>
      </c>
      <c r="D38" s="1076" t="e">
        <f>SUBTOTAL(109,Tabel4A[Afnameklanten op TRHS])</f>
        <v>#VALUE!</v>
      </c>
      <c r="E38" s="1077" t="e">
        <f>SUBTOTAL(109,Tabel4A[Afnameklanten op &gt;26-36 kV met AV ≥ 5MVA])</f>
        <v>#VALUE!</v>
      </c>
      <c r="F38" s="1078" t="e">
        <f>SUBTOTAL(109,Tabel4A[Afnameklanten op MS (∑)])</f>
        <v>#VALUE!</v>
      </c>
      <c r="G38" s="1076" t="e">
        <f>SUBTOTAL(109,Tabel4A[Afnameklanten op &gt;26-36 kV met AV &lt; 5MVA])</f>
        <v>#VALUE!</v>
      </c>
      <c r="H38" s="1079" t="e">
        <f>SUBTOTAL(109,Tabel4A[Afnameklanten op 26-1kV])</f>
        <v>#VALUE!</v>
      </c>
      <c r="I38" s="1077" t="e">
        <f>SUBTOTAL(109,Tabel4A[Doorvoer op 26-1kV])</f>
        <v>#VALUE!</v>
      </c>
      <c r="J38" s="1078" t="e">
        <f>SUBTOTAL(109,Tabel4A[Afnameklanten op TRLS (∑)])</f>
        <v>#VALUE!</v>
      </c>
      <c r="K38" s="1076" t="e">
        <f>SUBTOTAL(109,Tabel4A[Afnameklanten op TRLS])</f>
        <v>#VALUE!</v>
      </c>
      <c r="L38" s="1080" t="e">
        <f>SUBTOTAL(109,Tabel4A[Afnameklanten op LS (∑)])</f>
        <v>#DIV/0!</v>
      </c>
      <c r="M38" s="1076" t="e">
        <f>SUBTOTAL(109,Tabel4A[Afnameklanten op LS met piekmeting])</f>
        <v>#DIV/0!</v>
      </c>
      <c r="N38" s="1079" t="e">
        <f>SUBTOTAL(109,Tabel4A[Doorvoer op LS met piekmeting])</f>
        <v>#DIV/0!</v>
      </c>
      <c r="O38" s="1080" t="e">
        <f>SUBTOTAL(109,Tabel4A[Afnameklanten op LS met klassieke meter])</f>
        <v>#DIV/0!</v>
      </c>
      <c r="P38" s="1080" t="e">
        <f>SUBTOTAL(109,Tabel4A[Doorvoer op LS zonder piekmeting])</f>
        <v>#DIV/0!</v>
      </c>
      <c r="Q38" s="1077" t="e">
        <f>SUBTOTAL(109,Tabel4A[Prosumenten met terugdraaiende teller op LS])</f>
        <v>#DIV/0!</v>
      </c>
      <c r="R38" s="1081" t="e">
        <f>SUBTOTAL(109,Tabel4A[Injectieklanten (∑)])</f>
        <v>#VALUE!</v>
      </c>
      <c r="S38" s="1074" t="e">
        <f>SUBTOTAL(109,Tabel4A[Injectieklanten op TRHS])</f>
        <v>#VALUE!</v>
      </c>
      <c r="T38" s="1074" t="e">
        <f>SUBTOTAL(109,Tabel4A[Injectieklanten  op &gt;26-36kV])</f>
        <v>#VALUE!</v>
      </c>
      <c r="U38" s="1074" t="e">
        <f>SUBTOTAL(109,Tabel4A[Injectieklanten op 26-1kV])</f>
        <v>#VALUE!</v>
      </c>
      <c r="V38" s="1074" t="e">
        <f>SUBTOTAL(109,Tabel4A[Injectieklanten op TRLS])</f>
        <v>#VALUE!</v>
      </c>
      <c r="W38" s="1082" t="e">
        <f>SUBTOTAL(109,Tabel4A[Injectieklanten op LS])</f>
        <v>#VALUE!</v>
      </c>
    </row>
  </sheetData>
  <sheetProtection algorithmName="SHA-512" hashValue="3U09pDG9JuoEyTNsPlsLkPO2YsOJHAO7M1pLf67b3ynjploxgd+21L80wD+0SMBbUPQ7vLWRBJM4V6dHm5Rl/g==" saltValue="nJvyk+oQWAWat6gcS+nPUA==" spinCount="100000" sheet="1" objects="1" scenarios="1"/>
  <mergeCells count="2">
    <mergeCell ref="E4:F4"/>
    <mergeCell ref="A1:J1"/>
  </mergeCells>
  <pageMargins left="0.7" right="0.7" top="0.75" bottom="0.75" header="0.3" footer="0.3"/>
  <pageSetup paperSize="9" orientation="portrait" r:id="rId1"/>
  <tableParts count="2">
    <tablePart r:id="rId2"/>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B2D77-B143-4ABF-B05E-31A28EE4B215}">
  <sheetPr published="0">
    <tabColor rgb="FFD8E4BC"/>
  </sheetPr>
  <dimension ref="A1"/>
  <sheetViews>
    <sheetView workbookViewId="0"/>
  </sheetViews>
  <sheetFormatPr defaultRowHeight="14.5"/>
  <sheetData/>
  <sheetProtection algorithmName="SHA-512" hashValue="uTi2LO/GcGsgCjbT00K0K8Yv6xmJVcBc/5MMu4KH1xmVuYXSYKnxpmfeW9iU6zbQu2BsOhM34BNFfYDhl+E8oQ==" saltValue="pq5ZHpaK2tjy3tVppEvtyw==" spinCount="100000" sheet="1" objects="1" scenarios="1"/>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C920E-3255-4C0C-A4EE-0A10E895BCD9}">
  <sheetPr>
    <pageSetUpPr fitToPage="1"/>
  </sheetPr>
  <dimension ref="A1:AF26"/>
  <sheetViews>
    <sheetView zoomScaleNormal="100" workbookViewId="0">
      <selection activeCell="D4" sqref="D4:E4"/>
    </sheetView>
  </sheetViews>
  <sheetFormatPr defaultColWidth="10.7265625" defaultRowHeight="15" customHeight="1"/>
  <cols>
    <col min="1" max="2" width="5.7265625" style="850" customWidth="1"/>
    <col min="3" max="3" width="50.7265625" style="850" customWidth="1"/>
    <col min="4" max="4" width="20.7265625" style="850" customWidth="1"/>
    <col min="5" max="5" width="10.7265625" style="850" customWidth="1"/>
    <col min="6" max="6" width="20.7265625" style="850" customWidth="1"/>
    <col min="7" max="7" width="10.7265625" style="850" customWidth="1"/>
    <col min="8" max="8" width="20.7265625" style="850" customWidth="1"/>
    <col min="9" max="9" width="10.7265625" style="850" customWidth="1"/>
    <col min="10" max="10" width="20.7265625" style="850" customWidth="1"/>
    <col min="11" max="11" width="10.7265625" style="850" customWidth="1"/>
    <col min="12" max="12" width="20.7265625" style="850" customWidth="1"/>
    <col min="13" max="256" width="10.7265625" style="850" customWidth="1"/>
    <col min="257" max="16384" width="10.7265625" style="850"/>
  </cols>
  <sheetData>
    <row r="1" spans="1:32" ht="30" customHeight="1" thickBot="1">
      <c r="A1" s="1713" t="s">
        <v>365</v>
      </c>
      <c r="B1" s="1714"/>
      <c r="C1" s="1714"/>
      <c r="D1" s="1714"/>
      <c r="E1" s="1714"/>
      <c r="F1" s="1714"/>
      <c r="G1" s="1714"/>
      <c r="H1" s="1714"/>
      <c r="I1" s="1714"/>
      <c r="J1" s="1714"/>
      <c r="K1" s="1714"/>
      <c r="L1" s="1780"/>
    </row>
    <row r="3" spans="1:32" ht="15" customHeight="1" thickBot="1"/>
    <row r="4" spans="1:32" s="3" customFormat="1" ht="20.25" customHeight="1" thickBot="1">
      <c r="B4" s="43"/>
      <c r="C4" s="42" t="s">
        <v>6</v>
      </c>
      <c r="D4" s="1722" t="str">
        <f>DNB</f>
        <v>Naam distributienetbeheerder</v>
      </c>
      <c r="E4" s="1724"/>
      <c r="F4" s="851"/>
      <c r="G4" s="42"/>
      <c r="H4" s="58"/>
      <c r="I4" s="44"/>
      <c r="J4" s="44"/>
      <c r="K4" s="44"/>
      <c r="L4" s="44"/>
      <c r="M4" s="44"/>
      <c r="N4" s="44"/>
      <c r="O4" s="44"/>
      <c r="P4" s="44"/>
      <c r="Q4" s="44"/>
      <c r="R4" s="44"/>
      <c r="S4" s="44"/>
      <c r="T4" s="44"/>
      <c r="U4" s="44"/>
      <c r="V4" s="44"/>
      <c r="W4" s="44"/>
      <c r="X4" s="44"/>
      <c r="Y4" s="44"/>
      <c r="Z4" s="44"/>
      <c r="AA4" s="44"/>
      <c r="AB4" s="44"/>
      <c r="AC4" s="44"/>
      <c r="AD4" s="44"/>
      <c r="AE4" s="44"/>
      <c r="AF4" s="45"/>
    </row>
    <row r="6" spans="1:32" ht="15" customHeight="1" thickBot="1"/>
    <row r="7" spans="1:32" ht="15" customHeight="1">
      <c r="A7" s="1853" t="s">
        <v>77</v>
      </c>
      <c r="B7" s="1854"/>
      <c r="C7" s="1854"/>
      <c r="D7" s="1845" t="s">
        <v>473</v>
      </c>
      <c r="E7" s="1846"/>
      <c r="F7" s="1846"/>
      <c r="G7" s="1847"/>
      <c r="H7" s="1845" t="s">
        <v>474</v>
      </c>
      <c r="I7" s="1846"/>
      <c r="J7" s="1846"/>
      <c r="K7" s="1847"/>
      <c r="L7" s="104" t="s">
        <v>23</v>
      </c>
    </row>
    <row r="8" spans="1:32" ht="15" customHeight="1">
      <c r="A8" s="1855"/>
      <c r="B8" s="1856"/>
      <c r="C8" s="1856"/>
      <c r="D8" s="1843" t="s">
        <v>161</v>
      </c>
      <c r="E8" s="1844"/>
      <c r="F8" s="1843" t="s">
        <v>162</v>
      </c>
      <c r="G8" s="1844"/>
      <c r="H8" s="1843" t="s">
        <v>161</v>
      </c>
      <c r="I8" s="1844"/>
      <c r="J8" s="1843" t="s">
        <v>162</v>
      </c>
      <c r="K8" s="1844"/>
      <c r="L8" s="540"/>
    </row>
    <row r="9" spans="1:32" ht="15" customHeight="1" thickBot="1">
      <c r="A9" s="1857"/>
      <c r="B9" s="1858"/>
      <c r="C9" s="1858"/>
      <c r="D9" s="105" t="s">
        <v>25</v>
      </c>
      <c r="E9" s="106" t="s">
        <v>20</v>
      </c>
      <c r="F9" s="105"/>
      <c r="G9" s="106"/>
      <c r="H9" s="105"/>
      <c r="I9" s="106"/>
      <c r="J9" s="105" t="s">
        <v>25</v>
      </c>
      <c r="K9" s="106" t="s">
        <v>20</v>
      </c>
      <c r="L9" s="107" t="s">
        <v>25</v>
      </c>
    </row>
    <row r="10" spans="1:32" ht="15" customHeight="1">
      <c r="A10" s="852"/>
      <c r="B10" s="853"/>
      <c r="C10" s="853"/>
      <c r="D10" s="854"/>
      <c r="E10" s="855"/>
      <c r="F10" s="854"/>
      <c r="G10" s="855"/>
      <c r="H10" s="854"/>
      <c r="I10" s="855"/>
      <c r="J10" s="854"/>
      <c r="K10" s="855"/>
      <c r="L10" s="856"/>
    </row>
    <row r="11" spans="1:32" ht="20.25" customHeight="1">
      <c r="A11" s="857" t="s">
        <v>352</v>
      </c>
      <c r="B11" s="858" t="s">
        <v>351</v>
      </c>
      <c r="C11" s="858"/>
      <c r="D11" s="859">
        <f>'T6'!$D$12+'T6'!$G$12+'T6'!$J$12+'T6'!$M$12</f>
        <v>0</v>
      </c>
      <c r="E11" s="860" t="str">
        <f>IF(ISNUMBER($D11/($D11+$F11)),ROUND($D11/($D11+$F11),2),"")</f>
        <v/>
      </c>
      <c r="F11" s="859">
        <f>'T6'!$E$12+'T6'!$H$12+'T6'!$K$12+'T6'!$N$12</f>
        <v>0</v>
      </c>
      <c r="G11" s="860" t="str">
        <f>IF(ISNUMBER($F11/($D11+$F11)),ROUND($F11/($D11+$F11),2),"")</f>
        <v/>
      </c>
      <c r="H11" s="859">
        <f>'T6'!$P$12</f>
        <v>0</v>
      </c>
      <c r="I11" s="860" t="str">
        <f>IF(ISNUMBER($H11/($H11+$J11)),ROUND($H11/($H11+$J11),2),"")</f>
        <v/>
      </c>
      <c r="J11" s="859">
        <f>'T6'!$Q$12</f>
        <v>0</v>
      </c>
      <c r="K11" s="860" t="str">
        <f>IF(ISNUMBER($J11/($H11+$J11)),ROUND($J11/($H11+$J11),2),"")</f>
        <v/>
      </c>
      <c r="L11" s="861">
        <f>SUM($D11,$F11,$H11,$J11)</f>
        <v>0</v>
      </c>
    </row>
    <row r="12" spans="1:32" s="13" customFormat="1" ht="15" customHeight="1">
      <c r="A12" s="862"/>
      <c r="B12" s="863"/>
      <c r="C12" s="863"/>
      <c r="D12" s="864"/>
      <c r="E12" s="865"/>
      <c r="F12" s="864"/>
      <c r="G12" s="865"/>
      <c r="H12" s="864"/>
      <c r="I12" s="865"/>
      <c r="J12" s="864"/>
      <c r="K12" s="865"/>
      <c r="L12" s="866"/>
    </row>
    <row r="13" spans="1:32" ht="20.25" customHeight="1">
      <c r="A13" s="867"/>
      <c r="B13" s="863" t="s">
        <v>350</v>
      </c>
      <c r="C13" s="863" t="s">
        <v>349</v>
      </c>
      <c r="D13" s="864">
        <f>'T6'!$D$14+'T6'!$G$14+'T6'!$J$14+'T6'!$M$14</f>
        <v>0</v>
      </c>
      <c r="E13" s="860" t="str">
        <f>IF(ISNUMBER($D13/($D13+$F13)),ROUND($D13/($D13+$F13),2),"")</f>
        <v/>
      </c>
      <c r="F13" s="868">
        <f>'T6'!$E$14+'T6'!$H$14+'T6'!$K$14+'T6'!$N$14</f>
        <v>0</v>
      </c>
      <c r="G13" s="860" t="str">
        <f>IF(ISNUMBER($F13/($D13+$F13)),ROUND($F13/($D13+$F13),2),"")</f>
        <v/>
      </c>
      <c r="H13" s="868">
        <f>'T6'!$P$14</f>
        <v>0</v>
      </c>
      <c r="I13" s="860" t="str">
        <f>IF(ISNUMBER($H13/($H13+$J13)),ROUND($H13/($H13+$J13),2),"")</f>
        <v/>
      </c>
      <c r="J13" s="868">
        <f>'T6'!$Q$14</f>
        <v>0</v>
      </c>
      <c r="K13" s="860" t="str">
        <f>IF(ISNUMBER($J13/($H13+$J13)),ROUND($J13/($H13+$J13),2),"")</f>
        <v/>
      </c>
      <c r="L13" s="866">
        <f>SUM($D13,$F13,$H13,$J13)</f>
        <v>0</v>
      </c>
    </row>
    <row r="14" spans="1:32" ht="15" customHeight="1">
      <c r="A14" s="862"/>
      <c r="B14" s="863"/>
      <c r="C14" s="863"/>
      <c r="D14" s="869"/>
      <c r="E14" s="865"/>
      <c r="F14" s="869"/>
      <c r="G14" s="865"/>
      <c r="H14" s="869"/>
      <c r="I14" s="865"/>
      <c r="J14" s="869"/>
      <c r="K14" s="865"/>
      <c r="L14" s="870"/>
    </row>
    <row r="15" spans="1:32" ht="20.25" customHeight="1">
      <c r="A15" s="867"/>
      <c r="B15" s="863" t="s">
        <v>348</v>
      </c>
      <c r="C15" s="863" t="s">
        <v>347</v>
      </c>
      <c r="D15" s="868">
        <f>'T6'!$D$16+'T6'!$G$16+'T6'!$J$16+'T6'!$M$16</f>
        <v>0</v>
      </c>
      <c r="E15" s="860" t="str">
        <f>IF(ISNUMBER($D15/($D15+$F15)),ROUND($D15/($D15+$F15),2),"")</f>
        <v/>
      </c>
      <c r="F15" s="868">
        <f>'T6'!$E$16+'T6'!$H$16+'T6'!$K$16+'T6'!$N$16</f>
        <v>0</v>
      </c>
      <c r="G15" s="860" t="str">
        <f>IF(ISNUMBER($F15/($D15+$F15)),ROUND($F15/($D15+$F15),2),"")</f>
        <v/>
      </c>
      <c r="H15" s="868">
        <f>'T6'!$P$16</f>
        <v>0</v>
      </c>
      <c r="I15" s="860" t="str">
        <f>IF(ISNUMBER($H15/($H15+$J15)),ROUND($H15/($H15+$J15),2),"")</f>
        <v/>
      </c>
      <c r="J15" s="868">
        <f>'T6'!$Q$16</f>
        <v>0</v>
      </c>
      <c r="K15" s="860" t="str">
        <f>IF(ISNUMBER($J15/($H15+$J15)),ROUND($J15/($H15+$J15),2),"")</f>
        <v/>
      </c>
      <c r="L15" s="866">
        <f>SUM($D15,$F15,$H15,$J15)</f>
        <v>0</v>
      </c>
    </row>
    <row r="16" spans="1:32" ht="15" customHeight="1">
      <c r="A16" s="862"/>
      <c r="B16" s="863"/>
      <c r="C16" s="863"/>
      <c r="D16" s="869"/>
      <c r="E16" s="865"/>
      <c r="F16" s="869"/>
      <c r="G16" s="865"/>
      <c r="H16" s="869"/>
      <c r="I16" s="865"/>
      <c r="J16" s="869"/>
      <c r="K16" s="865"/>
      <c r="L16" s="870"/>
    </row>
    <row r="17" spans="1:12" ht="20.25" customHeight="1">
      <c r="A17" s="867"/>
      <c r="B17" s="863" t="s">
        <v>346</v>
      </c>
      <c r="C17" s="871" t="s">
        <v>345</v>
      </c>
      <c r="D17" s="868">
        <f>'T6'!$D$18+'T6'!$G$18+'T6'!$J$18+'T6'!$M$18</f>
        <v>0</v>
      </c>
      <c r="E17" s="860" t="str">
        <f>IF(ISNUMBER($D17/($D17+$F17)),ROUND($D17/($D17+$F17),2),"")</f>
        <v/>
      </c>
      <c r="F17" s="868">
        <f>'T6'!$E$18+'T6'!$H$18+'T6'!$K$18+'T6'!$N$18</f>
        <v>0</v>
      </c>
      <c r="G17" s="860" t="str">
        <f>IF(ISNUMBER($F17/($D17+$F17)),ROUND($F17/($D17+$F17),2),"")</f>
        <v/>
      </c>
      <c r="H17" s="868">
        <f>'T6'!$P$18</f>
        <v>0</v>
      </c>
      <c r="I17" s="860" t="str">
        <f>IF(ISNUMBER($H17/($H17+$J17)),ROUND($H17/($H17+$J17),2),"")</f>
        <v/>
      </c>
      <c r="J17" s="868">
        <f>'T6'!$Q$18</f>
        <v>0</v>
      </c>
      <c r="K17" s="860" t="str">
        <f>IF(ISNUMBER($J17/($H17+$J17)),ROUND($J17/($H17+$J17),2),"")</f>
        <v/>
      </c>
      <c r="L17" s="866">
        <f>SUM($D17,$F17,$H17,$J17)</f>
        <v>0</v>
      </c>
    </row>
    <row r="18" spans="1:12" ht="15" customHeight="1">
      <c r="A18" s="862"/>
      <c r="B18" s="863"/>
      <c r="C18" s="863"/>
      <c r="D18" s="869"/>
      <c r="E18" s="865"/>
      <c r="F18" s="869"/>
      <c r="G18" s="865"/>
      <c r="H18" s="869"/>
      <c r="I18" s="865"/>
      <c r="J18" s="869"/>
      <c r="K18" s="865"/>
      <c r="L18" s="870"/>
    </row>
    <row r="19" spans="1:12" ht="20.25" customHeight="1">
      <c r="A19" s="857" t="s">
        <v>344</v>
      </c>
      <c r="B19" s="858" t="s">
        <v>343</v>
      </c>
      <c r="C19" s="858"/>
      <c r="D19" s="872">
        <f>'T6'!$D$20+'T6'!$G$20+'T6'!$J$20+'T6'!$M$20</f>
        <v>0</v>
      </c>
      <c r="E19" s="860" t="str">
        <f>IF(ISNUMBER($D19/($D19+$F19)),ROUND($D19/($D19+$F19),2),"")</f>
        <v/>
      </c>
      <c r="F19" s="872">
        <f>'T6'!$E$20+'T6'!$H$20+'T6'!$K$20+'T6'!$N$20</f>
        <v>0</v>
      </c>
      <c r="G19" s="860" t="str">
        <f>IF(ISNUMBER($F19/($D19+$F19)),ROUND($F19/($D19+$F19),2),"")</f>
        <v/>
      </c>
      <c r="H19" s="872">
        <f>'T6'!$P$20</f>
        <v>0</v>
      </c>
      <c r="I19" s="860" t="str">
        <f>IF(ISNUMBER($H19/($H19+$J19)),ROUND($H19/($H19+$J19),2),"")</f>
        <v/>
      </c>
      <c r="J19" s="872">
        <f>'T6'!$Q$20</f>
        <v>0</v>
      </c>
      <c r="K19" s="860" t="str">
        <f>IF(ISNUMBER($J19/($H19+$J19)),ROUND($J19/($H19+$J19),2),"")</f>
        <v/>
      </c>
      <c r="L19" s="861">
        <f>SUM($D19,$F19,$H19,$J19)</f>
        <v>0</v>
      </c>
    </row>
    <row r="20" spans="1:12" ht="15" customHeight="1">
      <c r="A20" s="862"/>
      <c r="B20" s="863"/>
      <c r="C20" s="863"/>
      <c r="D20" s="869"/>
      <c r="E20" s="865"/>
      <c r="F20" s="869"/>
      <c r="G20" s="865"/>
      <c r="H20" s="869"/>
      <c r="I20" s="865"/>
      <c r="J20" s="869"/>
      <c r="K20" s="865"/>
      <c r="L20" s="870"/>
    </row>
    <row r="21" spans="1:12" ht="20.25" customHeight="1">
      <c r="A21" s="857" t="s">
        <v>342</v>
      </c>
      <c r="B21" s="858" t="s">
        <v>9</v>
      </c>
      <c r="C21" s="858"/>
      <c r="D21" s="873">
        <f>'T6'!$D$22+'T6'!$G$22+'T6'!$J$22+'T6'!$M$22</f>
        <v>0</v>
      </c>
      <c r="E21" s="860" t="str">
        <f>IF(ISNUMBER($D21/($D21+$F21)),ROUND($D21/($D21+$F21),2),"")</f>
        <v/>
      </c>
      <c r="F21" s="873">
        <f>'T6'!$E$22+'T6'!$H$22+'T6'!$K$22+'T6'!$N$22</f>
        <v>0</v>
      </c>
      <c r="G21" s="860" t="str">
        <f>IF(ISNUMBER($F21/($D21+$F21)),ROUND($F21/($D21+$F21),2),"")</f>
        <v/>
      </c>
      <c r="H21" s="873">
        <f>'T6'!$P$22</f>
        <v>0</v>
      </c>
      <c r="I21" s="860" t="str">
        <f>IF(ISNUMBER($H21/($H21+$J21)),ROUND($H21/($H21+$J21),2),"")</f>
        <v/>
      </c>
      <c r="J21" s="873">
        <f>'T6'!$Q$22</f>
        <v>0</v>
      </c>
      <c r="K21" s="860" t="str">
        <f>IF(ISNUMBER($J21/($H21+$J21)),ROUND($J21/($H21+$J21),2),"")</f>
        <v/>
      </c>
      <c r="L21" s="861">
        <f>SUM($D21,$F21,$H21,$J21)</f>
        <v>0</v>
      </c>
    </row>
    <row r="22" spans="1:12" ht="15" customHeight="1">
      <c r="A22" s="862"/>
      <c r="B22" s="863"/>
      <c r="C22" s="863"/>
      <c r="D22" s="873"/>
      <c r="E22" s="860"/>
      <c r="F22" s="873"/>
      <c r="G22" s="860"/>
      <c r="H22" s="873"/>
      <c r="I22" s="860"/>
      <c r="J22" s="873"/>
      <c r="K22" s="860"/>
      <c r="L22" s="861"/>
    </row>
    <row r="23" spans="1:12" ht="20.25" customHeight="1">
      <c r="A23" s="867"/>
      <c r="B23" s="863" t="s">
        <v>341</v>
      </c>
      <c r="C23" s="863" t="s">
        <v>340</v>
      </c>
      <c r="D23" s="868">
        <f>'T6'!$D$24+'T6'!$G$24+'T6'!$J$24+'T6'!$M$24</f>
        <v>0</v>
      </c>
      <c r="E23" s="860" t="str">
        <f>IF(ISNUMBER($D23/($D23+$F23)),ROUND($D23/($D23+$F23),2),"")</f>
        <v/>
      </c>
      <c r="F23" s="868">
        <f>'T6'!$E$24+'T6'!$H$24+'T6'!$K$24+'T6'!$N$24</f>
        <v>0</v>
      </c>
      <c r="G23" s="860" t="str">
        <f>IF(ISNUMBER($F23/($D23+$F23)),ROUND($F23/($D23+$F23),2),"")</f>
        <v/>
      </c>
      <c r="H23" s="868">
        <f>'T6'!$P$24</f>
        <v>0</v>
      </c>
      <c r="I23" s="860" t="str">
        <f>IF(ISNUMBER($H23/($H23+$J23)),ROUND($H23/($H23+$J23),2),"")</f>
        <v/>
      </c>
      <c r="J23" s="868">
        <f>'T6'!$Q$24</f>
        <v>0</v>
      </c>
      <c r="K23" s="860" t="str">
        <f>IF(ISNUMBER($J23/($H23+$J23)),ROUND($J23/($H23+$J23),2),"")</f>
        <v/>
      </c>
      <c r="L23" s="866">
        <f>SUM($D23,$F23,$H23,$J23)</f>
        <v>0</v>
      </c>
    </row>
    <row r="24" spans="1:12" ht="20.25" customHeight="1">
      <c r="A24" s="867"/>
      <c r="B24" s="863" t="s">
        <v>339</v>
      </c>
      <c r="C24" s="871" t="s">
        <v>338</v>
      </c>
      <c r="D24" s="868">
        <f>'T6'!$D$25+'T6'!$G$25+'T6'!$J$25+'T6'!$M$25</f>
        <v>0</v>
      </c>
      <c r="E24" s="860" t="str">
        <f>IF(ISNUMBER($D24/($D24+$F24)),ROUND($D24/($D24+$F24),2),"")</f>
        <v/>
      </c>
      <c r="F24" s="868">
        <f>'T6'!$E$25+'T6'!$H$25+'T6'!$K$25+'T6'!$N$25</f>
        <v>0</v>
      </c>
      <c r="G24" s="860" t="str">
        <f>IF(ISNUMBER($F24/($D24+$F24)),ROUND($F24/($D24+$F24),2),"")</f>
        <v/>
      </c>
      <c r="H24" s="868">
        <f>'T6'!$P$25</f>
        <v>0</v>
      </c>
      <c r="I24" s="860" t="str">
        <f>IF(ISNUMBER($H24/($H24+$J24)),ROUND($H24/($H24+$J24),2),"")</f>
        <v/>
      </c>
      <c r="J24" s="868">
        <f>'T6'!$Q$25</f>
        <v>0</v>
      </c>
      <c r="K24" s="860" t="str">
        <f>IF(ISNUMBER($J24/($H24+$J24)),ROUND($J24/($H24+$J24),2),"")</f>
        <v/>
      </c>
      <c r="L24" s="866">
        <f>SUM($D24,$F24,$H24,$J24)</f>
        <v>0</v>
      </c>
    </row>
    <row r="25" spans="1:12" ht="15" customHeight="1" thickBot="1">
      <c r="A25" s="874"/>
      <c r="B25" s="875"/>
      <c r="C25" s="875"/>
      <c r="D25" s="876"/>
      <c r="E25" s="877"/>
      <c r="F25" s="876"/>
      <c r="G25" s="877"/>
      <c r="H25" s="876"/>
      <c r="I25" s="877"/>
      <c r="J25" s="876"/>
      <c r="K25" s="877"/>
      <c r="L25" s="878"/>
    </row>
    <row r="26" spans="1:12" ht="20.25" customHeight="1" thickBot="1">
      <c r="A26" s="879"/>
      <c r="B26" s="880" t="s">
        <v>11</v>
      </c>
      <c r="C26" s="881"/>
      <c r="D26" s="882">
        <f>SUM($D$21,$D$19,$D$11)</f>
        <v>0</v>
      </c>
      <c r="E26" s="883" t="str">
        <f>IF(ISNUMBER($D26/($D26+$F26)),ROUND($D26/($D26+$F26),2),"")</f>
        <v/>
      </c>
      <c r="F26" s="882">
        <f>SUM($F$21,$F$19,$F$11)</f>
        <v>0</v>
      </c>
      <c r="G26" s="883" t="str">
        <f>IF(ISNUMBER($F26/($D26+$F26)),ROUND($F26/($D26+$F26),2),"")</f>
        <v/>
      </c>
      <c r="H26" s="882">
        <f>SUM($H$21,$H$19,$H$11)</f>
        <v>0</v>
      </c>
      <c r="I26" s="883" t="str">
        <f>IF(ISNUMBER($H26/($H26+$J26)),ROUND($H26/($H26+$J26),2),"")</f>
        <v/>
      </c>
      <c r="J26" s="882">
        <f>SUM($J$21,$J$19,$J$11)</f>
        <v>0</v>
      </c>
      <c r="K26" s="883" t="str">
        <f>IF(ISNUMBER($J26/($H26+$J26)),ROUND($J26/($H26+$J26),2),"")</f>
        <v/>
      </c>
      <c r="L26" s="884">
        <f>SUM($L$21,$L$19,$L$11)</f>
        <v>0</v>
      </c>
    </row>
  </sheetData>
  <sheetProtection algorithmName="SHA-512" hashValue="Fi9bkHKqtjZNVvSIYJOwj+uB90A0L4v01DEfypk6+qLHAiCkrYWUfBa0qHKxusjXZtNrlKdq4gGAj6k8gA1x6g==" saltValue="hKFfTYrzUtz6p8V9AI9ShQ==" spinCount="100000" sheet="1" objects="1" scenarios="1"/>
  <mergeCells count="9">
    <mergeCell ref="A1:L1"/>
    <mergeCell ref="D4:E4"/>
    <mergeCell ref="A7:C9"/>
    <mergeCell ref="D7:G7"/>
    <mergeCell ref="H7:K7"/>
    <mergeCell ref="D8:E8"/>
    <mergeCell ref="F8:G8"/>
    <mergeCell ref="H8:I8"/>
    <mergeCell ref="J8:K8"/>
  </mergeCells>
  <pageMargins left="0.19685039370078741" right="0.19685039370078741" top="0.39370078740157483" bottom="0.39370078740157483" header="0.51181102362204722" footer="0.19685039370078741"/>
  <pageSetup paperSize="8" orientation="landscape" r:id="rId1"/>
  <headerFooter alignWithMargins="0">
    <oddFooter>&amp;C&amp;8&amp;F&amp;R&amp;8&amp;A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8593C-941D-45CA-B25C-54E51825849F}">
  <sheetPr>
    <pageSetUpPr fitToPage="1"/>
  </sheetPr>
  <dimension ref="A1:BB35"/>
  <sheetViews>
    <sheetView zoomScaleNormal="100" workbookViewId="0">
      <selection activeCell="D4" sqref="D4:E4"/>
    </sheetView>
  </sheetViews>
  <sheetFormatPr defaultColWidth="10.7265625" defaultRowHeight="15" customHeight="1"/>
  <cols>
    <col min="1" max="2" width="5.7265625" style="850" customWidth="1"/>
    <col min="3" max="3" width="50.7265625" style="850" customWidth="1"/>
    <col min="4" max="18" width="20.7265625" style="850" customWidth="1"/>
    <col min="19" max="16384" width="10.7265625" style="850"/>
  </cols>
  <sheetData>
    <row r="1" spans="1:54" ht="30" customHeight="1" thickBot="1">
      <c r="A1" s="1713" t="s">
        <v>444</v>
      </c>
      <c r="B1" s="1714"/>
      <c r="C1" s="1714"/>
      <c r="D1" s="1714"/>
      <c r="E1" s="1714"/>
      <c r="F1" s="1714"/>
      <c r="G1" s="1714"/>
      <c r="H1" s="1714"/>
      <c r="I1" s="1714"/>
      <c r="J1" s="1714"/>
      <c r="K1" s="1714"/>
      <c r="L1" s="1780"/>
      <c r="M1" s="885"/>
      <c r="N1" s="885"/>
      <c r="O1" s="885"/>
      <c r="P1" s="885"/>
      <c r="Q1" s="885"/>
      <c r="R1" s="885"/>
    </row>
    <row r="3" spans="1:54" s="3" customFormat="1" ht="15" customHeight="1" thickBot="1">
      <c r="A3" s="43"/>
      <c r="B3" s="43"/>
      <c r="C3" s="43"/>
      <c r="D3" s="886"/>
      <c r="E3" s="886"/>
      <c r="F3" s="45"/>
      <c r="G3" s="44"/>
      <c r="H3" s="44"/>
      <c r="I3" s="44"/>
      <c r="J3" s="44"/>
      <c r="K3" s="44"/>
      <c r="L3" s="44"/>
      <c r="M3" s="44"/>
      <c r="N3" s="44"/>
      <c r="O3" s="44"/>
      <c r="P3" s="44"/>
      <c r="Q3" s="44"/>
      <c r="R3" s="44"/>
      <c r="S3" s="43"/>
      <c r="T3" s="43"/>
      <c r="U3" s="886"/>
      <c r="V3" s="886"/>
      <c r="W3" s="45"/>
      <c r="X3" s="44"/>
      <c r="Y3" s="44"/>
      <c r="Z3" s="44"/>
      <c r="AA3" s="44"/>
      <c r="AB3" s="44"/>
      <c r="AC3" s="44"/>
      <c r="AD3" s="44"/>
      <c r="AE3" s="44"/>
      <c r="AF3" s="44"/>
      <c r="AG3" s="44"/>
      <c r="AH3" s="44"/>
      <c r="AI3" s="44"/>
      <c r="AJ3" s="44"/>
      <c r="AK3" s="44"/>
      <c r="AL3" s="44"/>
      <c r="AM3" s="43"/>
      <c r="AN3" s="43"/>
      <c r="AO3" s="43"/>
      <c r="AP3" s="886"/>
      <c r="AQ3" s="886"/>
      <c r="AR3" s="45"/>
      <c r="AS3" s="44"/>
      <c r="AT3" s="44"/>
      <c r="AU3" s="44"/>
      <c r="AV3" s="44"/>
      <c r="AW3" s="44"/>
      <c r="AX3" s="44"/>
      <c r="AY3" s="44"/>
      <c r="AZ3" s="44"/>
      <c r="BA3" s="44"/>
      <c r="BB3" s="45"/>
    </row>
    <row r="4" spans="1:54" s="3" customFormat="1" ht="20.25" customHeight="1" thickBot="1">
      <c r="B4" s="42"/>
      <c r="C4" s="42" t="s">
        <v>6</v>
      </c>
      <c r="D4" s="1722" t="str">
        <f>DNB</f>
        <v>Naam distributienetbeheerder</v>
      </c>
      <c r="E4" s="1724"/>
      <c r="F4" s="42"/>
      <c r="J4" s="44"/>
      <c r="K4" s="44"/>
      <c r="L4" s="44"/>
      <c r="M4" s="44"/>
      <c r="N4" s="44"/>
      <c r="O4" s="44"/>
      <c r="P4" s="44"/>
      <c r="Q4" s="44"/>
      <c r="R4" s="44"/>
      <c r="S4" s="44"/>
      <c r="T4" s="44"/>
      <c r="U4" s="44"/>
      <c r="V4" s="44"/>
      <c r="W4" s="44"/>
      <c r="X4" s="44"/>
      <c r="Y4" s="44"/>
      <c r="Z4" s="44"/>
      <c r="AA4" s="44"/>
      <c r="AB4" s="45"/>
    </row>
    <row r="6" spans="1:54" ht="15" customHeight="1" thickBot="1"/>
    <row r="7" spans="1:54" ht="15" customHeight="1">
      <c r="A7" s="1853" t="s">
        <v>77</v>
      </c>
      <c r="B7" s="1854"/>
      <c r="C7" s="1859"/>
      <c r="D7" s="1863" t="s">
        <v>364</v>
      </c>
      <c r="E7" s="1854"/>
      <c r="F7" s="1854"/>
      <c r="G7" s="1854"/>
      <c r="H7" s="1854"/>
      <c r="I7" s="1854"/>
      <c r="J7" s="1854"/>
      <c r="K7" s="1854"/>
      <c r="L7" s="1854"/>
      <c r="M7" s="1854"/>
      <c r="N7" s="1854"/>
      <c r="O7" s="1859"/>
      <c r="P7" s="1863" t="s">
        <v>363</v>
      </c>
      <c r="Q7" s="1854"/>
      <c r="R7" s="1864"/>
    </row>
    <row r="8" spans="1:54" ht="15" customHeight="1">
      <c r="A8" s="1855"/>
      <c r="B8" s="1860"/>
      <c r="C8" s="1861"/>
      <c r="D8" s="1865" t="s">
        <v>362</v>
      </c>
      <c r="E8" s="1866"/>
      <c r="F8" s="1867"/>
      <c r="G8" s="1865" t="s">
        <v>361</v>
      </c>
      <c r="H8" s="1866"/>
      <c r="I8" s="1867"/>
      <c r="J8" s="1865" t="s">
        <v>360</v>
      </c>
      <c r="K8" s="1866"/>
      <c r="L8" s="1867"/>
      <c r="M8" s="1865" t="s">
        <v>359</v>
      </c>
      <c r="N8" s="1866"/>
      <c r="O8" s="1867"/>
      <c r="P8" s="1868"/>
      <c r="Q8" s="1856"/>
      <c r="R8" s="1869"/>
    </row>
    <row r="9" spans="1:54" ht="15" customHeight="1">
      <c r="A9" s="1855"/>
      <c r="B9" s="1860"/>
      <c r="C9" s="1861"/>
      <c r="D9" s="1865" t="s">
        <v>358</v>
      </c>
      <c r="E9" s="1866"/>
      <c r="F9" s="1867"/>
      <c r="G9" s="1865" t="s">
        <v>357</v>
      </c>
      <c r="H9" s="1866"/>
      <c r="I9" s="1867"/>
      <c r="J9" s="1865" t="s">
        <v>356</v>
      </c>
      <c r="K9" s="1866"/>
      <c r="L9" s="1867"/>
      <c r="M9" s="1865"/>
      <c r="N9" s="1866"/>
      <c r="O9" s="1867"/>
      <c r="P9" s="1868"/>
      <c r="Q9" s="1856"/>
      <c r="R9" s="1869"/>
    </row>
    <row r="10" spans="1:54" ht="15" customHeight="1" thickBot="1">
      <c r="A10" s="1857"/>
      <c r="B10" s="1858"/>
      <c r="C10" s="1862"/>
      <c r="D10" s="887" t="s">
        <v>355</v>
      </c>
      <c r="E10" s="888" t="s">
        <v>354</v>
      </c>
      <c r="F10" s="889" t="s">
        <v>353</v>
      </c>
      <c r="G10" s="887" t="s">
        <v>355</v>
      </c>
      <c r="H10" s="888" t="s">
        <v>354</v>
      </c>
      <c r="I10" s="889" t="s">
        <v>353</v>
      </c>
      <c r="J10" s="887" t="s">
        <v>355</v>
      </c>
      <c r="K10" s="888" t="s">
        <v>354</v>
      </c>
      <c r="L10" s="889" t="s">
        <v>353</v>
      </c>
      <c r="M10" s="887" t="s">
        <v>355</v>
      </c>
      <c r="N10" s="888" t="s">
        <v>354</v>
      </c>
      <c r="O10" s="889" t="s">
        <v>353</v>
      </c>
      <c r="P10" s="887" t="s">
        <v>355</v>
      </c>
      <c r="Q10" s="888" t="s">
        <v>354</v>
      </c>
      <c r="R10" s="890" t="s">
        <v>353</v>
      </c>
    </row>
    <row r="11" spans="1:54" ht="15" customHeight="1">
      <c r="A11" s="852"/>
      <c r="B11" s="853"/>
      <c r="C11" s="853"/>
      <c r="D11" s="854"/>
      <c r="E11" s="891"/>
      <c r="F11" s="855"/>
      <c r="G11" s="854"/>
      <c r="H11" s="891"/>
      <c r="I11" s="855"/>
      <c r="J11" s="854"/>
      <c r="K11" s="891"/>
      <c r="L11" s="855"/>
      <c r="M11" s="854"/>
      <c r="N11" s="891"/>
      <c r="O11" s="855"/>
      <c r="P11" s="854"/>
      <c r="Q11" s="891"/>
      <c r="R11" s="892"/>
    </row>
    <row r="12" spans="1:54" ht="20.25" customHeight="1">
      <c r="A12" s="857" t="s">
        <v>352</v>
      </c>
      <c r="B12" s="858" t="s">
        <v>351</v>
      </c>
      <c r="C12" s="858"/>
      <c r="D12" s="859">
        <f>SUM($D$14,$D$16,$D$18)</f>
        <v>0</v>
      </c>
      <c r="E12" s="893">
        <f>SUM($E$14,$E$16,$E$18)</f>
        <v>0</v>
      </c>
      <c r="F12" s="894">
        <f>SUM($D$12:$E$12)</f>
        <v>0</v>
      </c>
      <c r="G12" s="859">
        <f>SUM($G$14,$G$16,$G$18)</f>
        <v>0</v>
      </c>
      <c r="H12" s="893">
        <f>SUM($H$14,$H$16,$H$18)</f>
        <v>0</v>
      </c>
      <c r="I12" s="894">
        <f>SUM($G$12:$H$12)</f>
        <v>0</v>
      </c>
      <c r="J12" s="859">
        <f>SUM($J$14,$J$16,$J$18)</f>
        <v>0</v>
      </c>
      <c r="K12" s="893">
        <f>SUM($K$14,$K$16,$K$18)</f>
        <v>0</v>
      </c>
      <c r="L12" s="894">
        <f>SUM($J$12:$K$12)</f>
        <v>0</v>
      </c>
      <c r="M12" s="859">
        <f>SUM($M$14,$M$16,$M$18)</f>
        <v>0</v>
      </c>
      <c r="N12" s="893">
        <f>SUM($N$14,$N$16,$N$18)</f>
        <v>0</v>
      </c>
      <c r="O12" s="894">
        <f>SUM($M$12:$N$12)</f>
        <v>0</v>
      </c>
      <c r="P12" s="859">
        <f>SUM($P$14,$P$16,$P$18)</f>
        <v>0</v>
      </c>
      <c r="Q12" s="893">
        <f>SUM($Q$14,$Q$16,$Q$18)</f>
        <v>0</v>
      </c>
      <c r="R12" s="895">
        <f>SUM($P$12:$Q$12)</f>
        <v>0</v>
      </c>
    </row>
    <row r="13" spans="1:54" s="13" customFormat="1" ht="15" customHeight="1">
      <c r="A13" s="862"/>
      <c r="B13" s="863"/>
      <c r="C13" s="863"/>
      <c r="D13" s="864"/>
      <c r="E13" s="896"/>
      <c r="F13" s="894"/>
      <c r="G13" s="864"/>
      <c r="H13" s="896"/>
      <c r="I13" s="894"/>
      <c r="J13" s="864"/>
      <c r="K13" s="896"/>
      <c r="L13" s="894"/>
      <c r="M13" s="864"/>
      <c r="N13" s="896"/>
      <c r="O13" s="894"/>
      <c r="P13" s="864"/>
      <c r="Q13" s="896"/>
      <c r="R13" s="895"/>
    </row>
    <row r="14" spans="1:54" ht="20.25" customHeight="1">
      <c r="A14" s="867"/>
      <c r="B14" s="863" t="s">
        <v>350</v>
      </c>
      <c r="C14" s="863" t="s">
        <v>349</v>
      </c>
      <c r="D14" s="450"/>
      <c r="E14" s="449"/>
      <c r="F14" s="897">
        <f>SUM($D$14:$E$14)</f>
        <v>0</v>
      </c>
      <c r="G14" s="450"/>
      <c r="H14" s="449"/>
      <c r="I14" s="897">
        <f>SUM($G$14:$H$14)</f>
        <v>0</v>
      </c>
      <c r="J14" s="450"/>
      <c r="K14" s="449"/>
      <c r="L14" s="897">
        <f>SUM($J$14:$K$14)</f>
        <v>0</v>
      </c>
      <c r="M14" s="450"/>
      <c r="N14" s="449"/>
      <c r="O14" s="897">
        <f>SUM($M$14:$N$14)</f>
        <v>0</v>
      </c>
      <c r="P14" s="448"/>
      <c r="Q14" s="447"/>
      <c r="R14" s="898">
        <f>SUM($P$14:$Q$14)</f>
        <v>0</v>
      </c>
    </row>
    <row r="15" spans="1:54" ht="15" customHeight="1">
      <c r="A15" s="862"/>
      <c r="B15" s="863"/>
      <c r="C15" s="863"/>
      <c r="D15" s="864"/>
      <c r="E15" s="896"/>
      <c r="F15" s="894"/>
      <c r="G15" s="864"/>
      <c r="H15" s="896"/>
      <c r="I15" s="894"/>
      <c r="J15" s="864"/>
      <c r="K15" s="896"/>
      <c r="L15" s="894"/>
      <c r="M15" s="864"/>
      <c r="N15" s="896"/>
      <c r="O15" s="894"/>
      <c r="P15" s="864"/>
      <c r="Q15" s="896"/>
      <c r="R15" s="895"/>
    </row>
    <row r="16" spans="1:54" ht="20.25" customHeight="1">
      <c r="A16" s="867"/>
      <c r="B16" s="863" t="s">
        <v>348</v>
      </c>
      <c r="C16" s="863" t="s">
        <v>347</v>
      </c>
      <c r="D16" s="448"/>
      <c r="E16" s="447"/>
      <c r="F16" s="899">
        <f>SUM($D$16:$E$16)</f>
        <v>0</v>
      </c>
      <c r="G16" s="448"/>
      <c r="H16" s="447"/>
      <c r="I16" s="899">
        <f>SUM($G$16:$H$16)</f>
        <v>0</v>
      </c>
      <c r="J16" s="448"/>
      <c r="K16" s="447"/>
      <c r="L16" s="899">
        <f>SUM($J$16:$K$16)</f>
        <v>0</v>
      </c>
      <c r="M16" s="448"/>
      <c r="N16" s="447"/>
      <c r="O16" s="899">
        <f>SUM($M$16:$N$16)</f>
        <v>0</v>
      </c>
      <c r="P16" s="450"/>
      <c r="Q16" s="449"/>
      <c r="R16" s="900">
        <f>SUM($P$16:$Q$16)</f>
        <v>0</v>
      </c>
    </row>
    <row r="17" spans="1:18" ht="15" customHeight="1">
      <c r="A17" s="862"/>
      <c r="B17" s="863"/>
      <c r="C17" s="863"/>
      <c r="D17" s="864"/>
      <c r="E17" s="896"/>
      <c r="F17" s="894"/>
      <c r="G17" s="864"/>
      <c r="H17" s="896"/>
      <c r="I17" s="894"/>
      <c r="J17" s="864"/>
      <c r="K17" s="896"/>
      <c r="L17" s="894"/>
      <c r="M17" s="864"/>
      <c r="N17" s="896"/>
      <c r="O17" s="894"/>
      <c r="P17" s="864"/>
      <c r="Q17" s="896"/>
      <c r="R17" s="895"/>
    </row>
    <row r="18" spans="1:18" ht="20.25" customHeight="1">
      <c r="A18" s="867"/>
      <c r="B18" s="863" t="s">
        <v>346</v>
      </c>
      <c r="C18" s="871" t="s">
        <v>345</v>
      </c>
      <c r="D18" s="450"/>
      <c r="E18" s="449"/>
      <c r="F18" s="897">
        <f>SUM($D$18:$E$18)</f>
        <v>0</v>
      </c>
      <c r="G18" s="450"/>
      <c r="H18" s="449"/>
      <c r="I18" s="897">
        <f>SUM($G$18:$H$18)</f>
        <v>0</v>
      </c>
      <c r="J18" s="450"/>
      <c r="K18" s="449"/>
      <c r="L18" s="897">
        <f>SUM($J$18:$K$18)</f>
        <v>0</v>
      </c>
      <c r="M18" s="450"/>
      <c r="N18" s="449"/>
      <c r="O18" s="897">
        <f>SUM($M$18:$N$18)</f>
        <v>0</v>
      </c>
      <c r="P18" s="450"/>
      <c r="Q18" s="449"/>
      <c r="R18" s="900">
        <f>SUM($P$18:$Q$18)</f>
        <v>0</v>
      </c>
    </row>
    <row r="19" spans="1:18" ht="15" customHeight="1">
      <c r="A19" s="862"/>
      <c r="B19" s="863"/>
      <c r="C19" s="863"/>
      <c r="D19" s="864"/>
      <c r="E19" s="896"/>
      <c r="F19" s="894"/>
      <c r="G19" s="864"/>
      <c r="H19" s="896"/>
      <c r="I19" s="901"/>
      <c r="J19" s="864"/>
      <c r="K19" s="896"/>
      <c r="L19" s="901"/>
      <c r="M19" s="864"/>
      <c r="N19" s="896"/>
      <c r="O19" s="901"/>
      <c r="P19" s="864"/>
      <c r="Q19" s="896"/>
      <c r="R19" s="902"/>
    </row>
    <row r="20" spans="1:18" s="13" customFormat="1" ht="20.25" customHeight="1">
      <c r="A20" s="857" t="s">
        <v>344</v>
      </c>
      <c r="B20" s="858" t="s">
        <v>343</v>
      </c>
      <c r="C20" s="858"/>
      <c r="D20" s="460"/>
      <c r="E20" s="459"/>
      <c r="F20" s="897">
        <f>SUM($D$20:$E$20)</f>
        <v>0</v>
      </c>
      <c r="G20" s="458"/>
      <c r="H20" s="457"/>
      <c r="I20" s="899">
        <f>SUM($G$20:$H$20)</f>
        <v>0</v>
      </c>
      <c r="J20" s="458"/>
      <c r="K20" s="457"/>
      <c r="L20" s="899">
        <f>SUM($J$20:$K$20)</f>
        <v>0</v>
      </c>
      <c r="M20" s="458"/>
      <c r="N20" s="457"/>
      <c r="O20" s="899">
        <f>SUM($M$20:$N$20)</f>
        <v>0</v>
      </c>
      <c r="P20" s="458"/>
      <c r="Q20" s="457"/>
      <c r="R20" s="898">
        <f>SUM($P$20:$Q$20)</f>
        <v>0</v>
      </c>
    </row>
    <row r="21" spans="1:18" ht="15" customHeight="1">
      <c r="A21" s="862"/>
      <c r="B21" s="863"/>
      <c r="C21" s="863"/>
      <c r="D21" s="864"/>
      <c r="E21" s="896"/>
      <c r="F21" s="894"/>
      <c r="G21" s="864"/>
      <c r="H21" s="896"/>
      <c r="I21" s="894"/>
      <c r="J21" s="864"/>
      <c r="K21" s="896"/>
      <c r="L21" s="894"/>
      <c r="M21" s="864"/>
      <c r="N21" s="896"/>
      <c r="O21" s="894"/>
      <c r="P21" s="864"/>
      <c r="Q21" s="896"/>
      <c r="R21" s="895"/>
    </row>
    <row r="22" spans="1:18" s="13" customFormat="1" ht="20.25" customHeight="1">
      <c r="A22" s="857" t="s">
        <v>342</v>
      </c>
      <c r="B22" s="858" t="s">
        <v>9</v>
      </c>
      <c r="C22" s="858"/>
      <c r="D22" s="872">
        <f>SUM($D$24:$D$25)</f>
        <v>0</v>
      </c>
      <c r="E22" s="903">
        <f>SUM($E$24:$E$25)</f>
        <v>0</v>
      </c>
      <c r="F22" s="897">
        <f>SUM($D$22:$E$22)</f>
        <v>0</v>
      </c>
      <c r="G22" s="872">
        <f>SUM($G$24:$G$25)</f>
        <v>0</v>
      </c>
      <c r="H22" s="903">
        <f>SUM($H$24:$H$25)</f>
        <v>0</v>
      </c>
      <c r="I22" s="897">
        <f>SUM($G$22:$H$22)</f>
        <v>0</v>
      </c>
      <c r="J22" s="872">
        <f>SUM($J$24:$J$25)</f>
        <v>0</v>
      </c>
      <c r="K22" s="903">
        <f>SUM($K$24:$K$25)</f>
        <v>0</v>
      </c>
      <c r="L22" s="897">
        <f>SUM($J$22:$K$22)</f>
        <v>0</v>
      </c>
      <c r="M22" s="904">
        <f>SUM($M$24:$M$25)</f>
        <v>0</v>
      </c>
      <c r="N22" s="905">
        <f>SUM($N$24:$N$25)</f>
        <v>0</v>
      </c>
      <c r="O22" s="899">
        <f>SUM($M$22:$N$22)</f>
        <v>0</v>
      </c>
      <c r="P22" s="904">
        <f>SUM($P$24:$P$25)</f>
        <v>0</v>
      </c>
      <c r="Q22" s="905">
        <f>SUM($Q$24:$Q$25)</f>
        <v>0</v>
      </c>
      <c r="R22" s="898">
        <f>SUM($P$22:$Q$22)</f>
        <v>0</v>
      </c>
    </row>
    <row r="23" spans="1:18" s="13" customFormat="1" ht="15" customHeight="1">
      <c r="A23" s="862"/>
      <c r="B23" s="863"/>
      <c r="C23" s="863"/>
      <c r="D23" s="872"/>
      <c r="E23" s="903"/>
      <c r="F23" s="897"/>
      <c r="G23" s="872"/>
      <c r="H23" s="903"/>
      <c r="I23" s="897"/>
      <c r="J23" s="872"/>
      <c r="K23" s="903"/>
      <c r="L23" s="897"/>
      <c r="M23" s="872"/>
      <c r="N23" s="903"/>
      <c r="O23" s="897"/>
      <c r="P23" s="872"/>
      <c r="Q23" s="903"/>
      <c r="R23" s="900"/>
    </row>
    <row r="24" spans="1:18" ht="20.25" customHeight="1">
      <c r="A24" s="867"/>
      <c r="B24" s="863" t="s">
        <v>341</v>
      </c>
      <c r="C24" s="863" t="s">
        <v>340</v>
      </c>
      <c r="D24" s="450"/>
      <c r="E24" s="449"/>
      <c r="F24" s="897">
        <f>SUM($D$24:$E$24)</f>
        <v>0</v>
      </c>
      <c r="G24" s="450"/>
      <c r="H24" s="449"/>
      <c r="I24" s="897">
        <f>SUM($G$24:$H$24)</f>
        <v>0</v>
      </c>
      <c r="J24" s="450"/>
      <c r="K24" s="449"/>
      <c r="L24" s="897">
        <f>SUM($J$24:$K$24)</f>
        <v>0</v>
      </c>
      <c r="M24" s="448"/>
      <c r="N24" s="447"/>
      <c r="O24" s="899">
        <f>SUM($M$24:$N$24)</f>
        <v>0</v>
      </c>
      <c r="P24" s="448"/>
      <c r="Q24" s="447"/>
      <c r="R24" s="898">
        <f>SUM($P$24:$Q$24)</f>
        <v>0</v>
      </c>
    </row>
    <row r="25" spans="1:18" ht="20.25" customHeight="1">
      <c r="A25" s="867"/>
      <c r="B25" s="863" t="s">
        <v>339</v>
      </c>
      <c r="C25" s="871" t="s">
        <v>338</v>
      </c>
      <c r="D25" s="450"/>
      <c r="E25" s="449"/>
      <c r="F25" s="897">
        <f>SUM($D$25:$E$25)</f>
        <v>0</v>
      </c>
      <c r="G25" s="450"/>
      <c r="H25" s="449"/>
      <c r="I25" s="897">
        <f>SUM($G$25:$H$25)</f>
        <v>0</v>
      </c>
      <c r="J25" s="450"/>
      <c r="K25" s="449"/>
      <c r="L25" s="897">
        <f>SUM($J$25:$K$25)</f>
        <v>0</v>
      </c>
      <c r="M25" s="448"/>
      <c r="N25" s="447"/>
      <c r="O25" s="899">
        <f>SUM($M$25:$N$25)</f>
        <v>0</v>
      </c>
      <c r="P25" s="448"/>
      <c r="Q25" s="447"/>
      <c r="R25" s="898">
        <f>SUM($P$25:$Q$25)</f>
        <v>0</v>
      </c>
    </row>
    <row r="26" spans="1:18" ht="15" customHeight="1" thickBot="1">
      <c r="A26" s="874"/>
      <c r="B26" s="875"/>
      <c r="C26" s="875"/>
      <c r="D26" s="906"/>
      <c r="E26" s="907"/>
      <c r="F26" s="908"/>
      <c r="G26" s="906"/>
      <c r="H26" s="907"/>
      <c r="I26" s="908"/>
      <c r="J26" s="906"/>
      <c r="K26" s="907"/>
      <c r="L26" s="909"/>
      <c r="M26" s="906"/>
      <c r="N26" s="907"/>
      <c r="O26" s="909"/>
      <c r="P26" s="906"/>
      <c r="Q26" s="907"/>
      <c r="R26" s="910"/>
    </row>
    <row r="27" spans="1:18" ht="20.25" customHeight="1" thickBot="1">
      <c r="A27" s="911"/>
      <c r="B27" s="912"/>
      <c r="C27" s="880" t="s">
        <v>11</v>
      </c>
      <c r="D27" s="913">
        <f>SUM($D$22,$D$20,$D$12)</f>
        <v>0</v>
      </c>
      <c r="E27" s="914">
        <f>SUM($E$22,$E$20,$E$12)</f>
        <v>0</v>
      </c>
      <c r="F27" s="915">
        <f>SUM($D$27:$E$27)</f>
        <v>0</v>
      </c>
      <c r="G27" s="913">
        <f>SUM($G$22,$G$20,$G$12)</f>
        <v>0</v>
      </c>
      <c r="H27" s="914">
        <f>SUM($H$22,$H$20,$H$12)</f>
        <v>0</v>
      </c>
      <c r="I27" s="915">
        <f>SUM($G$27:$H$27)</f>
        <v>0</v>
      </c>
      <c r="J27" s="913">
        <f>SUM($J$22,$J$20,$J$12)</f>
        <v>0</v>
      </c>
      <c r="K27" s="914">
        <f>SUM($K$22,$K$20,$K$12)</f>
        <v>0</v>
      </c>
      <c r="L27" s="915">
        <f>SUM($J$27:$K$27)</f>
        <v>0</v>
      </c>
      <c r="M27" s="913">
        <f>SUM($M$22,$M$20,$M$12)</f>
        <v>0</v>
      </c>
      <c r="N27" s="914">
        <f>SUM($N$22,$N$20,$N$12)</f>
        <v>0</v>
      </c>
      <c r="O27" s="915">
        <f>SUM($M$27:$N$27)</f>
        <v>0</v>
      </c>
      <c r="P27" s="913">
        <f>SUM($P$22,$P$20,$P$12)</f>
        <v>0</v>
      </c>
      <c r="Q27" s="914">
        <f>SUM($Q$22,$Q$20,$Q$12)</f>
        <v>0</v>
      </c>
      <c r="R27" s="916">
        <f>SUM($P$27:$Q$27)</f>
        <v>0</v>
      </c>
    </row>
    <row r="29" spans="1:18" ht="15" customHeight="1">
      <c r="O29" s="917"/>
      <c r="P29" s="917"/>
      <c r="Q29" s="917"/>
      <c r="R29" s="917"/>
    </row>
    <row r="30" spans="1:18" ht="15" customHeight="1">
      <c r="O30" s="918"/>
      <c r="P30" s="918"/>
      <c r="Q30" s="918"/>
      <c r="R30" s="918"/>
    </row>
    <row r="32" spans="1:18" s="922" customFormat="1" ht="15" customHeight="1">
      <c r="A32" s="850"/>
      <c r="B32" s="850"/>
      <c r="C32" s="919"/>
      <c r="D32" s="920"/>
      <c r="E32" s="920"/>
      <c r="F32" s="921"/>
      <c r="G32" s="920"/>
      <c r="H32" s="920"/>
      <c r="I32" s="920"/>
      <c r="J32" s="920"/>
      <c r="K32" s="920"/>
      <c r="L32" s="920"/>
      <c r="M32" s="920"/>
      <c r="N32" s="920"/>
      <c r="O32" s="920"/>
      <c r="P32" s="920"/>
      <c r="Q32" s="920"/>
      <c r="R32" s="920"/>
    </row>
    <row r="33" spans="3:18" ht="15" customHeight="1">
      <c r="C33" s="919"/>
      <c r="D33" s="923"/>
      <c r="E33" s="923"/>
      <c r="F33" s="923"/>
      <c r="G33" s="923"/>
      <c r="H33" s="923"/>
      <c r="I33" s="923"/>
      <c r="J33" s="923"/>
      <c r="K33" s="923"/>
      <c r="L33" s="923"/>
      <c r="M33" s="923"/>
      <c r="N33" s="923"/>
      <c r="O33" s="923"/>
      <c r="P33" s="923"/>
      <c r="Q33" s="923"/>
      <c r="R33" s="923"/>
    </row>
    <row r="34" spans="3:18" ht="15" customHeight="1">
      <c r="C34" s="919"/>
      <c r="D34" s="924"/>
      <c r="E34" s="924"/>
      <c r="F34" s="920"/>
      <c r="G34" s="924"/>
      <c r="H34" s="924"/>
      <c r="I34" s="920"/>
      <c r="J34" s="924"/>
      <c r="K34" s="924"/>
      <c r="L34" s="920"/>
      <c r="M34" s="924"/>
      <c r="N34" s="924"/>
      <c r="O34" s="920"/>
      <c r="P34" s="920"/>
      <c r="Q34" s="920"/>
      <c r="R34" s="920"/>
    </row>
    <row r="35" spans="3:18" ht="15" customHeight="1">
      <c r="D35" s="923"/>
      <c r="E35" s="923"/>
      <c r="F35" s="923"/>
      <c r="G35" s="923"/>
      <c r="H35" s="923"/>
      <c r="I35" s="923"/>
      <c r="J35" s="923"/>
      <c r="K35" s="923"/>
      <c r="L35" s="923"/>
      <c r="M35" s="923"/>
      <c r="N35" s="923"/>
      <c r="O35" s="923"/>
      <c r="P35" s="923"/>
      <c r="Q35" s="923"/>
      <c r="R35" s="923"/>
    </row>
  </sheetData>
  <sheetProtection algorithmName="SHA-512" hashValue="dNYyIVHdouuA3kAhaJjZABo9Jb+rdn8jp8qZ0eUFl5aZYKSiUcSnbeV7Et+RcEC0njgahZ6QRNCToyXHoI0WfA==" saltValue="owXpUuY0Sok3sBpv+ptSLw==" spinCount="100000" sheet="1" objects="1" scenarios="1"/>
  <mergeCells count="14">
    <mergeCell ref="A1:L1"/>
    <mergeCell ref="D4:E4"/>
    <mergeCell ref="A7:C10"/>
    <mergeCell ref="D7:O7"/>
    <mergeCell ref="P7:R7"/>
    <mergeCell ref="D8:F8"/>
    <mergeCell ref="G8:I8"/>
    <mergeCell ref="J8:L8"/>
    <mergeCell ref="M8:O8"/>
    <mergeCell ref="P8:R9"/>
    <mergeCell ref="D9:F9"/>
    <mergeCell ref="G9:I9"/>
    <mergeCell ref="J9:L9"/>
    <mergeCell ref="M9:O9"/>
  </mergeCells>
  <pageMargins left="0.19685039370078741" right="0.19685039370078741" top="0.39370078740157483" bottom="0.39370078740157483" header="0.51181102362204722" footer="0.19685039370078741"/>
  <pageSetup paperSize="8" scale="55" orientation="landscape" r:id="rId1"/>
  <headerFooter alignWithMargins="0">
    <oddFooter>&amp;C&amp;8&amp;F&amp;R&amp;8&amp;A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520D6-844D-4E28-AA92-9421E6B91D7D}">
  <sheetPr published="0">
    <pageSetUpPr fitToPage="1"/>
  </sheetPr>
  <dimension ref="A1:M29"/>
  <sheetViews>
    <sheetView workbookViewId="0">
      <selection activeCell="D4" sqref="D4:E4"/>
    </sheetView>
  </sheetViews>
  <sheetFormatPr defaultColWidth="10.7265625" defaultRowHeight="14.5"/>
  <cols>
    <col min="1" max="2" width="5.7265625" style="1" customWidth="1"/>
    <col min="3" max="3" width="50.7265625" style="1" customWidth="1"/>
    <col min="4" max="13" width="20.7265625" style="1" customWidth="1"/>
    <col min="14" max="16384" width="10.7265625" style="1"/>
  </cols>
  <sheetData>
    <row r="1" spans="1:13" ht="30" customHeight="1" thickBot="1">
      <c r="A1" s="1870" t="s">
        <v>446</v>
      </c>
      <c r="B1" s="1871"/>
      <c r="C1" s="1871"/>
      <c r="D1" s="1871"/>
      <c r="E1" s="1871"/>
      <c r="F1" s="1871"/>
      <c r="G1" s="1871"/>
      <c r="H1" s="1871"/>
      <c r="I1" s="1871"/>
      <c r="J1" s="1871"/>
      <c r="K1" s="1871"/>
      <c r="L1" s="1871"/>
      <c r="M1" s="1872"/>
    </row>
    <row r="3" spans="1:13" ht="15" thickBot="1"/>
    <row r="4" spans="1:13" ht="15" thickBot="1">
      <c r="C4" s="462" t="s">
        <v>6</v>
      </c>
      <c r="D4" s="1891" t="str">
        <f>DNB</f>
        <v>Naam distributienetbeheerder</v>
      </c>
      <c r="E4" s="1892"/>
    </row>
    <row r="6" spans="1:13" ht="15" thickBot="1"/>
    <row r="7" spans="1:13">
      <c r="A7" s="1873" t="s">
        <v>77</v>
      </c>
      <c r="B7" s="1874"/>
      <c r="C7" s="1875"/>
      <c r="D7" s="1875" t="s">
        <v>104</v>
      </c>
      <c r="E7" s="1882" t="s">
        <v>364</v>
      </c>
      <c r="F7" s="1883"/>
      <c r="G7" s="1883"/>
      <c r="H7" s="1883"/>
      <c r="I7" s="1883"/>
      <c r="J7" s="1883"/>
      <c r="K7" s="1883"/>
      <c r="L7" s="1884"/>
      <c r="M7" s="1885" t="s">
        <v>363</v>
      </c>
    </row>
    <row r="8" spans="1:13">
      <c r="A8" s="1876"/>
      <c r="B8" s="1877"/>
      <c r="C8" s="1878"/>
      <c r="D8" s="1878"/>
      <c r="E8" s="1888" t="s">
        <v>374</v>
      </c>
      <c r="F8" s="1889"/>
      <c r="G8" s="1889"/>
      <c r="H8" s="1889"/>
      <c r="I8" s="1889" t="s">
        <v>373</v>
      </c>
      <c r="J8" s="1889"/>
      <c r="K8" s="1889" t="s">
        <v>359</v>
      </c>
      <c r="L8" s="1890"/>
      <c r="M8" s="1886"/>
    </row>
    <row r="9" spans="1:13" ht="15" thickBot="1">
      <c r="A9" s="1879"/>
      <c r="B9" s="1880"/>
      <c r="C9" s="1881"/>
      <c r="D9" s="1881"/>
      <c r="E9" s="490" t="s">
        <v>372</v>
      </c>
      <c r="F9" s="489" t="s">
        <v>371</v>
      </c>
      <c r="G9" s="489" t="s">
        <v>370</v>
      </c>
      <c r="H9" s="489" t="s">
        <v>369</v>
      </c>
      <c r="I9" s="489" t="s">
        <v>368</v>
      </c>
      <c r="J9" s="489" t="s">
        <v>356</v>
      </c>
      <c r="K9" s="489" t="s">
        <v>367</v>
      </c>
      <c r="L9" s="488" t="s">
        <v>366</v>
      </c>
      <c r="M9" s="1887"/>
    </row>
    <row r="10" spans="1:13">
      <c r="A10" s="486"/>
      <c r="B10" s="485"/>
      <c r="C10" s="485"/>
      <c r="D10" s="484"/>
      <c r="E10" s="482"/>
      <c r="F10" s="481"/>
      <c r="G10" s="481"/>
      <c r="H10" s="481"/>
      <c r="I10" s="481"/>
      <c r="J10" s="481"/>
      <c r="K10" s="481"/>
      <c r="L10" s="480"/>
      <c r="M10" s="479"/>
    </row>
    <row r="11" spans="1:13">
      <c r="A11" s="456" t="s">
        <v>352</v>
      </c>
      <c r="B11" s="455" t="s">
        <v>351</v>
      </c>
      <c r="C11" s="455"/>
      <c r="D11" s="483"/>
      <c r="E11" s="482"/>
      <c r="F11" s="481"/>
      <c r="G11" s="481"/>
      <c r="H11" s="481"/>
      <c r="I11" s="481"/>
      <c r="J11" s="481"/>
      <c r="K11" s="481"/>
      <c r="L11" s="480"/>
      <c r="M11" s="479"/>
    </row>
    <row r="12" spans="1:13">
      <c r="A12" s="454"/>
      <c r="B12" s="452"/>
      <c r="C12" s="452"/>
      <c r="D12" s="483"/>
      <c r="E12" s="482"/>
      <c r="F12" s="481"/>
      <c r="G12" s="481"/>
      <c r="H12" s="481"/>
      <c r="I12" s="481"/>
      <c r="J12" s="481"/>
      <c r="K12" s="481"/>
      <c r="L12" s="480"/>
      <c r="M12" s="479"/>
    </row>
    <row r="13" spans="1:13" ht="16.5">
      <c r="A13" s="453"/>
      <c r="B13" s="452" t="s">
        <v>350</v>
      </c>
      <c r="C13" s="452" t="s">
        <v>349</v>
      </c>
      <c r="D13" s="150" t="s">
        <v>109</v>
      </c>
      <c r="E13" s="925"/>
      <c r="F13" s="926"/>
      <c r="G13" s="926"/>
      <c r="H13" s="926"/>
      <c r="I13" s="927"/>
      <c r="J13" s="927"/>
      <c r="K13" s="927"/>
      <c r="L13" s="928"/>
      <c r="M13" s="929"/>
    </row>
    <row r="14" spans="1:13" ht="16.5">
      <c r="A14" s="453"/>
      <c r="B14" s="452"/>
      <c r="C14" s="452"/>
      <c r="D14" s="150" t="s">
        <v>110</v>
      </c>
      <c r="E14" s="925"/>
      <c r="F14" s="926"/>
      <c r="G14" s="926"/>
      <c r="H14" s="926"/>
      <c r="I14" s="926"/>
      <c r="J14" s="926"/>
      <c r="K14" s="926"/>
      <c r="L14" s="930"/>
      <c r="M14" s="929"/>
    </row>
    <row r="15" spans="1:13" ht="16.5">
      <c r="A15" s="453"/>
      <c r="B15" s="452"/>
      <c r="C15" s="452"/>
      <c r="D15" s="150" t="s">
        <v>447</v>
      </c>
      <c r="E15" s="931"/>
      <c r="F15" s="927"/>
      <c r="G15" s="927"/>
      <c r="H15" s="927"/>
      <c r="I15" s="926"/>
      <c r="J15" s="926"/>
      <c r="K15" s="927"/>
      <c r="L15" s="928"/>
      <c r="M15" s="929"/>
    </row>
    <row r="16" spans="1:13">
      <c r="A16" s="454"/>
      <c r="B16" s="452"/>
      <c r="C16" s="452"/>
      <c r="D16" s="484"/>
      <c r="E16" s="482"/>
      <c r="F16" s="481"/>
      <c r="G16" s="481"/>
      <c r="H16" s="481"/>
      <c r="I16" s="481"/>
      <c r="J16" s="481"/>
      <c r="K16" s="481"/>
      <c r="L16" s="480"/>
      <c r="M16" s="479"/>
    </row>
    <row r="17" spans="1:13" ht="16.5">
      <c r="A17" s="453"/>
      <c r="B17" s="452" t="s">
        <v>348</v>
      </c>
      <c r="C17" s="452" t="s">
        <v>347</v>
      </c>
      <c r="D17" s="150" t="s">
        <v>111</v>
      </c>
      <c r="E17" s="931"/>
      <c r="F17" s="927"/>
      <c r="G17" s="927"/>
      <c r="H17" s="927"/>
      <c r="I17" s="927"/>
      <c r="J17" s="927"/>
      <c r="K17" s="927"/>
      <c r="L17" s="928"/>
      <c r="M17" s="944"/>
    </row>
    <row r="18" spans="1:13">
      <c r="A18" s="454"/>
      <c r="B18" s="452"/>
      <c r="C18" s="452"/>
      <c r="D18" s="483"/>
      <c r="E18" s="482"/>
      <c r="F18" s="481"/>
      <c r="G18" s="481"/>
      <c r="H18" s="481"/>
      <c r="I18" s="481"/>
      <c r="J18" s="481"/>
      <c r="K18" s="481"/>
      <c r="L18" s="480"/>
      <c r="M18" s="479"/>
    </row>
    <row r="19" spans="1:13">
      <c r="A19" s="453"/>
      <c r="B19" s="452" t="s">
        <v>346</v>
      </c>
      <c r="C19" s="451" t="s">
        <v>345</v>
      </c>
      <c r="D19" s="476" t="s">
        <v>7</v>
      </c>
      <c r="E19" s="937"/>
      <c r="F19" s="938"/>
      <c r="G19" s="938"/>
      <c r="H19" s="938"/>
      <c r="I19" s="939"/>
      <c r="J19" s="939"/>
      <c r="K19" s="938"/>
      <c r="L19" s="940"/>
      <c r="M19" s="941"/>
    </row>
    <row r="20" spans="1:13">
      <c r="A20" s="453"/>
      <c r="B20" s="452"/>
      <c r="C20" s="451"/>
      <c r="D20" s="476" t="s">
        <v>8</v>
      </c>
      <c r="E20" s="942"/>
      <c r="F20" s="939"/>
      <c r="G20" s="939"/>
      <c r="H20" s="939"/>
      <c r="I20" s="938"/>
      <c r="J20" s="938"/>
      <c r="K20" s="938"/>
      <c r="L20" s="940"/>
      <c r="M20" s="943"/>
    </row>
    <row r="21" spans="1:13">
      <c r="A21" s="453"/>
      <c r="B21" s="452"/>
      <c r="C21" s="451"/>
      <c r="D21" s="476" t="s">
        <v>378</v>
      </c>
      <c r="E21" s="942"/>
      <c r="F21" s="939"/>
      <c r="G21" s="939"/>
      <c r="H21" s="939"/>
      <c r="I21" s="938"/>
      <c r="J21" s="938"/>
      <c r="K21" s="938"/>
      <c r="L21" s="940"/>
      <c r="M21" s="943"/>
    </row>
    <row r="22" spans="1:13">
      <c r="A22" s="454"/>
      <c r="B22" s="452"/>
      <c r="C22" s="452"/>
      <c r="D22" s="476"/>
      <c r="E22" s="475"/>
      <c r="F22" s="474"/>
      <c r="G22" s="474"/>
      <c r="H22" s="474"/>
      <c r="I22" s="474"/>
      <c r="J22" s="474"/>
      <c r="K22" s="474"/>
      <c r="L22" s="478"/>
      <c r="M22" s="477"/>
    </row>
    <row r="23" spans="1:13" ht="16.5">
      <c r="A23" s="456" t="s">
        <v>344</v>
      </c>
      <c r="B23" s="455" t="s">
        <v>343</v>
      </c>
      <c r="C23" s="455"/>
      <c r="D23" s="150" t="s">
        <v>110</v>
      </c>
      <c r="E23" s="932"/>
      <c r="F23" s="933"/>
      <c r="G23" s="933"/>
      <c r="H23" s="934"/>
      <c r="I23" s="934"/>
      <c r="J23" s="934"/>
      <c r="K23" s="934"/>
      <c r="L23" s="935"/>
      <c r="M23" s="936"/>
    </row>
    <row r="24" spans="1:13">
      <c r="A24" s="454"/>
      <c r="B24" s="452"/>
      <c r="C24" s="452"/>
      <c r="D24" s="476"/>
      <c r="E24" s="475"/>
      <c r="F24" s="474"/>
      <c r="G24" s="474"/>
      <c r="H24" s="474"/>
      <c r="I24" s="474"/>
      <c r="J24" s="474"/>
      <c r="K24" s="474"/>
      <c r="L24" s="478"/>
      <c r="M24" s="477"/>
    </row>
    <row r="25" spans="1:13">
      <c r="A25" s="456" t="s">
        <v>342</v>
      </c>
      <c r="B25" s="455" t="s">
        <v>9</v>
      </c>
      <c r="C25" s="455"/>
      <c r="D25" s="150"/>
      <c r="E25" s="475"/>
      <c r="F25" s="474"/>
      <c r="G25" s="474"/>
      <c r="H25" s="474"/>
      <c r="I25" s="474"/>
      <c r="J25" s="474"/>
      <c r="K25" s="474"/>
      <c r="L25" s="478"/>
      <c r="M25" s="477"/>
    </row>
    <row r="26" spans="1:13">
      <c r="A26" s="454"/>
      <c r="B26" s="452"/>
      <c r="C26" s="452"/>
      <c r="D26" s="476"/>
      <c r="E26" s="475"/>
      <c r="F26" s="474"/>
      <c r="G26" s="474"/>
      <c r="H26" s="474"/>
      <c r="I26" s="474"/>
      <c r="J26" s="474"/>
      <c r="K26" s="474"/>
      <c r="L26" s="478"/>
      <c r="M26" s="477"/>
    </row>
    <row r="27" spans="1:13" ht="16.5">
      <c r="A27" s="453"/>
      <c r="B27" s="452" t="s">
        <v>341</v>
      </c>
      <c r="C27" s="452" t="s">
        <v>340</v>
      </c>
      <c r="D27" s="150" t="s">
        <v>110</v>
      </c>
      <c r="E27" s="932"/>
      <c r="F27" s="933"/>
      <c r="G27" s="933"/>
      <c r="H27" s="933"/>
      <c r="I27" s="933"/>
      <c r="J27" s="933"/>
      <c r="K27" s="934"/>
      <c r="L27" s="935"/>
      <c r="M27" s="936"/>
    </row>
    <row r="28" spans="1:13" ht="16.5">
      <c r="A28" s="453"/>
      <c r="B28" s="452" t="s">
        <v>339</v>
      </c>
      <c r="C28" s="451" t="s">
        <v>338</v>
      </c>
      <c r="D28" s="150" t="s">
        <v>110</v>
      </c>
      <c r="E28" s="932"/>
      <c r="F28" s="933"/>
      <c r="G28" s="933"/>
      <c r="H28" s="933"/>
      <c r="I28" s="933"/>
      <c r="J28" s="933"/>
      <c r="K28" s="934"/>
      <c r="L28" s="935"/>
      <c r="M28" s="936"/>
    </row>
    <row r="29" spans="1:13" ht="15" thickBot="1">
      <c r="A29" s="446"/>
      <c r="B29" s="445"/>
      <c r="C29" s="445"/>
      <c r="D29" s="473"/>
      <c r="E29" s="470"/>
      <c r="F29" s="469"/>
      <c r="G29" s="469"/>
      <c r="H29" s="469"/>
      <c r="I29" s="469"/>
      <c r="J29" s="469"/>
      <c r="K29" s="469"/>
      <c r="L29" s="468"/>
      <c r="M29" s="467"/>
    </row>
  </sheetData>
  <sheetProtection algorithmName="SHA-512" hashValue="rleG8ICRxvPnqjpoZUc5zjy5vcLARg42wWfk/6f1+ZGOJ4QFKmf+4Ur3KFX8R/6G5PP46Me6yWLrIoo8F+iULA==" saltValue="LaRPbuBaaA0ecUlJ2ZHf0w==" spinCount="100000" sheet="1" objects="1" scenarios="1"/>
  <mergeCells count="9">
    <mergeCell ref="A1:M1"/>
    <mergeCell ref="A7:C9"/>
    <mergeCell ref="D7:D9"/>
    <mergeCell ref="E7:L7"/>
    <mergeCell ref="M7:M9"/>
    <mergeCell ref="E8:H8"/>
    <mergeCell ref="I8:J8"/>
    <mergeCell ref="K8:L8"/>
    <mergeCell ref="D4:E4"/>
  </mergeCells>
  <pageMargins left="0.70866141732283472" right="0.70866141732283472" top="0.74803149606299213" bottom="0.74803149606299213" header="0.31496062992125984" footer="0.31496062992125984"/>
  <pageSetup paperSize="8" scale="1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E2ABD-46BB-4D3C-A4F0-C14FBE5EDD1C}">
  <sheetPr published="0">
    <pageSetUpPr fitToPage="1"/>
  </sheetPr>
  <dimension ref="A1:BB39"/>
  <sheetViews>
    <sheetView zoomScaleNormal="100" zoomScaleSheetLayoutView="55" workbookViewId="0">
      <selection activeCell="D4" sqref="D4:E4"/>
    </sheetView>
  </sheetViews>
  <sheetFormatPr defaultColWidth="9.1796875" defaultRowHeight="14.5"/>
  <cols>
    <col min="1" max="2" width="5.7265625" style="466" customWidth="1"/>
    <col min="3" max="3" width="50.7265625" style="466" customWidth="1"/>
    <col min="4" max="13" width="20.7265625" style="466" customWidth="1"/>
    <col min="14" max="256" width="10.7265625" style="466" customWidth="1"/>
    <col min="257" max="16384" width="9.1796875" style="466"/>
  </cols>
  <sheetData>
    <row r="1" spans="1:54" ht="30" customHeight="1" thickBot="1">
      <c r="A1" s="1870" t="s">
        <v>445</v>
      </c>
      <c r="B1" s="1871"/>
      <c r="C1" s="1871"/>
      <c r="D1" s="1871"/>
      <c r="E1" s="1871"/>
      <c r="F1" s="1871"/>
      <c r="G1" s="1871"/>
      <c r="H1" s="1871"/>
      <c r="I1" s="1871"/>
      <c r="J1" s="1871"/>
      <c r="K1" s="1871"/>
      <c r="L1" s="1871"/>
      <c r="M1" s="1872"/>
      <c r="N1" s="464"/>
      <c r="O1" s="464"/>
      <c r="P1" s="464"/>
      <c r="Q1" s="464"/>
      <c r="R1" s="464"/>
      <c r="S1" s="500"/>
      <c r="T1" s="500"/>
      <c r="U1" s="500"/>
      <c r="V1" s="500"/>
      <c r="W1" s="500"/>
      <c r="X1" s="504"/>
      <c r="Y1" s="504"/>
      <c r="Z1" s="504"/>
      <c r="AA1" s="504"/>
      <c r="AB1" s="504"/>
      <c r="AC1" s="504"/>
      <c r="AD1" s="504"/>
      <c r="AE1" s="504"/>
      <c r="AF1" s="504"/>
      <c r="AG1" s="504"/>
      <c r="AH1" s="504"/>
      <c r="AI1" s="504"/>
      <c r="AJ1" s="504"/>
      <c r="AK1" s="504"/>
      <c r="AL1" s="504"/>
      <c r="AM1" s="504"/>
      <c r="AN1" s="504"/>
    </row>
    <row r="2" spans="1:54">
      <c r="C2" s="463"/>
      <c r="D2" s="463"/>
      <c r="E2" s="463"/>
      <c r="F2" s="499"/>
      <c r="G2" s="499"/>
      <c r="H2" s="498"/>
      <c r="I2" s="498"/>
      <c r="J2" s="498"/>
      <c r="K2" s="498"/>
      <c r="L2" s="498"/>
      <c r="M2" s="498"/>
      <c r="N2" s="498"/>
      <c r="O2" s="498"/>
      <c r="P2" s="498"/>
      <c r="Q2" s="498"/>
      <c r="R2" s="498"/>
      <c r="S2" s="498"/>
      <c r="T2" s="498"/>
      <c r="U2" s="498"/>
      <c r="V2" s="498"/>
      <c r="W2" s="498"/>
      <c r="X2" s="505"/>
      <c r="Y2" s="505"/>
      <c r="Z2" s="505"/>
      <c r="AA2" s="505"/>
      <c r="AB2" s="505"/>
      <c r="AC2" s="505"/>
      <c r="AD2" s="505"/>
      <c r="AE2" s="505"/>
      <c r="AF2" s="505"/>
      <c r="AG2" s="505"/>
      <c r="AH2" s="505"/>
      <c r="AI2" s="505"/>
      <c r="AJ2" s="505"/>
      <c r="AK2" s="505"/>
      <c r="AL2" s="505"/>
      <c r="AM2" s="505"/>
      <c r="AN2" s="505"/>
    </row>
    <row r="3" spans="1:54" ht="15" thickBot="1">
      <c r="C3" s="463"/>
      <c r="D3" s="463"/>
      <c r="E3" s="463"/>
      <c r="F3" s="499"/>
      <c r="G3" s="499"/>
      <c r="H3" s="498"/>
      <c r="I3" s="498"/>
      <c r="J3" s="498"/>
      <c r="K3" s="498"/>
      <c r="L3" s="498"/>
      <c r="M3" s="498"/>
      <c r="N3" s="498"/>
      <c r="O3" s="498"/>
      <c r="P3" s="498"/>
      <c r="Q3" s="498"/>
      <c r="R3" s="498"/>
      <c r="S3" s="498"/>
      <c r="T3" s="498"/>
      <c r="U3" s="498"/>
      <c r="V3" s="498"/>
      <c r="W3" s="498"/>
      <c r="X3" s="505"/>
      <c r="Y3" s="505"/>
      <c r="Z3" s="505"/>
      <c r="AA3" s="505"/>
      <c r="AB3" s="505"/>
      <c r="AC3" s="505"/>
      <c r="AD3" s="505"/>
      <c r="AE3" s="505"/>
      <c r="AF3" s="505"/>
      <c r="AG3" s="505"/>
      <c r="AH3" s="505"/>
      <c r="AI3" s="505"/>
      <c r="AJ3" s="505"/>
      <c r="AK3" s="505"/>
      <c r="AL3" s="505"/>
      <c r="AM3" s="505"/>
      <c r="AN3" s="505"/>
    </row>
    <row r="4" spans="1:54" s="6" customFormat="1" ht="15" thickBot="1">
      <c r="C4" s="462" t="s">
        <v>6</v>
      </c>
      <c r="D4" s="1891" t="str">
        <f>DNB</f>
        <v>Naam distributienetbeheerder</v>
      </c>
      <c r="E4" s="1893"/>
      <c r="F4" s="465"/>
      <c r="G4" s="462"/>
      <c r="H4" s="462"/>
      <c r="I4" s="461"/>
      <c r="J4" s="461"/>
      <c r="K4" s="461"/>
      <c r="L4" s="461"/>
      <c r="M4" s="461"/>
      <c r="N4" s="461"/>
      <c r="O4" s="461"/>
      <c r="P4" s="461"/>
      <c r="Q4" s="461"/>
      <c r="R4" s="461"/>
      <c r="S4" s="461"/>
      <c r="T4" s="461"/>
      <c r="U4" s="461"/>
      <c r="V4" s="461"/>
      <c r="W4" s="461"/>
      <c r="X4" s="506"/>
      <c r="Y4" s="506"/>
      <c r="Z4" s="506"/>
      <c r="AA4" s="506"/>
      <c r="AB4" s="506"/>
      <c r="AC4" s="506"/>
      <c r="AD4" s="506"/>
      <c r="AE4" s="506"/>
      <c r="AF4" s="506"/>
      <c r="AG4" s="506"/>
      <c r="AH4" s="506"/>
      <c r="AI4" s="507"/>
      <c r="AJ4" s="290"/>
      <c r="AK4" s="290"/>
      <c r="AL4" s="290"/>
      <c r="AM4" s="290"/>
      <c r="AN4" s="290"/>
    </row>
    <row r="5" spans="1:54" s="6" customFormat="1">
      <c r="C5" s="463"/>
      <c r="D5" s="463"/>
      <c r="E5" s="463"/>
      <c r="F5" s="499"/>
      <c r="G5" s="499"/>
      <c r="H5" s="498"/>
      <c r="I5" s="498"/>
      <c r="J5" s="498"/>
      <c r="K5" s="498"/>
      <c r="L5" s="498"/>
      <c r="M5" s="498"/>
      <c r="N5" s="498"/>
      <c r="O5" s="498"/>
      <c r="P5" s="498"/>
      <c r="Q5" s="498"/>
      <c r="R5" s="498"/>
      <c r="S5" s="498"/>
      <c r="T5" s="498"/>
      <c r="U5" s="498"/>
      <c r="V5" s="498"/>
      <c r="W5" s="498"/>
      <c r="X5" s="505"/>
      <c r="Y5" s="505"/>
      <c r="Z5" s="505"/>
      <c r="AA5" s="505"/>
      <c r="AB5" s="505"/>
      <c r="AC5" s="505"/>
      <c r="AD5" s="505"/>
      <c r="AE5" s="505"/>
      <c r="AF5" s="505"/>
      <c r="AG5" s="505"/>
      <c r="AH5" s="505"/>
      <c r="AI5" s="505"/>
      <c r="AJ5" s="505"/>
      <c r="AK5" s="505"/>
      <c r="AL5" s="505"/>
      <c r="AM5" s="505"/>
      <c r="AN5" s="505"/>
      <c r="AO5" s="498"/>
      <c r="AP5" s="498"/>
      <c r="AQ5" s="498"/>
      <c r="AR5" s="498"/>
      <c r="AS5" s="498"/>
      <c r="AT5" s="498"/>
      <c r="AU5" s="498"/>
      <c r="AV5" s="498"/>
      <c r="AW5" s="498"/>
      <c r="AX5" s="498"/>
      <c r="AY5" s="498"/>
      <c r="AZ5" s="498"/>
      <c r="BA5" s="498"/>
      <c r="BB5" s="498"/>
    </row>
    <row r="6" spans="1:54" ht="15" thickBot="1">
      <c r="C6" s="497"/>
      <c r="D6" s="497"/>
      <c r="E6" s="487"/>
      <c r="F6" s="487"/>
      <c r="G6" s="496"/>
      <c r="H6" s="493"/>
      <c r="I6" s="493"/>
      <c r="J6" s="493"/>
      <c r="K6" s="493"/>
      <c r="L6" s="493"/>
      <c r="M6" s="493"/>
      <c r="N6" s="493"/>
      <c r="O6" s="493"/>
      <c r="P6" s="493"/>
      <c r="Q6" s="492"/>
      <c r="R6" s="492"/>
      <c r="S6" s="495"/>
      <c r="T6" s="495"/>
      <c r="U6" s="495"/>
      <c r="V6" s="495"/>
      <c r="W6" s="494"/>
      <c r="X6" s="508"/>
      <c r="Y6" s="508"/>
      <c r="Z6" s="508"/>
      <c r="AA6" s="509"/>
      <c r="AB6" s="509"/>
      <c r="AC6" s="509"/>
      <c r="AD6" s="509"/>
      <c r="AE6" s="509"/>
      <c r="AF6" s="509"/>
      <c r="AG6" s="510"/>
      <c r="AH6" s="510"/>
      <c r="AI6" s="510"/>
      <c r="AJ6" s="510"/>
      <c r="AK6" s="511"/>
      <c r="AL6" s="511"/>
      <c r="AM6" s="511"/>
      <c r="AN6" s="510"/>
    </row>
    <row r="7" spans="1:54">
      <c r="A7" s="1894" t="s">
        <v>120</v>
      </c>
      <c r="B7" s="1895"/>
      <c r="C7" s="1896"/>
      <c r="D7" s="1903" t="s">
        <v>118</v>
      </c>
      <c r="E7" s="1882" t="s">
        <v>364</v>
      </c>
      <c r="F7" s="1883"/>
      <c r="G7" s="1883"/>
      <c r="H7" s="1883"/>
      <c r="I7" s="1883"/>
      <c r="J7" s="1883"/>
      <c r="K7" s="1883"/>
      <c r="L7" s="1884"/>
      <c r="M7" s="1885" t="s">
        <v>363</v>
      </c>
      <c r="N7" s="444"/>
      <c r="O7" s="444"/>
      <c r="P7" s="444"/>
      <c r="Q7" s="444"/>
      <c r="R7" s="491"/>
      <c r="S7" s="491"/>
      <c r="T7" s="491"/>
      <c r="U7" s="491"/>
      <c r="V7" s="491"/>
      <c r="W7" s="491"/>
      <c r="X7" s="512"/>
      <c r="Y7" s="513"/>
      <c r="Z7" s="513"/>
      <c r="AA7" s="513"/>
      <c r="AB7" s="513"/>
      <c r="AC7" s="513"/>
      <c r="AD7" s="513"/>
      <c r="AE7" s="513"/>
      <c r="AF7" s="513"/>
      <c r="AG7" s="513"/>
      <c r="AH7" s="513"/>
      <c r="AI7" s="513"/>
      <c r="AJ7" s="510"/>
      <c r="AK7" s="510"/>
      <c r="AL7" s="511"/>
      <c r="AM7" s="511"/>
      <c r="AN7" s="511"/>
      <c r="AO7" s="444"/>
    </row>
    <row r="8" spans="1:54">
      <c r="A8" s="1897"/>
      <c r="B8" s="1898"/>
      <c r="C8" s="1899"/>
      <c r="D8" s="1904"/>
      <c r="E8" s="1888" t="s">
        <v>374</v>
      </c>
      <c r="F8" s="1889"/>
      <c r="G8" s="1889"/>
      <c r="H8" s="1889"/>
      <c r="I8" s="1889" t="s">
        <v>373</v>
      </c>
      <c r="J8" s="1889"/>
      <c r="K8" s="1889" t="s">
        <v>359</v>
      </c>
      <c r="L8" s="1890"/>
      <c r="M8" s="1886"/>
      <c r="X8" s="511"/>
      <c r="Y8" s="511"/>
      <c r="Z8" s="511"/>
      <c r="AA8" s="511"/>
      <c r="AB8" s="511"/>
      <c r="AC8" s="511"/>
      <c r="AD8" s="511"/>
      <c r="AE8" s="511"/>
      <c r="AF8" s="511"/>
      <c r="AG8" s="511"/>
      <c r="AH8" s="511"/>
      <c r="AI8" s="511"/>
      <c r="AJ8" s="510"/>
      <c r="AK8" s="510"/>
      <c r="AL8" s="511"/>
      <c r="AM8" s="511"/>
      <c r="AN8" s="511"/>
      <c r="AO8" s="487"/>
    </row>
    <row r="9" spans="1:54" ht="15" thickBot="1">
      <c r="A9" s="1900"/>
      <c r="B9" s="1901"/>
      <c r="C9" s="1902"/>
      <c r="D9" s="1905"/>
      <c r="E9" s="490" t="s">
        <v>372</v>
      </c>
      <c r="F9" s="489" t="s">
        <v>371</v>
      </c>
      <c r="G9" s="489" t="s">
        <v>370</v>
      </c>
      <c r="H9" s="489" t="s">
        <v>369</v>
      </c>
      <c r="I9" s="489" t="s">
        <v>368</v>
      </c>
      <c r="J9" s="489" t="s">
        <v>356</v>
      </c>
      <c r="K9" s="489" t="s">
        <v>367</v>
      </c>
      <c r="L9" s="488" t="s">
        <v>366</v>
      </c>
      <c r="M9" s="1887"/>
      <c r="X9" s="511"/>
      <c r="Y9" s="511"/>
      <c r="Z9" s="511"/>
      <c r="AA9" s="511"/>
      <c r="AB9" s="511"/>
      <c r="AC9" s="511"/>
      <c r="AD9" s="511"/>
      <c r="AE9" s="511"/>
      <c r="AF9" s="511"/>
      <c r="AG9" s="511"/>
      <c r="AH9" s="511"/>
      <c r="AI9" s="511"/>
      <c r="AJ9" s="510"/>
      <c r="AK9" s="510"/>
      <c r="AL9" s="511"/>
      <c r="AM9" s="511"/>
      <c r="AN9" s="511"/>
      <c r="AO9" s="444"/>
    </row>
    <row r="10" spans="1:54">
      <c r="A10" s="1906" t="s">
        <v>119</v>
      </c>
      <c r="B10" s="1907"/>
      <c r="C10" s="1908"/>
      <c r="D10" s="538">
        <f t="shared" ref="D10:D16" si="0">SUM($E10:$M10)</f>
        <v>0</v>
      </c>
      <c r="E10" s="945"/>
      <c r="F10" s="946"/>
      <c r="G10" s="946"/>
      <c r="H10" s="946"/>
      <c r="I10" s="946"/>
      <c r="J10" s="946"/>
      <c r="K10" s="946"/>
      <c r="L10" s="947"/>
      <c r="M10" s="948"/>
      <c r="X10" s="511"/>
      <c r="Y10" s="511"/>
      <c r="Z10" s="511"/>
      <c r="AA10" s="511"/>
      <c r="AB10" s="511"/>
      <c r="AC10" s="511"/>
      <c r="AD10" s="511"/>
      <c r="AE10" s="511"/>
      <c r="AF10" s="511"/>
      <c r="AG10" s="511"/>
      <c r="AH10" s="511"/>
      <c r="AI10" s="511"/>
      <c r="AJ10" s="510"/>
      <c r="AK10" s="510"/>
      <c r="AL10" s="511"/>
      <c r="AM10" s="511"/>
      <c r="AN10" s="511"/>
      <c r="AO10" s="487"/>
    </row>
    <row r="11" spans="1:54">
      <c r="A11" s="1909" t="s">
        <v>7</v>
      </c>
      <c r="B11" s="1910"/>
      <c r="C11" s="1911"/>
      <c r="D11" s="538">
        <f t="shared" si="0"/>
        <v>0</v>
      </c>
      <c r="E11" s="949"/>
      <c r="F11" s="950"/>
      <c r="G11" s="950"/>
      <c r="H11" s="950"/>
      <c r="I11" s="951"/>
      <c r="J11" s="951"/>
      <c r="K11" s="950"/>
      <c r="L11" s="952"/>
      <c r="M11" s="953"/>
      <c r="X11" s="511"/>
      <c r="Y11" s="511"/>
      <c r="Z11" s="511"/>
      <c r="AA11" s="511"/>
      <c r="AB11" s="511"/>
      <c r="AC11" s="511"/>
      <c r="AD11" s="511"/>
      <c r="AE11" s="511"/>
      <c r="AF11" s="511"/>
      <c r="AG11" s="511"/>
      <c r="AH11" s="511"/>
      <c r="AI11" s="511"/>
      <c r="AJ11" s="510"/>
      <c r="AK11" s="510"/>
      <c r="AL11" s="511"/>
      <c r="AM11" s="511"/>
      <c r="AN11" s="511"/>
      <c r="AO11" s="444"/>
    </row>
    <row r="12" spans="1:54">
      <c r="A12" s="1909" t="s">
        <v>8</v>
      </c>
      <c r="B12" s="1910"/>
      <c r="C12" s="1911"/>
      <c r="D12" s="538">
        <f t="shared" si="0"/>
        <v>0</v>
      </c>
      <c r="E12" s="954"/>
      <c r="F12" s="951"/>
      <c r="G12" s="951"/>
      <c r="H12" s="951"/>
      <c r="I12" s="950"/>
      <c r="J12" s="950"/>
      <c r="K12" s="950"/>
      <c r="L12" s="952"/>
      <c r="M12" s="955"/>
      <c r="X12" s="511"/>
      <c r="Y12" s="511"/>
      <c r="Z12" s="511"/>
      <c r="AA12" s="511"/>
      <c r="AB12" s="511"/>
      <c r="AC12" s="511"/>
      <c r="AD12" s="511"/>
      <c r="AE12" s="511"/>
      <c r="AF12" s="511"/>
      <c r="AG12" s="511"/>
      <c r="AH12" s="511"/>
      <c r="AI12" s="511"/>
      <c r="AJ12" s="510"/>
      <c r="AK12" s="510"/>
      <c r="AL12" s="511"/>
      <c r="AM12" s="511"/>
      <c r="AN12" s="511"/>
      <c r="AO12" s="487"/>
    </row>
    <row r="13" spans="1:54">
      <c r="A13" s="1912" t="s">
        <v>378</v>
      </c>
      <c r="B13" s="1913"/>
      <c r="C13" s="1914"/>
      <c r="D13" s="538">
        <f t="shared" si="0"/>
        <v>0</v>
      </c>
      <c r="E13" s="956"/>
      <c r="F13" s="957"/>
      <c r="G13" s="957"/>
      <c r="H13" s="957"/>
      <c r="I13" s="958"/>
      <c r="J13" s="958"/>
      <c r="K13" s="958"/>
      <c r="L13" s="959"/>
      <c r="M13" s="960"/>
      <c r="N13" s="444"/>
      <c r="O13" s="444"/>
      <c r="P13" s="444"/>
      <c r="Q13" s="444"/>
      <c r="R13" s="444"/>
      <c r="S13" s="444"/>
      <c r="T13" s="444"/>
      <c r="U13" s="444"/>
      <c r="V13" s="444"/>
      <c r="W13" s="444"/>
      <c r="X13" s="513"/>
      <c r="Y13" s="513"/>
      <c r="Z13" s="513"/>
      <c r="AA13" s="513"/>
      <c r="AB13" s="513"/>
      <c r="AC13" s="513"/>
      <c r="AD13" s="513"/>
      <c r="AE13" s="513"/>
      <c r="AF13" s="511"/>
      <c r="AG13" s="511"/>
      <c r="AH13" s="511"/>
      <c r="AI13" s="513"/>
      <c r="AJ13" s="510"/>
      <c r="AK13" s="510"/>
      <c r="AL13" s="511"/>
      <c r="AM13" s="511"/>
      <c r="AN13" s="511"/>
      <c r="AO13" s="444"/>
    </row>
    <row r="14" spans="1:54" ht="16.5">
      <c r="A14" s="1909" t="s">
        <v>377</v>
      </c>
      <c r="B14" s="1910"/>
      <c r="C14" s="1911"/>
      <c r="D14" s="538">
        <f t="shared" si="0"/>
        <v>0</v>
      </c>
      <c r="E14" s="954"/>
      <c r="F14" s="951"/>
      <c r="G14" s="951"/>
      <c r="H14" s="951"/>
      <c r="I14" s="951"/>
      <c r="J14" s="951"/>
      <c r="K14" s="951"/>
      <c r="L14" s="961"/>
      <c r="M14" s="955"/>
      <c r="X14" s="511"/>
      <c r="Y14" s="511"/>
      <c r="Z14" s="511"/>
      <c r="AA14" s="511"/>
      <c r="AB14" s="511"/>
      <c r="AC14" s="511"/>
      <c r="AD14" s="511"/>
      <c r="AE14" s="511"/>
      <c r="AF14" s="511"/>
      <c r="AG14" s="511"/>
      <c r="AH14" s="511"/>
      <c r="AI14" s="511"/>
      <c r="AJ14" s="510"/>
      <c r="AK14" s="510"/>
      <c r="AL14" s="511"/>
      <c r="AM14" s="511"/>
      <c r="AN14" s="511"/>
      <c r="AO14" s="487"/>
    </row>
    <row r="15" spans="1:54" ht="16.5">
      <c r="A15" s="1909" t="s">
        <v>376</v>
      </c>
      <c r="B15" s="1910"/>
      <c r="C15" s="1911"/>
      <c r="D15" s="538">
        <f t="shared" si="0"/>
        <v>0</v>
      </c>
      <c r="E15" s="962"/>
      <c r="F15" s="963"/>
      <c r="G15" s="963"/>
      <c r="H15" s="963"/>
      <c r="I15" s="963"/>
      <c r="J15" s="963"/>
      <c r="K15" s="963"/>
      <c r="L15" s="964"/>
      <c r="M15" s="965"/>
      <c r="X15" s="511"/>
      <c r="Y15" s="511"/>
      <c r="Z15" s="511"/>
      <c r="AA15" s="511"/>
      <c r="AB15" s="511"/>
      <c r="AC15" s="511"/>
      <c r="AD15" s="511"/>
      <c r="AE15" s="511"/>
      <c r="AF15" s="511"/>
      <c r="AG15" s="511"/>
      <c r="AH15" s="511"/>
      <c r="AI15" s="511"/>
      <c r="AJ15" s="510"/>
      <c r="AK15" s="510"/>
      <c r="AL15" s="511"/>
      <c r="AM15" s="511"/>
      <c r="AN15" s="511"/>
      <c r="AO15" s="487"/>
    </row>
    <row r="16" spans="1:54" ht="17" thickBot="1">
      <c r="A16" s="1915" t="s">
        <v>375</v>
      </c>
      <c r="B16" s="1916"/>
      <c r="C16" s="1917"/>
      <c r="D16" s="539">
        <f t="shared" si="0"/>
        <v>0</v>
      </c>
      <c r="E16" s="966"/>
      <c r="F16" s="967"/>
      <c r="G16" s="967"/>
      <c r="H16" s="967"/>
      <c r="I16" s="968"/>
      <c r="J16" s="968"/>
      <c r="K16" s="967"/>
      <c r="L16" s="969"/>
      <c r="M16" s="970"/>
      <c r="X16" s="511"/>
      <c r="Y16" s="511"/>
      <c r="Z16" s="511"/>
      <c r="AA16" s="511"/>
      <c r="AB16" s="511"/>
      <c r="AC16" s="511"/>
      <c r="AD16" s="511"/>
      <c r="AE16" s="511"/>
      <c r="AF16" s="511"/>
      <c r="AG16" s="511"/>
      <c r="AH16" s="511"/>
      <c r="AI16" s="511"/>
      <c r="AJ16" s="510"/>
      <c r="AK16" s="510"/>
      <c r="AL16" s="511"/>
      <c r="AM16" s="511"/>
      <c r="AN16" s="511"/>
      <c r="AO16" s="444"/>
    </row>
    <row r="17" spans="1:41">
      <c r="X17" s="511"/>
      <c r="Y17" s="511"/>
      <c r="Z17" s="511"/>
      <c r="AA17" s="511"/>
      <c r="AB17" s="511"/>
      <c r="AC17" s="511"/>
      <c r="AD17" s="511"/>
      <c r="AE17" s="511"/>
      <c r="AF17" s="511"/>
      <c r="AG17" s="511"/>
      <c r="AH17" s="511"/>
      <c r="AI17" s="510"/>
      <c r="AJ17" s="510"/>
      <c r="AK17" s="511"/>
      <c r="AL17" s="511"/>
      <c r="AM17" s="511"/>
      <c r="AN17" s="513"/>
    </row>
    <row r="18" spans="1:41">
      <c r="X18" s="511"/>
      <c r="Y18" s="511"/>
      <c r="Z18" s="511"/>
      <c r="AA18" s="511"/>
      <c r="AB18" s="511"/>
      <c r="AC18" s="511"/>
      <c r="AD18" s="511"/>
      <c r="AE18" s="511"/>
      <c r="AF18" s="511"/>
      <c r="AG18" s="511"/>
      <c r="AH18" s="511"/>
      <c r="AI18" s="510"/>
      <c r="AJ18" s="510"/>
      <c r="AK18" s="511"/>
      <c r="AL18" s="511"/>
      <c r="AM18" s="511"/>
      <c r="AN18" s="513"/>
    </row>
    <row r="19" spans="1:41" ht="15" thickBot="1">
      <c r="X19" s="511"/>
      <c r="Y19" s="511"/>
      <c r="Z19" s="511"/>
      <c r="AA19" s="511"/>
      <c r="AB19" s="511"/>
      <c r="AC19" s="511"/>
      <c r="AD19" s="511"/>
      <c r="AE19" s="511"/>
      <c r="AF19" s="511"/>
      <c r="AG19" s="511"/>
      <c r="AH19" s="511"/>
      <c r="AI19" s="510"/>
      <c r="AJ19" s="510"/>
      <c r="AK19" s="511"/>
      <c r="AL19" s="511"/>
      <c r="AM19" s="511"/>
      <c r="AN19" s="513"/>
    </row>
    <row r="20" spans="1:41" ht="15" customHeight="1">
      <c r="A20" s="1873" t="s">
        <v>77</v>
      </c>
      <c r="B20" s="1874"/>
      <c r="C20" s="1875"/>
      <c r="D20" s="1875" t="s">
        <v>11</v>
      </c>
      <c r="E20" s="1882" t="s">
        <v>364</v>
      </c>
      <c r="F20" s="1883"/>
      <c r="G20" s="1883"/>
      <c r="H20" s="1883"/>
      <c r="I20" s="1883"/>
      <c r="J20" s="1883"/>
      <c r="K20" s="1883"/>
      <c r="L20" s="1884"/>
      <c r="M20" s="1885" t="s">
        <v>363</v>
      </c>
      <c r="X20" s="511"/>
      <c r="Y20" s="511"/>
      <c r="Z20" s="511"/>
      <c r="AA20" s="511"/>
      <c r="AB20" s="511"/>
      <c r="AC20" s="511"/>
      <c r="AD20" s="511"/>
      <c r="AE20" s="511"/>
      <c r="AF20" s="511"/>
      <c r="AG20" s="511"/>
      <c r="AH20" s="511"/>
      <c r="AI20" s="511"/>
      <c r="AJ20" s="510"/>
      <c r="AK20" s="510"/>
      <c r="AL20" s="511"/>
      <c r="AM20" s="511"/>
      <c r="AN20" s="511"/>
      <c r="AO20" s="444"/>
    </row>
    <row r="21" spans="1:41">
      <c r="A21" s="1876"/>
      <c r="B21" s="1877"/>
      <c r="C21" s="1878"/>
      <c r="D21" s="1878"/>
      <c r="E21" s="1888" t="s">
        <v>374</v>
      </c>
      <c r="F21" s="1889"/>
      <c r="G21" s="1889"/>
      <c r="H21" s="1889"/>
      <c r="I21" s="1889" t="s">
        <v>373</v>
      </c>
      <c r="J21" s="1889"/>
      <c r="K21" s="1889" t="s">
        <v>359</v>
      </c>
      <c r="L21" s="1890"/>
      <c r="M21" s="1886"/>
      <c r="X21" s="511"/>
      <c r="Y21" s="511"/>
      <c r="Z21" s="511"/>
      <c r="AA21" s="511"/>
      <c r="AB21" s="511"/>
      <c r="AC21" s="511"/>
      <c r="AD21" s="511"/>
      <c r="AE21" s="511"/>
      <c r="AF21" s="511"/>
      <c r="AG21" s="511"/>
      <c r="AH21" s="511"/>
      <c r="AI21" s="511"/>
      <c r="AJ21" s="510"/>
      <c r="AK21" s="510"/>
      <c r="AL21" s="511"/>
      <c r="AM21" s="511"/>
      <c r="AN21" s="511"/>
      <c r="AO21" s="444"/>
    </row>
    <row r="22" spans="1:41" ht="15" thickBot="1">
      <c r="A22" s="1879"/>
      <c r="B22" s="1880"/>
      <c r="C22" s="1881"/>
      <c r="D22" s="1881"/>
      <c r="E22" s="490" t="s">
        <v>372</v>
      </c>
      <c r="F22" s="489" t="s">
        <v>371</v>
      </c>
      <c r="G22" s="489" t="s">
        <v>370</v>
      </c>
      <c r="H22" s="489" t="s">
        <v>369</v>
      </c>
      <c r="I22" s="489" t="s">
        <v>368</v>
      </c>
      <c r="J22" s="489" t="s">
        <v>356</v>
      </c>
      <c r="K22" s="489" t="s">
        <v>367</v>
      </c>
      <c r="L22" s="488" t="s">
        <v>366</v>
      </c>
      <c r="M22" s="1887"/>
      <c r="X22" s="511"/>
      <c r="Y22" s="511"/>
      <c r="Z22" s="511"/>
      <c r="AA22" s="511"/>
      <c r="AB22" s="511"/>
      <c r="AC22" s="511"/>
      <c r="AD22" s="511"/>
      <c r="AE22" s="511"/>
      <c r="AF22" s="511"/>
      <c r="AG22" s="511"/>
      <c r="AH22" s="511"/>
      <c r="AI22" s="511"/>
      <c r="AJ22" s="510"/>
      <c r="AK22" s="510"/>
      <c r="AL22" s="511"/>
      <c r="AM22" s="511"/>
      <c r="AN22" s="511"/>
      <c r="AO22" s="487"/>
    </row>
    <row r="23" spans="1:41">
      <c r="A23" s="486"/>
      <c r="B23" s="485"/>
      <c r="C23" s="485"/>
      <c r="D23" s="533"/>
      <c r="E23" s="514"/>
      <c r="F23" s="515"/>
      <c r="G23" s="515"/>
      <c r="H23" s="515"/>
      <c r="I23" s="515"/>
      <c r="J23" s="515"/>
      <c r="K23" s="515"/>
      <c r="L23" s="516"/>
      <c r="M23" s="517"/>
    </row>
    <row r="24" spans="1:41">
      <c r="A24" s="456" t="s">
        <v>352</v>
      </c>
      <c r="B24" s="455" t="s">
        <v>351</v>
      </c>
      <c r="C24" s="455"/>
      <c r="D24" s="534"/>
      <c r="E24" s="514"/>
      <c r="F24" s="515"/>
      <c r="G24" s="515"/>
      <c r="H24" s="515"/>
      <c r="I24" s="515"/>
      <c r="J24" s="515"/>
      <c r="K24" s="515"/>
      <c r="L24" s="516"/>
      <c r="M24" s="517"/>
    </row>
    <row r="25" spans="1:41">
      <c r="A25" s="454"/>
      <c r="B25" s="452"/>
      <c r="C25" s="452"/>
      <c r="D25" s="534"/>
      <c r="E25" s="514"/>
      <c r="F25" s="515"/>
      <c r="G25" s="515"/>
      <c r="H25" s="515"/>
      <c r="I25" s="515"/>
      <c r="J25" s="515"/>
      <c r="K25" s="515"/>
      <c r="L25" s="516"/>
      <c r="M25" s="517"/>
    </row>
    <row r="26" spans="1:41">
      <c r="A26" s="453"/>
      <c r="B26" s="452" t="s">
        <v>350</v>
      </c>
      <c r="C26" s="452" t="s">
        <v>349</v>
      </c>
      <c r="D26" s="534">
        <f>SUM($E26:$M26)</f>
        <v>0</v>
      </c>
      <c r="E26" s="514">
        <f>'T7'!$E$13*$E$10+'T7'!$E$14*$E$14+'T7'!$E$15*$E$16</f>
        <v>0</v>
      </c>
      <c r="F26" s="515">
        <f>'T7'!F13*$F$10+'T7'!F14*$F$14+'T7'!F15*$F$16</f>
        <v>0</v>
      </c>
      <c r="G26" s="515">
        <f>'T7'!$G$13*$G$10+'T7'!$G$14*$G$14+'T7'!$G$15*$G$16</f>
        <v>0</v>
      </c>
      <c r="H26" s="515">
        <f>'T7'!$H$13*$H$10+'T7'!$H$14*$H$14+'T7'!$H$15*$H$16</f>
        <v>0</v>
      </c>
      <c r="I26" s="515">
        <f>'T7'!$I$13*$I$10+'T7'!$I$14*$I$14+'T7'!$I$15*$I$16</f>
        <v>0</v>
      </c>
      <c r="J26" s="515">
        <f>'T7'!$J$13*$J$10+'T7'!$J$14*$J$14+'T7'!$J$15*$J$16</f>
        <v>0</v>
      </c>
      <c r="K26" s="515">
        <f>'T7'!$K$13*$K$10+'T7'!$K$14*$K$14+'T7'!$K$15*$K$16</f>
        <v>0</v>
      </c>
      <c r="L26" s="516">
        <f>'T7'!$L$13*$L$10+'T7'!$L$14*$L$14+'T7'!$L$15*$L$16</f>
        <v>0</v>
      </c>
      <c r="M26" s="518"/>
    </row>
    <row r="27" spans="1:41">
      <c r="A27" s="454"/>
      <c r="B27" s="452"/>
      <c r="C27" s="452"/>
      <c r="D27" s="533"/>
      <c r="E27" s="514"/>
      <c r="F27" s="515"/>
      <c r="G27" s="515"/>
      <c r="H27" s="515"/>
      <c r="I27" s="515"/>
      <c r="J27" s="515"/>
      <c r="K27" s="515"/>
      <c r="L27" s="516"/>
      <c r="M27" s="517"/>
    </row>
    <row r="28" spans="1:41">
      <c r="A28" s="453"/>
      <c r="B28" s="452" t="s">
        <v>348</v>
      </c>
      <c r="C28" s="452" t="s">
        <v>347</v>
      </c>
      <c r="D28" s="534">
        <f>SUM($E28:$M28)</f>
        <v>0</v>
      </c>
      <c r="E28" s="519"/>
      <c r="F28" s="520"/>
      <c r="G28" s="520"/>
      <c r="H28" s="520"/>
      <c r="I28" s="520"/>
      <c r="J28" s="520"/>
      <c r="K28" s="520"/>
      <c r="L28" s="521"/>
      <c r="M28" s="517">
        <f>'T7'!$M$17*$M$15</f>
        <v>0</v>
      </c>
    </row>
    <row r="29" spans="1:41">
      <c r="A29" s="454"/>
      <c r="B29" s="452"/>
      <c r="C29" s="452"/>
      <c r="D29" s="534"/>
      <c r="E29" s="514"/>
      <c r="F29" s="515"/>
      <c r="G29" s="515"/>
      <c r="H29" s="515"/>
      <c r="I29" s="515"/>
      <c r="J29" s="515"/>
      <c r="K29" s="515"/>
      <c r="L29" s="516"/>
      <c r="M29" s="517"/>
    </row>
    <row r="30" spans="1:41">
      <c r="A30" s="453"/>
      <c r="B30" s="452" t="s">
        <v>346</v>
      </c>
      <c r="C30" s="451" t="s">
        <v>345</v>
      </c>
      <c r="D30" s="534">
        <f>SUM($E30:$M30)</f>
        <v>0</v>
      </c>
      <c r="E30" s="522">
        <f>'T7'!$E$19*$E$11+'T7'!$E$20*$E$12+'T7'!$E$21*$E$13</f>
        <v>0</v>
      </c>
      <c r="F30" s="523">
        <f>'T7'!$F$19*$F$11+'T7'!$F$20*$F$12+'T7'!$F$21*$F$13</f>
        <v>0</v>
      </c>
      <c r="G30" s="523">
        <f>'T7'!$G$19*$G$11+'T7'!$G$20*$G$12+'T7'!$G$21*$G$13</f>
        <v>0</v>
      </c>
      <c r="H30" s="523">
        <f>'T7'!$H$19*$H$11+'T7'!$H$20*$H$12+'T7'!$H$21*$H$13</f>
        <v>0</v>
      </c>
      <c r="I30" s="523">
        <f>'T7'!$I$19*$I$11+'T7'!$I$20*$I$12+'T7'!$I$21*$I$13</f>
        <v>0</v>
      </c>
      <c r="J30" s="523">
        <f>'T7'!$J$19*$J$11+'T7'!$J$20*$J$12+'T7'!$J$21*$J$13</f>
        <v>0</v>
      </c>
      <c r="K30" s="526"/>
      <c r="L30" s="527"/>
      <c r="M30" s="525">
        <f>'T7'!$M$19*$M$11+'T7'!$M$20*$M$12+'T7'!$M$21*$M$13</f>
        <v>0</v>
      </c>
    </row>
    <row r="31" spans="1:41">
      <c r="A31" s="454"/>
      <c r="B31" s="452"/>
      <c r="C31" s="452"/>
      <c r="D31" s="535"/>
      <c r="E31" s="522"/>
      <c r="F31" s="523"/>
      <c r="G31" s="523"/>
      <c r="H31" s="523"/>
      <c r="I31" s="523"/>
      <c r="J31" s="523"/>
      <c r="K31" s="523"/>
      <c r="L31" s="524"/>
      <c r="M31" s="525"/>
    </row>
    <row r="32" spans="1:41">
      <c r="A32" s="456" t="s">
        <v>344</v>
      </c>
      <c r="B32" s="455" t="s">
        <v>343</v>
      </c>
      <c r="C32" s="455"/>
      <c r="D32" s="534">
        <f>SUM($E32:$M32)</f>
        <v>0</v>
      </c>
      <c r="E32" s="522">
        <f>'T7'!$E$23*$E$14</f>
        <v>0</v>
      </c>
      <c r="F32" s="523">
        <f>'T7'!$F$23*$F$14</f>
        <v>0</v>
      </c>
      <c r="G32" s="523">
        <f>'T7'!$G$23*$G$14</f>
        <v>0</v>
      </c>
      <c r="H32" s="526"/>
      <c r="I32" s="526"/>
      <c r="J32" s="526"/>
      <c r="K32" s="526"/>
      <c r="L32" s="527"/>
      <c r="M32" s="528"/>
    </row>
    <row r="33" spans="1:13">
      <c r="A33" s="454"/>
      <c r="B33" s="452"/>
      <c r="C33" s="452"/>
      <c r="D33" s="535"/>
      <c r="E33" s="522"/>
      <c r="F33" s="523"/>
      <c r="G33" s="523"/>
      <c r="H33" s="523"/>
      <c r="I33" s="523"/>
      <c r="J33" s="523"/>
      <c r="K33" s="523"/>
      <c r="L33" s="524"/>
      <c r="M33" s="525"/>
    </row>
    <row r="34" spans="1:13">
      <c r="A34" s="456" t="s">
        <v>342</v>
      </c>
      <c r="B34" s="455" t="s">
        <v>9</v>
      </c>
      <c r="C34" s="455"/>
      <c r="D34" s="535"/>
      <c r="E34" s="522"/>
      <c r="F34" s="523"/>
      <c r="G34" s="523"/>
      <c r="H34" s="523"/>
      <c r="I34" s="523"/>
      <c r="J34" s="523"/>
      <c r="K34" s="523"/>
      <c r="L34" s="524"/>
      <c r="M34" s="525"/>
    </row>
    <row r="35" spans="1:13">
      <c r="A35" s="454"/>
      <c r="B35" s="452"/>
      <c r="C35" s="452"/>
      <c r="D35" s="535"/>
      <c r="E35" s="522"/>
      <c r="F35" s="523"/>
      <c r="G35" s="523"/>
      <c r="H35" s="523"/>
      <c r="I35" s="523"/>
      <c r="J35" s="523"/>
      <c r="K35" s="523"/>
      <c r="L35" s="524"/>
      <c r="M35" s="525"/>
    </row>
    <row r="36" spans="1:13">
      <c r="A36" s="453"/>
      <c r="B36" s="452" t="s">
        <v>341</v>
      </c>
      <c r="C36" s="452" t="s">
        <v>340</v>
      </c>
      <c r="D36" s="534">
        <f>SUM($E36:$M36)</f>
        <v>0</v>
      </c>
      <c r="E36" s="522">
        <f>'T7'!$E$27*$E$14</f>
        <v>0</v>
      </c>
      <c r="F36" s="523">
        <f>'T7'!$F$27*$F$14</f>
        <v>0</v>
      </c>
      <c r="G36" s="523">
        <f>'T7'!$G$27*$G$14</f>
        <v>0</v>
      </c>
      <c r="H36" s="523">
        <f>'T7'!$H$27*$H$14</f>
        <v>0</v>
      </c>
      <c r="I36" s="523">
        <f>'T7'!$I$27*$I$14</f>
        <v>0</v>
      </c>
      <c r="J36" s="523">
        <f>'T7'!$J$27*$J$14</f>
        <v>0</v>
      </c>
      <c r="K36" s="526"/>
      <c r="L36" s="527"/>
      <c r="M36" s="528"/>
    </row>
    <row r="37" spans="1:13">
      <c r="A37" s="453"/>
      <c r="B37" s="452" t="s">
        <v>339</v>
      </c>
      <c r="C37" s="451" t="s">
        <v>338</v>
      </c>
      <c r="D37" s="534">
        <f>SUM($E37:$M37)</f>
        <v>0</v>
      </c>
      <c r="E37" s="522">
        <f>'T7'!$E$28*$E$14</f>
        <v>0</v>
      </c>
      <c r="F37" s="523">
        <f>'T7'!$F$28*$F$14</f>
        <v>0</v>
      </c>
      <c r="G37" s="523">
        <f>'T7'!$G$28*$G$14</f>
        <v>0</v>
      </c>
      <c r="H37" s="523">
        <f>'T7'!$H$28*$H$14</f>
        <v>0</v>
      </c>
      <c r="I37" s="523">
        <f>'T7'!$I$28*$I$14</f>
        <v>0</v>
      </c>
      <c r="J37" s="523">
        <f>'T7'!$J$28*$J$14</f>
        <v>0</v>
      </c>
      <c r="K37" s="526"/>
      <c r="L37" s="527"/>
      <c r="M37" s="528"/>
    </row>
    <row r="38" spans="1:13" ht="15" thickBot="1">
      <c r="A38" s="446"/>
      <c r="B38" s="445"/>
      <c r="C38" s="445"/>
      <c r="D38" s="536"/>
      <c r="E38" s="529"/>
      <c r="F38" s="530"/>
      <c r="G38" s="530"/>
      <c r="H38" s="530"/>
      <c r="I38" s="530"/>
      <c r="J38" s="530"/>
      <c r="K38" s="530"/>
      <c r="L38" s="531"/>
      <c r="M38" s="532"/>
    </row>
    <row r="39" spans="1:13" ht="15" thickBot="1">
      <c r="A39" s="472"/>
      <c r="B39" s="471"/>
      <c r="C39" s="502" t="s">
        <v>11</v>
      </c>
      <c r="D39" s="537">
        <f>SUBTOTAL(109,D$23:D$38)</f>
        <v>0</v>
      </c>
      <c r="E39" s="529">
        <f>SUBTOTAL(109,E$23:E$38)</f>
        <v>0</v>
      </c>
      <c r="F39" s="530">
        <f t="shared" ref="F39:M39" si="1">SUBTOTAL(109,F$23:F$38)</f>
        <v>0</v>
      </c>
      <c r="G39" s="530">
        <f t="shared" si="1"/>
        <v>0</v>
      </c>
      <c r="H39" s="530">
        <f t="shared" si="1"/>
        <v>0</v>
      </c>
      <c r="I39" s="530">
        <f t="shared" si="1"/>
        <v>0</v>
      </c>
      <c r="J39" s="530">
        <f t="shared" si="1"/>
        <v>0</v>
      </c>
      <c r="K39" s="530">
        <f t="shared" si="1"/>
        <v>0</v>
      </c>
      <c r="L39" s="531">
        <f t="shared" si="1"/>
        <v>0</v>
      </c>
      <c r="M39" s="532">
        <f t="shared" si="1"/>
        <v>0</v>
      </c>
    </row>
  </sheetData>
  <sheetProtection algorithmName="SHA-512" hashValue="pUzWe7vUoklZkV88JCoL3YYGG0f5JVjavdUbLVXz0NeXbpdNAewLP+27mhcNTpUc6zm6psCDDbc5yK6UI7DCcA==" saltValue="mJaaaxE2pKx0SHADN/3kmw==" spinCount="100000" sheet="1" objects="1" scenarios="1"/>
  <mergeCells count="23">
    <mergeCell ref="M20:M22"/>
    <mergeCell ref="E21:H21"/>
    <mergeCell ref="I21:J21"/>
    <mergeCell ref="K21:L21"/>
    <mergeCell ref="A15:C15"/>
    <mergeCell ref="A16:C16"/>
    <mergeCell ref="A20:C22"/>
    <mergeCell ref="D20:D22"/>
    <mergeCell ref="E20:L20"/>
    <mergeCell ref="A10:C10"/>
    <mergeCell ref="A11:C11"/>
    <mergeCell ref="A12:C12"/>
    <mergeCell ref="A13:C13"/>
    <mergeCell ref="A14:C14"/>
    <mergeCell ref="A1:M1"/>
    <mergeCell ref="D4:E4"/>
    <mergeCell ref="A7:C9"/>
    <mergeCell ref="D7:D9"/>
    <mergeCell ref="E7:L7"/>
    <mergeCell ref="M7:M9"/>
    <mergeCell ref="E8:H8"/>
    <mergeCell ref="I8:J8"/>
    <mergeCell ref="K8:L8"/>
  </mergeCells>
  <pageMargins left="0.70866141732283472" right="0.70866141732283472" top="0.74803149606299213" bottom="0.74803149606299213" header="0.31496062992125984" footer="0.31496062992125984"/>
  <pageSetup paperSize="8" scale="35" orientation="landscape" r:id="rId1"/>
  <colBreaks count="1" manualBreakCount="1">
    <brk id="23"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14F72-73B6-45A8-A2D2-6A0B6F3399FE}">
  <sheetPr published="0">
    <tabColor rgb="FFD8E4BC"/>
  </sheetPr>
  <dimension ref="A1"/>
  <sheetViews>
    <sheetView workbookViewId="0"/>
  </sheetViews>
  <sheetFormatPr defaultRowHeight="14.5"/>
  <sheetData/>
  <sheetProtection algorithmName="SHA-512" hashValue="nADPpTREfrhoMyJAvd/L0RsSTKNm4MwieRe4PxeF/TLZukCqiX4uw4GG0shIZyE4gbQIU/b/vMUCZ5d9zweBaA==" saltValue="n5bsaJg1Ivn3mkOytVbrxw==" spinCount="100000" sheet="1" objects="1" scenarios="1"/>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78604-A80F-458B-99D3-5C257B601C57}">
  <sheetPr published="0">
    <pageSetUpPr fitToPage="1"/>
  </sheetPr>
  <dimension ref="A1:Q66"/>
  <sheetViews>
    <sheetView showGridLines="0" zoomScaleNormal="100" zoomScaleSheetLayoutView="70" workbookViewId="0">
      <selection sqref="A1:Q1"/>
    </sheetView>
  </sheetViews>
  <sheetFormatPr defaultColWidth="9.1796875" defaultRowHeight="14.5"/>
  <cols>
    <col min="1" max="1" width="3.81640625" style="1363" customWidth="1"/>
    <col min="2" max="2" width="91" style="973" customWidth="1"/>
    <col min="3" max="3" width="1.54296875" style="1" customWidth="1"/>
    <col min="4" max="4" width="16" style="1362" customWidth="1"/>
    <col min="5" max="5" width="1.54296875" style="1" customWidth="1"/>
    <col min="6" max="6" width="15.54296875" style="1" customWidth="1"/>
    <col min="7" max="7" width="1.54296875" style="1" customWidth="1"/>
    <col min="8" max="9" width="15.54296875" style="60" customWidth="1"/>
    <col min="10" max="10" width="1.54296875" style="1" customWidth="1"/>
    <col min="11" max="11" width="15.54296875" style="1" customWidth="1"/>
    <col min="12" max="12" width="1.54296875" style="1" customWidth="1"/>
    <col min="13" max="13" width="15.54296875" style="1" customWidth="1"/>
    <col min="14" max="14" width="1.54296875" style="1" customWidth="1"/>
    <col min="15" max="17" width="15.54296875" style="1" customWidth="1"/>
    <col min="18" max="18" width="9.1796875" style="1" customWidth="1"/>
    <col min="19" max="16384" width="9.1796875" style="1"/>
  </cols>
  <sheetData>
    <row r="1" spans="1:17" ht="16.5" customHeight="1" thickBot="1">
      <c r="A1" s="1919" t="str">
        <f>DNB&amp;" - ELEKTRICITEIT - Tarieflijst periodieke distributienettarieven "&amp;JAAR&amp;" - Afname"</f>
        <v>Naam distributienetbeheerder - ELEKTRICITEIT - Tarieflijst periodieke distributienettarieven  - Afname</v>
      </c>
      <c r="B1" s="1920"/>
      <c r="C1" s="1920"/>
      <c r="D1" s="1920"/>
      <c r="E1" s="1920"/>
      <c r="F1" s="1920"/>
      <c r="G1" s="1920"/>
      <c r="H1" s="1920"/>
      <c r="I1" s="1920"/>
      <c r="J1" s="1920"/>
      <c r="K1" s="1920"/>
      <c r="L1" s="1920"/>
      <c r="M1" s="1920"/>
      <c r="N1" s="1920"/>
      <c r="O1" s="1920"/>
      <c r="P1" s="1920"/>
      <c r="Q1" s="1921"/>
    </row>
    <row r="2" spans="1:17">
      <c r="B2" s="971"/>
      <c r="D2" s="1464"/>
      <c r="E2" s="1463"/>
      <c r="F2" s="972"/>
    </row>
    <row r="3" spans="1:17" ht="15" thickBot="1"/>
    <row r="4" spans="1:17" ht="15" thickBot="1">
      <c r="F4" s="1462" t="s">
        <v>443</v>
      </c>
      <c r="G4" s="136"/>
      <c r="H4" s="1922" t="s">
        <v>442</v>
      </c>
      <c r="I4" s="1923"/>
      <c r="J4" s="136"/>
      <c r="K4" s="1462" t="s">
        <v>404</v>
      </c>
      <c r="L4" s="136"/>
      <c r="M4" s="1461" t="s">
        <v>441</v>
      </c>
      <c r="N4" s="136"/>
      <c r="O4" s="1924" t="s">
        <v>416</v>
      </c>
      <c r="P4" s="1925"/>
      <c r="Q4" s="1926"/>
    </row>
    <row r="5" spans="1:17" ht="60.75" customHeight="1" thickBot="1">
      <c r="F5" s="1458"/>
      <c r="H5" s="1460" t="s">
        <v>399</v>
      </c>
      <c r="I5" s="1459" t="s">
        <v>440</v>
      </c>
      <c r="K5" s="1458"/>
      <c r="M5" s="1457" t="s">
        <v>439</v>
      </c>
      <c r="O5" s="1456" t="s">
        <v>439</v>
      </c>
      <c r="P5" s="1455" t="s">
        <v>438</v>
      </c>
      <c r="Q5" s="1454" t="s">
        <v>437</v>
      </c>
    </row>
    <row r="6" spans="1:17">
      <c r="A6" s="1453">
        <v>1</v>
      </c>
      <c r="B6" s="1452" t="s">
        <v>554</v>
      </c>
      <c r="C6" s="1451"/>
      <c r="D6" s="1450"/>
      <c r="E6" s="974"/>
      <c r="F6" s="1448"/>
      <c r="G6" s="1447"/>
      <c r="H6" s="1446"/>
      <c r="I6" s="1449"/>
      <c r="J6" s="1447"/>
      <c r="K6" s="1448"/>
      <c r="L6" s="1447"/>
      <c r="M6" s="1448"/>
      <c r="N6" s="1447"/>
      <c r="O6" s="1446"/>
      <c r="P6" s="1445"/>
      <c r="Q6" s="1444"/>
    </row>
    <row r="7" spans="1:17">
      <c r="A7" s="1432" t="s">
        <v>393</v>
      </c>
      <c r="B7" s="1929" t="s">
        <v>436</v>
      </c>
      <c r="C7" s="1929"/>
      <c r="D7" s="1930"/>
      <c r="E7" s="1431"/>
      <c r="F7" s="1442"/>
      <c r="G7" s="1441"/>
      <c r="H7" s="1440"/>
      <c r="I7" s="1443"/>
      <c r="J7" s="1441"/>
      <c r="K7" s="1442"/>
      <c r="L7" s="1441"/>
      <c r="M7" s="1442"/>
      <c r="N7" s="1441"/>
      <c r="O7" s="1440"/>
      <c r="P7" s="1439"/>
      <c r="Q7" s="1438"/>
    </row>
    <row r="8" spans="1:17">
      <c r="A8" s="1408"/>
      <c r="B8" s="1213" t="s">
        <v>435</v>
      </c>
      <c r="D8" s="1407" t="s">
        <v>521</v>
      </c>
      <c r="F8" s="1406" t="e">
        <f>ROUND(INDEX(Tabel4B[Afnameklanten op TRHS],1),7)</f>
        <v>#VALUE!</v>
      </c>
      <c r="G8" s="1392"/>
      <c r="H8" s="1405" t="e">
        <f>ROUND(INDEX(Tabel4B[Afnameklanten op &gt;26-36 kV met AV ≥ 5MVA],1),7)</f>
        <v>#VALUE!</v>
      </c>
      <c r="I8" s="1404" t="e">
        <f>ROUND(INDEX(Tabel4B[Afnameklanten op &gt;26-36 kV met AV &lt; 5MVA],1),7)</f>
        <v>#VALUE!</v>
      </c>
      <c r="J8" s="1392"/>
      <c r="K8" s="1403" t="e">
        <f>ROUND(INDEX(Tabel4B[Afnameklanten op 26-1kV],1),7)</f>
        <v>#VALUE!</v>
      </c>
      <c r="L8" s="1392"/>
      <c r="M8" s="1403" t="e">
        <f>ROUND(INDEX(Tabel4B[Afnameklanten op TRLS],1),7)</f>
        <v>#VALUE!</v>
      </c>
      <c r="N8" s="1392"/>
      <c r="O8" s="1411"/>
      <c r="P8" s="1410"/>
      <c r="Q8" s="1426"/>
    </row>
    <row r="9" spans="1:17">
      <c r="A9" s="1408"/>
      <c r="B9" s="1122" t="s">
        <v>522</v>
      </c>
      <c r="D9" s="1121" t="s">
        <v>391</v>
      </c>
      <c r="F9" s="1437" t="e">
        <f>ROUND(F$8*12,7)</f>
        <v>#VALUE!</v>
      </c>
      <c r="G9" s="1392"/>
      <c r="H9" s="1436" t="e">
        <f>ROUND(H$8*12,7)</f>
        <v>#VALUE!</v>
      </c>
      <c r="I9" s="1435" t="e">
        <f>ROUND(I$8*12,7)</f>
        <v>#VALUE!</v>
      </c>
      <c r="J9" s="1392"/>
      <c r="K9" s="1434" t="e">
        <f>ROUND(K$8*12,7)</f>
        <v>#VALUE!</v>
      </c>
      <c r="L9" s="1392"/>
      <c r="M9" s="1434" t="e">
        <f>ROUND(M$8*12,7)</f>
        <v>#VALUE!</v>
      </c>
      <c r="N9" s="1392"/>
      <c r="O9" s="1411"/>
      <c r="P9" s="1410"/>
      <c r="Q9" s="1426"/>
    </row>
    <row r="10" spans="1:17">
      <c r="A10" s="1408"/>
      <c r="B10" s="1213" t="s">
        <v>434</v>
      </c>
      <c r="D10" s="1407" t="s">
        <v>387</v>
      </c>
      <c r="F10" s="1406" t="e">
        <f>ROUND(INDEX(Tabel4B[Afnameklanten op TRHS],2),7)</f>
        <v>#VALUE!</v>
      </c>
      <c r="G10" s="1392"/>
      <c r="H10" s="1405" t="e">
        <f>ROUND(INDEX(Tabel4B[Afnameklanten op &gt;26-36 kV met AV ≥ 5MVA],2),7)</f>
        <v>#VALUE!</v>
      </c>
      <c r="I10" s="1404" t="e">
        <f>ROUND(INDEX(Tabel4B[Afnameklanten op &gt;26-36 kV met AV &lt; 5MVA],2),7)</f>
        <v>#VALUE!</v>
      </c>
      <c r="J10" s="1392"/>
      <c r="K10" s="1403" t="e">
        <f>ROUND(INDEX(Tabel4B[Afnameklanten op 26-1kV],2),7)</f>
        <v>#VALUE!</v>
      </c>
      <c r="L10" s="1392"/>
      <c r="M10" s="1403" t="e">
        <f>ROUND(INDEX(Tabel4B[Afnameklanten op TRLS],2),7)</f>
        <v>#VALUE!</v>
      </c>
      <c r="N10" s="1392"/>
      <c r="O10" s="1411"/>
      <c r="P10" s="1410"/>
      <c r="Q10" s="1426"/>
    </row>
    <row r="11" spans="1:17">
      <c r="A11" s="1408"/>
      <c r="B11" s="1122" t="s">
        <v>522</v>
      </c>
      <c r="D11" s="1121" t="s">
        <v>391</v>
      </c>
      <c r="F11" s="1437" t="e">
        <f>ROUND(F$10*12,7)</f>
        <v>#VALUE!</v>
      </c>
      <c r="G11" s="1392"/>
      <c r="H11" s="1436" t="e">
        <f>ROUND(H$10*12,7)</f>
        <v>#VALUE!</v>
      </c>
      <c r="I11" s="1435" t="e">
        <f>ROUND(I$10*12,7)</f>
        <v>#VALUE!</v>
      </c>
      <c r="J11" s="1392"/>
      <c r="K11" s="1434" t="e">
        <f>ROUND(K$10*12,7)</f>
        <v>#VALUE!</v>
      </c>
      <c r="L11" s="1392"/>
      <c r="M11" s="1434" t="e">
        <f>ROUND(M$10*12,7)</f>
        <v>#VALUE!</v>
      </c>
      <c r="N11" s="1392"/>
      <c r="O11" s="1411"/>
      <c r="P11" s="1410"/>
      <c r="Q11" s="1426"/>
    </row>
    <row r="12" spans="1:17">
      <c r="A12" s="1408"/>
      <c r="B12" s="565" t="s">
        <v>433</v>
      </c>
      <c r="D12" s="1407" t="s">
        <v>387</v>
      </c>
      <c r="F12" s="1406" t="e">
        <f>ROUND(INDEX(Tabel4B[Afnameklanten op TRHS],3),7)</f>
        <v>#VALUE!</v>
      </c>
      <c r="G12" s="1392"/>
      <c r="H12" s="1405" t="e">
        <f>ROUND(INDEX(Tabel4B[Afnameklanten op &gt;26-36 kV met AV ≥ 5MVA],3),7)</f>
        <v>#VALUE!</v>
      </c>
      <c r="I12" s="1404" t="e">
        <f>ROUND(INDEX(Tabel4B[Afnameklanten op &gt;26-36 kV met AV &lt; 5MVA],3),7)</f>
        <v>#VALUE!</v>
      </c>
      <c r="J12" s="1392"/>
      <c r="K12" s="1403" t="e">
        <f>ROUND(INDEX(Tabel4B[Afnameklanten op 26-1kV],3),7)</f>
        <v>#VALUE!</v>
      </c>
      <c r="L12" s="1392"/>
      <c r="M12" s="1403" t="e">
        <f>ROUND(INDEX(Tabel4B[Afnameklanten op TRLS],3),7)</f>
        <v>#VALUE!</v>
      </c>
      <c r="N12" s="1392"/>
      <c r="O12" s="1411"/>
      <c r="P12" s="1410"/>
      <c r="Q12" s="1426"/>
    </row>
    <row r="13" spans="1:17">
      <c r="A13" s="1408"/>
      <c r="B13" s="1122" t="s">
        <v>522</v>
      </c>
      <c r="D13" s="1121" t="s">
        <v>391</v>
      </c>
      <c r="F13" s="1437" t="e">
        <f>ROUND(F$12*12,7)</f>
        <v>#VALUE!</v>
      </c>
      <c r="G13" s="1392"/>
      <c r="H13" s="1436" t="e">
        <f>ROUND(H$12*12,7)</f>
        <v>#VALUE!</v>
      </c>
      <c r="I13" s="1435" t="e">
        <f>ROUND(I$12*12,7)</f>
        <v>#VALUE!</v>
      </c>
      <c r="J13" s="1392"/>
      <c r="K13" s="1434" t="e">
        <f>ROUND(K$12*12,7)</f>
        <v>#VALUE!</v>
      </c>
      <c r="L13" s="1392"/>
      <c r="M13" s="1434" t="e">
        <f>ROUND(M$12*12,7)</f>
        <v>#VALUE!</v>
      </c>
      <c r="N13" s="1392"/>
      <c r="O13" s="1411"/>
      <c r="P13" s="1410"/>
      <c r="Q13" s="1426"/>
    </row>
    <row r="14" spans="1:17">
      <c r="A14" s="1432" t="s">
        <v>390</v>
      </c>
      <c r="B14" s="1929" t="s">
        <v>432</v>
      </c>
      <c r="C14" s="1929"/>
      <c r="D14" s="1930"/>
      <c r="E14" s="1431"/>
      <c r="F14" s="1406"/>
      <c r="G14" s="1392"/>
      <c r="H14" s="1405"/>
      <c r="I14" s="1404"/>
      <c r="J14" s="1392"/>
      <c r="K14" s="1403"/>
      <c r="L14" s="1392"/>
      <c r="M14" s="1403"/>
      <c r="N14" s="1392"/>
      <c r="O14" s="1402"/>
      <c r="P14" s="1401"/>
      <c r="Q14" s="1400"/>
    </row>
    <row r="15" spans="1:17">
      <c r="A15" s="1408"/>
      <c r="B15" s="565" t="s">
        <v>431</v>
      </c>
      <c r="D15" s="1407" t="s">
        <v>408</v>
      </c>
      <c r="F15" s="1412"/>
      <c r="G15" s="1392"/>
      <c r="H15" s="1411"/>
      <c r="I15" s="1413"/>
      <c r="J15" s="1392"/>
      <c r="K15" s="1412"/>
      <c r="L15" s="1392"/>
      <c r="M15" s="1412"/>
      <c r="N15" s="1392"/>
      <c r="O15" s="1402" t="e">
        <f>ROUND(INDEX(Tabel4B[Afnameklanten op LS met piekmeting],4),7)</f>
        <v>#DIV/0!</v>
      </c>
      <c r="P15" s="1410"/>
      <c r="Q15" s="1426"/>
    </row>
    <row r="16" spans="1:17">
      <c r="A16" s="1408"/>
      <c r="B16" s="1122" t="s">
        <v>522</v>
      </c>
      <c r="D16" s="1121" t="s">
        <v>387</v>
      </c>
      <c r="F16" s="1412"/>
      <c r="G16" s="1392"/>
      <c r="H16" s="1411"/>
      <c r="I16" s="1413"/>
      <c r="J16" s="1392"/>
      <c r="K16" s="1412"/>
      <c r="L16" s="1392"/>
      <c r="M16" s="1412"/>
      <c r="N16" s="1392"/>
      <c r="O16" s="1433" t="e">
        <f>ROUND(O$15/12,7)</f>
        <v>#DIV/0!</v>
      </c>
      <c r="P16" s="1410"/>
      <c r="Q16" s="1426"/>
    </row>
    <row r="17" spans="1:17">
      <c r="A17" s="1408"/>
      <c r="B17" s="975" t="s">
        <v>406</v>
      </c>
      <c r="D17" s="1407" t="s">
        <v>379</v>
      </c>
      <c r="F17" s="1412"/>
      <c r="G17" s="1392"/>
      <c r="H17" s="1411"/>
      <c r="I17" s="1413"/>
      <c r="J17" s="1392"/>
      <c r="K17" s="1412"/>
      <c r="L17" s="1392"/>
      <c r="M17" s="1412"/>
      <c r="N17" s="1392"/>
      <c r="O17" s="1402" t="e">
        <f>ROUND(INDEX(Tabel4B[Afnameklanten op LS met piekmeting],6),7)</f>
        <v>#DIV/0!</v>
      </c>
      <c r="P17" s="1410"/>
      <c r="Q17" s="1426"/>
    </row>
    <row r="18" spans="1:17">
      <c r="A18" s="1432" t="s">
        <v>388</v>
      </c>
      <c r="B18" s="1929" t="s">
        <v>515</v>
      </c>
      <c r="C18" s="1929"/>
      <c r="D18" s="1930"/>
      <c r="E18" s="1431"/>
      <c r="F18" s="1406"/>
      <c r="G18" s="1392"/>
      <c r="H18" s="1405"/>
      <c r="I18" s="1404"/>
      <c r="J18" s="1392"/>
      <c r="K18" s="1403"/>
      <c r="L18" s="1392"/>
      <c r="M18" s="1403"/>
      <c r="N18" s="1392"/>
      <c r="O18" s="1402"/>
      <c r="P18" s="1401"/>
      <c r="Q18" s="1400"/>
    </row>
    <row r="19" spans="1:17">
      <c r="A19" s="1408"/>
      <c r="B19" s="565" t="s">
        <v>430</v>
      </c>
      <c r="D19" s="1430" t="s">
        <v>412</v>
      </c>
      <c r="F19" s="1417"/>
      <c r="G19" s="1416"/>
      <c r="H19" s="1419"/>
      <c r="I19" s="1418"/>
      <c r="J19" s="1416"/>
      <c r="K19" s="1417"/>
      <c r="L19" s="1416"/>
      <c r="M19" s="1417"/>
      <c r="N19" s="1416"/>
      <c r="O19" s="1419"/>
      <c r="P19" s="1414" t="e">
        <f>ROUND(INDEX(Tabel4B[Afnameklanten op LS met klassieke meter],5),2)</f>
        <v>#DIV/0!</v>
      </c>
      <c r="Q19" s="1409" t="e">
        <f>ROUND(INDEX(Tabel4B[Afnameklanten op LS met klassieke meter],5),2)</f>
        <v>#DIV/0!</v>
      </c>
    </row>
    <row r="20" spans="1:17">
      <c r="A20" s="1408"/>
      <c r="B20" s="1213" t="s">
        <v>406</v>
      </c>
      <c r="D20" s="1430" t="s">
        <v>379</v>
      </c>
      <c r="F20" s="1412"/>
      <c r="G20" s="1392"/>
      <c r="H20" s="1411"/>
      <c r="I20" s="1413"/>
      <c r="J20" s="1392"/>
      <c r="K20" s="1412"/>
      <c r="L20" s="1392"/>
      <c r="M20" s="1412"/>
      <c r="N20" s="1392"/>
      <c r="O20" s="1411"/>
      <c r="P20" s="1401" t="e">
        <f>ROUND(INDEX(Tabel4B[Afnameklanten op LS met klassieke meter],6),7)</f>
        <v>#DIV/0!</v>
      </c>
      <c r="Q20" s="1400" t="e">
        <f>ROUND(INDEX(Tabel4B[Afnameklanten op LS met klassieke meter],6),7)</f>
        <v>#DIV/0!</v>
      </c>
    </row>
    <row r="21" spans="1:17">
      <c r="A21" s="1408"/>
      <c r="B21" s="1927"/>
      <c r="C21" s="1927"/>
      <c r="D21" s="1928"/>
      <c r="F21" s="1403"/>
      <c r="G21" s="1392"/>
      <c r="H21" s="1402"/>
      <c r="I21" s="1427"/>
      <c r="J21" s="1392"/>
      <c r="K21" s="1403"/>
      <c r="L21" s="1392"/>
      <c r="M21" s="1403"/>
      <c r="N21" s="1392"/>
      <c r="O21" s="1402"/>
      <c r="P21" s="1401"/>
      <c r="Q21" s="1400"/>
    </row>
    <row r="22" spans="1:17">
      <c r="A22" s="1408">
        <v>2</v>
      </c>
      <c r="B22" s="1429" t="s">
        <v>429</v>
      </c>
      <c r="C22" s="1429"/>
      <c r="D22" s="1428"/>
      <c r="F22" s="1403"/>
      <c r="G22" s="1392"/>
      <c r="H22" s="1402"/>
      <c r="I22" s="1427"/>
      <c r="J22" s="1392"/>
      <c r="K22" s="1403"/>
      <c r="L22" s="1392"/>
      <c r="M22" s="1403"/>
      <c r="N22" s="1392"/>
      <c r="O22" s="1402"/>
      <c r="P22" s="1401"/>
      <c r="Q22" s="1400"/>
    </row>
    <row r="23" spans="1:17">
      <c r="A23" s="1408"/>
      <c r="B23" s="1213" t="s">
        <v>428</v>
      </c>
      <c r="D23" s="1407"/>
      <c r="F23" s="1346">
        <v>0.32900000000000001</v>
      </c>
      <c r="G23" s="1392"/>
      <c r="H23" s="1347">
        <v>0.32900000000000001</v>
      </c>
      <c r="I23" s="1348">
        <v>0.48399999999999999</v>
      </c>
      <c r="J23" s="1392"/>
      <c r="K23" s="1346">
        <v>0.48399999999999999</v>
      </c>
      <c r="L23" s="1392"/>
      <c r="M23" s="1346">
        <v>0.48399999999999999</v>
      </c>
      <c r="N23" s="1392"/>
      <c r="O23" s="1411"/>
      <c r="P23" s="1410"/>
      <c r="Q23" s="1426"/>
    </row>
    <row r="24" spans="1:17">
      <c r="A24" s="1408"/>
      <c r="B24" s="565" t="s">
        <v>427</v>
      </c>
      <c r="D24" s="1407" t="s">
        <v>534</v>
      </c>
      <c r="F24" s="1403" t="e">
        <f>ROUND(INDEX(Tabel4B[Afnameklanten op TRHS],8),7)</f>
        <v>#VALUE!</v>
      </c>
      <c r="G24" s="1392"/>
      <c r="H24" s="1405" t="e">
        <f>ROUND(INDEX(Tabel4B[Afnameklanten op &gt;26-36 kV met AV ≥ 5MVA],8),7)</f>
        <v>#VALUE!</v>
      </c>
      <c r="I24" s="1404" t="e">
        <f>ROUND(INDEX(Tabel4B[Afnameklanten op &gt;26-36 kV met AV &lt; 5MVA],8),7)</f>
        <v>#VALUE!</v>
      </c>
      <c r="J24" s="1392"/>
      <c r="K24" s="1403" t="e">
        <f>ROUND(INDEX(Tabel4B[Afnameklanten op 26-1kV],8),7)</f>
        <v>#VALUE!</v>
      </c>
      <c r="L24" s="1392"/>
      <c r="M24" s="1403" t="e">
        <f>ROUND(INDEX(Tabel4B[Afnameklanten op TRLS],8),7)</f>
        <v>#VALUE!</v>
      </c>
      <c r="N24" s="1392"/>
      <c r="O24" s="1411"/>
      <c r="P24" s="1410"/>
      <c r="Q24" s="1426"/>
    </row>
    <row r="25" spans="1:17">
      <c r="A25" s="1408"/>
      <c r="D25" s="1407"/>
      <c r="F25" s="1403"/>
      <c r="G25" s="1392"/>
      <c r="H25" s="1405"/>
      <c r="I25" s="1404"/>
      <c r="J25" s="1392"/>
      <c r="K25" s="1403"/>
      <c r="L25" s="1392"/>
      <c r="M25" s="1403"/>
      <c r="N25" s="1392"/>
      <c r="O25" s="1402"/>
      <c r="P25" s="1401"/>
      <c r="Q25" s="1400"/>
    </row>
    <row r="26" spans="1:17">
      <c r="A26" s="1408">
        <v>3</v>
      </c>
      <c r="B26" s="971" t="s">
        <v>426</v>
      </c>
      <c r="D26" s="1407"/>
      <c r="F26" s="1403"/>
      <c r="G26" s="1392"/>
      <c r="H26" s="1405"/>
      <c r="I26" s="1404"/>
      <c r="J26" s="1392"/>
      <c r="K26" s="1403"/>
      <c r="L26" s="1392"/>
      <c r="M26" s="1403"/>
      <c r="N26" s="1392"/>
      <c r="O26" s="1402"/>
      <c r="P26" s="1401"/>
      <c r="Q26" s="1400"/>
    </row>
    <row r="27" spans="1:17">
      <c r="A27" s="978"/>
      <c r="B27" s="1213" t="s">
        <v>507</v>
      </c>
      <c r="D27" s="1407" t="s">
        <v>382</v>
      </c>
      <c r="F27" s="1423" t="e">
        <f>ROUND(INDEX(Tabel4B[Afnameklanten op TRHS],9),2)</f>
        <v>#DIV/0!</v>
      </c>
      <c r="G27" s="1416"/>
      <c r="H27" s="1425" t="e">
        <f>ROUND(INDEX(Tabel4B[Afnameklanten op &gt;26-36 kV met AV ≥ 5MVA],9),2)</f>
        <v>#DIV/0!</v>
      </c>
      <c r="I27" s="1424" t="e">
        <f>ROUND(INDEX(Tabel4B[Afnameklanten op &gt;26-36 kV met AV &lt; 5MVA],9),2)</f>
        <v>#DIV/0!</v>
      </c>
      <c r="J27" s="1416"/>
      <c r="K27" s="1423" t="e">
        <f>ROUND(INDEX(Tabel4B[Afnameklanten op 26-1kV],9),2)</f>
        <v>#DIV/0!</v>
      </c>
      <c r="L27" s="1416"/>
      <c r="M27" s="1423" t="e">
        <f>ROUND(INDEX(Tabel4B[Afnameklanten op TRLS],9),2)</f>
        <v>#DIV/0!</v>
      </c>
      <c r="N27" s="1416"/>
      <c r="O27" s="1422"/>
      <c r="P27" s="1421"/>
      <c r="Q27" s="1420"/>
    </row>
    <row r="28" spans="1:17">
      <c r="A28" s="978"/>
      <c r="B28" s="1213" t="s">
        <v>508</v>
      </c>
      <c r="D28" s="1407" t="s">
        <v>382</v>
      </c>
      <c r="F28" s="1417"/>
      <c r="G28" s="1416"/>
      <c r="H28" s="1419"/>
      <c r="I28" s="1418"/>
      <c r="J28" s="1416"/>
      <c r="K28" s="1417"/>
      <c r="L28" s="1416"/>
      <c r="M28" s="1417"/>
      <c r="N28" s="1416"/>
      <c r="O28" s="1415" t="e">
        <f>ROUND(INDEX(Tabel4B[Afnameklanten op LS met piekmeting],12),2)</f>
        <v>#DIV/0!</v>
      </c>
      <c r="P28" s="1421"/>
      <c r="Q28" s="1420"/>
    </row>
    <row r="29" spans="1:17">
      <c r="A29" s="978"/>
      <c r="B29" s="1213" t="s">
        <v>509</v>
      </c>
      <c r="D29" s="1407" t="s">
        <v>382</v>
      </c>
      <c r="F29" s="1417"/>
      <c r="G29" s="1416"/>
      <c r="H29" s="1419"/>
      <c r="I29" s="1418"/>
      <c r="J29" s="1416"/>
      <c r="K29" s="1417"/>
      <c r="L29" s="1416"/>
      <c r="M29" s="1417"/>
      <c r="N29" s="1416"/>
      <c r="O29" s="1415" t="e">
        <f>ROUND(INDEX(Tabel4B[Afnameklanten op LS met piekmeting],11),2)</f>
        <v>#DIV/0!</v>
      </c>
      <c r="P29" s="1414" t="e">
        <f>ROUND(INDEX(Tabel4B[Afnameklanten op LS met klassieke meter],13),2)</f>
        <v>#DIV/0!</v>
      </c>
      <c r="Q29" s="1409" t="e">
        <f>ROUND(INDEX(Tabel4B[Afnameklanten op LS met klassieke meter],13),2)</f>
        <v>#DIV/0!</v>
      </c>
    </row>
    <row r="30" spans="1:17">
      <c r="A30" s="1408"/>
      <c r="D30" s="1407"/>
      <c r="F30" s="1403"/>
      <c r="G30" s="1392"/>
      <c r="H30" s="1405"/>
      <c r="I30" s="1404"/>
      <c r="J30" s="1392"/>
      <c r="K30" s="1403"/>
      <c r="L30" s="1392"/>
      <c r="M30" s="1403"/>
      <c r="N30" s="1392"/>
      <c r="O30" s="1402"/>
      <c r="P30" s="1401"/>
      <c r="Q30" s="1400"/>
    </row>
    <row r="31" spans="1:17">
      <c r="A31" s="1408">
        <v>4</v>
      </c>
      <c r="B31" s="971" t="s">
        <v>638</v>
      </c>
      <c r="D31" s="1407"/>
      <c r="F31" s="1403"/>
      <c r="G31" s="1392"/>
      <c r="H31" s="1405"/>
      <c r="I31" s="1404"/>
      <c r="J31" s="1392"/>
      <c r="K31" s="1403"/>
      <c r="L31" s="1392"/>
      <c r="M31" s="1403"/>
      <c r="N31" s="1392"/>
      <c r="O31" s="1402"/>
      <c r="P31" s="1401"/>
      <c r="Q31" s="1400"/>
    </row>
    <row r="32" spans="1:17">
      <c r="A32" s="1408"/>
      <c r="B32" s="973" t="s">
        <v>425</v>
      </c>
      <c r="D32" s="1407" t="s">
        <v>379</v>
      </c>
      <c r="F32" s="1406" t="e">
        <f>ROUND(INDEX(Tabel4B[Afnameklanten op TRHS],15),7)</f>
        <v>#VALUE!</v>
      </c>
      <c r="G32" s="1392"/>
      <c r="H32" s="1405" t="e">
        <f>ROUND(INDEX(Tabel4B[Afnameklanten op &gt;26-36 kV met AV ≥ 5MVA],15),7)</f>
        <v>#VALUE!</v>
      </c>
      <c r="I32" s="1404" t="e">
        <f>ROUND(INDEX(Tabel4B[Afnameklanten op &gt;26-36 kV met AV &lt; 5MVA],15),7)</f>
        <v>#VALUE!</v>
      </c>
      <c r="J32" s="1392"/>
      <c r="K32" s="1403" t="e">
        <f>ROUND(INDEX(Tabel4B[Afnameklanten op 26-1kV],15),7)</f>
        <v>#VALUE!</v>
      </c>
      <c r="L32" s="1392"/>
      <c r="M32" s="1403" t="e">
        <f>ROUND(INDEX(Tabel4B[Afnameklanten op TRLS],15),7)</f>
        <v>#VALUE!</v>
      </c>
      <c r="N32" s="1392"/>
      <c r="O32" s="1402" t="e">
        <f>ROUND(INDEX(Tabel4B[Afnameklanten op LS met piekmeting],15),7)</f>
        <v>#VALUE!</v>
      </c>
      <c r="P32" s="1401" t="e">
        <f>ROUND(INDEX(Tabel4B[Afnameklanten op LS met klassieke meter],15),7)</f>
        <v>#VALUE!</v>
      </c>
      <c r="Q32" s="1400" t="e">
        <f>ROUND(INDEX(Tabel4B[Afnameklanten op LS met klassieke meter],15),7)</f>
        <v>#VALUE!</v>
      </c>
    </row>
    <row r="33" spans="1:17">
      <c r="A33" s="1408"/>
      <c r="B33" s="973" t="s">
        <v>405</v>
      </c>
      <c r="D33" s="1407" t="s">
        <v>379</v>
      </c>
      <c r="F33" s="1412"/>
      <c r="G33" s="1392"/>
      <c r="H33" s="1411"/>
      <c r="I33" s="1413"/>
      <c r="J33" s="1392"/>
      <c r="K33" s="1412"/>
      <c r="L33" s="1392"/>
      <c r="M33" s="1403" t="e">
        <f>ROUND(INDEX(Tabel4B[Afnameklanten op TRLS],16),7)</f>
        <v>#VALUE!</v>
      </c>
      <c r="N33" s="1392"/>
      <c r="O33" s="1402" t="e">
        <f>ROUND(INDEX(Tabel4B[Afnameklanten op LS met piekmeting],16),7)</f>
        <v>#VALUE!</v>
      </c>
      <c r="P33" s="1401" t="e">
        <f>ROUND(INDEX(Tabel4B[Afnameklanten op LS met klassieke meter],16),7)</f>
        <v>#VALUE!</v>
      </c>
      <c r="Q33" s="1400" t="e">
        <f>ROUND(INDEX(Tabel4B[Afnameklanten op LS met klassieke meter],16),7)</f>
        <v>#VALUE!</v>
      </c>
    </row>
    <row r="34" spans="1:17">
      <c r="A34" s="1408"/>
      <c r="D34" s="1407"/>
      <c r="F34" s="1406"/>
      <c r="G34" s="1392"/>
      <c r="H34" s="1405"/>
      <c r="I34" s="1404"/>
      <c r="J34" s="1392"/>
      <c r="K34" s="1403"/>
      <c r="L34" s="1392"/>
      <c r="M34" s="1403"/>
      <c r="N34" s="1392"/>
      <c r="O34" s="1402"/>
      <c r="P34" s="1401"/>
      <c r="Q34" s="1400"/>
    </row>
    <row r="35" spans="1:17">
      <c r="A35" s="1408">
        <v>5</v>
      </c>
      <c r="B35" s="971" t="s">
        <v>424</v>
      </c>
      <c r="D35" s="1407" t="s">
        <v>379</v>
      </c>
      <c r="F35" s="1406" t="e">
        <f>ROUND(INDEX(Tabel4B[Afnameklanten op TRHS],17),7)</f>
        <v>#VALUE!</v>
      </c>
      <c r="G35" s="1392"/>
      <c r="H35" s="1405" t="e">
        <f>ROUND(INDEX(Tabel4B[Afnameklanten op &gt;26-36 kV met AV ≥ 5MVA],17),7)</f>
        <v>#VALUE!</v>
      </c>
      <c r="I35" s="1404" t="e">
        <f>ROUND(INDEX(Tabel4B[Afnameklanten op &gt;26-36 kV met AV &lt; 5MVA],17),7)</f>
        <v>#VALUE!</v>
      </c>
      <c r="J35" s="1392"/>
      <c r="K35" s="1403" t="e">
        <f>ROUND(INDEX(Tabel4B[Afnameklanten op 26-1kV],17),7)</f>
        <v>#VALUE!</v>
      </c>
      <c r="L35" s="1392"/>
      <c r="M35" s="1403" t="e">
        <f>ROUND(INDEX(Tabel4B[Afnameklanten op TRLS],17),7)</f>
        <v>#VALUE!</v>
      </c>
      <c r="N35" s="1392"/>
      <c r="O35" s="1402" t="e">
        <f>ROUND(INDEX(Tabel4B[Afnameklanten op LS met piekmeting],17),7)</f>
        <v>#VALUE!</v>
      </c>
      <c r="P35" s="1401" t="e">
        <f>ROUND(INDEX(Tabel4B[Afnameklanten op LS met klassieke meter],17),7)</f>
        <v>#VALUE!</v>
      </c>
      <c r="Q35" s="1400" t="e">
        <f>ROUND(INDEX(Tabel4B[Afnameklanten op LS met klassieke meter],17),7)</f>
        <v>#VALUE!</v>
      </c>
    </row>
    <row r="36" spans="1:17">
      <c r="A36" s="1408"/>
      <c r="D36" s="1407"/>
      <c r="F36" s="1406"/>
      <c r="G36" s="1392"/>
      <c r="H36" s="1405"/>
      <c r="I36" s="1404"/>
      <c r="J36" s="1392"/>
      <c r="K36" s="1403"/>
      <c r="L36" s="1392"/>
      <c r="M36" s="1403"/>
      <c r="N36" s="1392"/>
      <c r="O36" s="1402"/>
      <c r="P36" s="1401"/>
      <c r="Q36" s="1400"/>
    </row>
    <row r="37" spans="1:17">
      <c r="A37" s="1408">
        <v>6</v>
      </c>
      <c r="B37" s="971" t="s">
        <v>555</v>
      </c>
      <c r="D37" s="1407" t="s">
        <v>379</v>
      </c>
      <c r="F37" s="1406" t="e">
        <f>ROUND(INDEX(Tabel4B[Afnameklanten op TRHS],18),7)</f>
        <v>#DIV/0!</v>
      </c>
      <c r="G37" s="1392"/>
      <c r="H37" s="1405" t="e">
        <f>ROUND(INDEX(Tabel4B[Afnameklanten op &gt;26-36 kV met AV ≥ 5MVA],18),7)</f>
        <v>#DIV/0!</v>
      </c>
      <c r="I37" s="1404" t="e">
        <f>ROUND(INDEX(Tabel4B[Afnameklanten op &gt;26-36 kV met AV &lt; 5MVA],18),7)</f>
        <v>#DIV/0!</v>
      </c>
      <c r="J37" s="1392"/>
      <c r="K37" s="1403" t="e">
        <f>ROUND(INDEX(Tabel4B[Afnameklanten op 26-1kV],18),7)</f>
        <v>#DIV/0!</v>
      </c>
      <c r="L37" s="1392"/>
      <c r="M37" s="1403" t="e">
        <f>ROUND(INDEX(Tabel4B[Afnameklanten op TRLS],18),7)</f>
        <v>#DIV/0!</v>
      </c>
      <c r="N37" s="1392"/>
      <c r="O37" s="1402" t="e">
        <f>ROUND(INDEX(Tabel4B[Afnameklanten op LS met piekmeting],18),7)</f>
        <v>#DIV/0!</v>
      </c>
      <c r="P37" s="1401" t="e">
        <f>ROUND(INDEX(Tabel4B[Afnameklanten op LS met klassieke meter],18),7)</f>
        <v>#DIV/0!</v>
      </c>
      <c r="Q37" s="1400" t="e">
        <f>ROUND(INDEX(Tabel4B[Afnameklanten op LS met klassieke meter],18),7)</f>
        <v>#DIV/0!</v>
      </c>
    </row>
    <row r="38" spans="1:17">
      <c r="A38" s="1408"/>
      <c r="B38" s="971"/>
      <c r="D38" s="1407"/>
      <c r="F38" s="1403"/>
      <c r="G38" s="1392"/>
      <c r="H38" s="1405"/>
      <c r="I38" s="1404"/>
      <c r="J38" s="1392"/>
      <c r="K38" s="1403"/>
      <c r="L38" s="1392"/>
      <c r="M38" s="1403"/>
      <c r="N38" s="1392"/>
      <c r="O38" s="1402"/>
      <c r="P38" s="1401"/>
      <c r="Q38" s="1400"/>
    </row>
    <row r="39" spans="1:17">
      <c r="A39" s="1408">
        <v>7</v>
      </c>
      <c r="B39" s="971" t="s">
        <v>553</v>
      </c>
      <c r="D39" s="1407" t="s">
        <v>408</v>
      </c>
      <c r="F39" s="1412"/>
      <c r="G39" s="1392"/>
      <c r="H39" s="1411"/>
      <c r="I39" s="1413"/>
      <c r="J39" s="1392"/>
      <c r="K39" s="1412"/>
      <c r="L39" s="1392"/>
      <c r="M39" s="1412"/>
      <c r="N39" s="1392"/>
      <c r="O39" s="1411"/>
      <c r="P39" s="1410"/>
      <c r="Q39" s="1409" t="e">
        <f>ROUND(INDEX(Tabel4B[Prosumenten met terugdraaiende teller op LS],19),2)</f>
        <v>#DIV/0!</v>
      </c>
    </row>
    <row r="40" spans="1:17">
      <c r="A40" s="1408"/>
      <c r="B40" s="976"/>
      <c r="D40" s="1407"/>
      <c r="F40" s="1406"/>
      <c r="G40" s="1392"/>
      <c r="H40" s="1405"/>
      <c r="I40" s="1404"/>
      <c r="J40" s="1392"/>
      <c r="K40" s="1403"/>
      <c r="L40" s="1392"/>
      <c r="M40" s="1403"/>
      <c r="N40" s="1392"/>
      <c r="O40" s="1402"/>
      <c r="P40" s="1401"/>
      <c r="Q40" s="1400"/>
    </row>
    <row r="41" spans="1:17" ht="15" thickBot="1">
      <c r="A41" s="1399"/>
      <c r="B41" s="1398" t="s">
        <v>423</v>
      </c>
      <c r="C41" s="1397"/>
      <c r="D41" s="1396" t="s">
        <v>379</v>
      </c>
      <c r="F41" s="1393">
        <f>'Max Afname TRHS'!$N$15</f>
        <v>0</v>
      </c>
      <c r="G41" s="1392"/>
      <c r="H41" s="1395">
        <f>'Max Afname TRHS'!$N$15</f>
        <v>0</v>
      </c>
      <c r="I41" s="1394">
        <f>'Max Afname MS'!$N$15</f>
        <v>0</v>
      </c>
      <c r="J41" s="1392"/>
      <c r="K41" s="1393">
        <f>'Max Afname MS'!$N$15</f>
        <v>0</v>
      </c>
      <c r="L41" s="1392"/>
      <c r="M41" s="1393">
        <f>'Max Afname TRLS'!$N$15</f>
        <v>0</v>
      </c>
      <c r="N41" s="1392"/>
      <c r="O41" s="1391">
        <f>'Max Afname LS'!$K$14</f>
        <v>0</v>
      </c>
      <c r="P41" s="1390"/>
      <c r="Q41" s="1389"/>
    </row>
    <row r="42" spans="1:17" ht="15" thickBot="1"/>
    <row r="43" spans="1:17" ht="15" thickBot="1">
      <c r="A43" s="1388"/>
      <c r="B43" s="1387" t="s">
        <v>556</v>
      </c>
      <c r="C43" s="1386"/>
      <c r="D43" s="1385"/>
      <c r="E43" s="1365"/>
      <c r="F43" s="1382" t="e">
        <f>ROUND('T2'!$M$98,7)</f>
        <v>#VALUE!</v>
      </c>
      <c r="G43" s="1365"/>
      <c r="H43" s="1384" t="e">
        <f>ROUND('T2'!$M$98,7)</f>
        <v>#VALUE!</v>
      </c>
      <c r="I43" s="1383" t="e">
        <f>ROUND('T2'!$N$98,7)</f>
        <v>#VALUE!</v>
      </c>
      <c r="J43" s="1365"/>
      <c r="K43" s="1382" t="e">
        <f>ROUND('T2'!$N$98,7)</f>
        <v>#VALUE!</v>
      </c>
      <c r="L43" s="1365"/>
      <c r="M43" s="1382" t="e">
        <f>ROUND('T2'!$O$98,7)</f>
        <v>#VALUE!</v>
      </c>
      <c r="N43" s="1365"/>
      <c r="O43" s="1381" t="e">
        <f>ROUND('T2'!$Q$98,7)</f>
        <v>#DIV/0!</v>
      </c>
      <c r="P43" s="1380" t="e">
        <f>ROUND('T2'!$R$98,7)</f>
        <v>#DIV/0!</v>
      </c>
      <c r="Q43" s="1379" t="e">
        <f>ROUND('T2'!$R$98,7)</f>
        <v>#DIV/0!</v>
      </c>
    </row>
    <row r="44" spans="1:17" ht="15" thickBot="1">
      <c r="B44" s="1374"/>
      <c r="C44" s="1365"/>
      <c r="D44" s="1373"/>
      <c r="E44" s="1365"/>
      <c r="F44" s="1365"/>
      <c r="G44" s="1365"/>
      <c r="H44" s="62"/>
      <c r="I44" s="62"/>
      <c r="J44" s="1365"/>
      <c r="K44" s="1365"/>
      <c r="L44" s="1365"/>
      <c r="M44" s="1365"/>
      <c r="N44" s="1365"/>
      <c r="O44" s="1365"/>
      <c r="P44" s="1365"/>
      <c r="Q44" s="1365"/>
    </row>
    <row r="45" spans="1:17" ht="30.75" customHeight="1" thickBot="1">
      <c r="B45" s="1374"/>
      <c r="C45" s="1365"/>
      <c r="D45" s="1373"/>
      <c r="E45" s="1365"/>
      <c r="F45" s="1365"/>
      <c r="G45" s="1365"/>
      <c r="H45" s="62"/>
      <c r="I45" s="62"/>
      <c r="J45" s="1365"/>
      <c r="K45" s="1365"/>
      <c r="L45" s="1365"/>
      <c r="M45" s="1365"/>
      <c r="N45" s="1365"/>
      <c r="O45" s="1931" t="s">
        <v>552</v>
      </c>
      <c r="P45" s="1932"/>
      <c r="Q45" s="1933"/>
    </row>
    <row r="46" spans="1:17" ht="30.75" customHeight="1" thickBot="1">
      <c r="B46" s="1934" t="s">
        <v>550</v>
      </c>
      <c r="C46" s="1934"/>
      <c r="D46" s="1934"/>
      <c r="E46" s="1934"/>
      <c r="F46" s="1934"/>
      <c r="G46" s="1934"/>
      <c r="H46" s="1934"/>
      <c r="I46" s="1934"/>
      <c r="J46" s="1934"/>
      <c r="K46" s="1934"/>
      <c r="L46" s="1378"/>
      <c r="M46" s="1365"/>
      <c r="N46" s="1365"/>
      <c r="O46" s="1377" t="s">
        <v>547</v>
      </c>
      <c r="P46" s="1376" t="s">
        <v>548</v>
      </c>
      <c r="Q46" s="1375" t="s">
        <v>549</v>
      </c>
    </row>
    <row r="47" spans="1:17">
      <c r="B47" s="1374"/>
      <c r="C47" s="1365"/>
      <c r="D47" s="1373"/>
      <c r="E47" s="1365"/>
      <c r="F47" s="1365"/>
      <c r="G47" s="1365"/>
      <c r="H47" s="62"/>
      <c r="I47" s="62"/>
      <c r="J47" s="1365"/>
      <c r="K47" s="1365"/>
      <c r="L47" s="1365"/>
      <c r="M47" s="1365"/>
      <c r="N47" s="1365"/>
      <c r="O47" s="1371" t="s">
        <v>535</v>
      </c>
      <c r="P47" s="1370">
        <v>3.6834499999999999E-2</v>
      </c>
      <c r="Q47" s="1369" t="e">
        <f t="shared" ref="Q47:Q58" si="0">ROUND($P47*$Q$39,7)</f>
        <v>#DIV/0!</v>
      </c>
    </row>
    <row r="48" spans="1:17">
      <c r="A48" s="1372"/>
      <c r="B48" s="1918"/>
      <c r="C48" s="1918"/>
      <c r="D48" s="1918"/>
      <c r="E48" s="1918"/>
      <c r="F48" s="1918"/>
      <c r="G48" s="1918"/>
      <c r="H48" s="1918"/>
      <c r="I48" s="1918"/>
      <c r="J48" s="1918"/>
      <c r="K48" s="1918"/>
      <c r="L48" s="1918"/>
      <c r="M48" s="1365"/>
      <c r="N48" s="1365"/>
      <c r="O48" s="1371" t="s">
        <v>536</v>
      </c>
      <c r="P48" s="1370">
        <v>4.5458499999999999E-2</v>
      </c>
      <c r="Q48" s="1369" t="e">
        <f t="shared" si="0"/>
        <v>#DIV/0!</v>
      </c>
    </row>
    <row r="49" spans="1:17">
      <c r="A49" s="1372"/>
      <c r="B49" s="1918"/>
      <c r="C49" s="1918"/>
      <c r="D49" s="1918"/>
      <c r="E49" s="1918"/>
      <c r="F49" s="1918"/>
      <c r="G49" s="1918"/>
      <c r="H49" s="1918"/>
      <c r="I49" s="1918"/>
      <c r="J49" s="1918"/>
      <c r="K49" s="1918"/>
      <c r="L49" s="1918"/>
      <c r="M49" s="1365"/>
      <c r="N49" s="1365"/>
      <c r="O49" s="1371" t="s">
        <v>537</v>
      </c>
      <c r="P49" s="1370">
        <v>7.8414400000000009E-2</v>
      </c>
      <c r="Q49" s="1369" t="e">
        <f t="shared" si="0"/>
        <v>#DIV/0!</v>
      </c>
    </row>
    <row r="50" spans="1:17">
      <c r="A50" s="1372"/>
      <c r="B50" s="1232"/>
      <c r="C50" s="1232"/>
      <c r="D50" s="1232"/>
      <c r="E50" s="1232"/>
      <c r="F50" s="1232"/>
      <c r="G50" s="1232"/>
      <c r="H50" s="1232"/>
      <c r="I50" s="1232"/>
      <c r="J50" s="1232"/>
      <c r="K50" s="1232"/>
      <c r="L50" s="1125"/>
      <c r="M50" s="1365"/>
      <c r="N50" s="1365"/>
      <c r="O50" s="1371" t="s">
        <v>538</v>
      </c>
      <c r="P50" s="1370">
        <v>0.1067994</v>
      </c>
      <c r="Q50" s="1369" t="e">
        <f t="shared" si="0"/>
        <v>#DIV/0!</v>
      </c>
    </row>
    <row r="51" spans="1:17">
      <c r="A51" s="1372"/>
      <c r="B51" s="1232"/>
      <c r="C51" s="1232"/>
      <c r="D51" s="1232"/>
      <c r="E51" s="1232"/>
      <c r="F51" s="1232"/>
      <c r="G51" s="1232"/>
      <c r="H51" s="1232"/>
      <c r="I51" s="1232"/>
      <c r="J51" s="1232"/>
      <c r="K51" s="1232"/>
      <c r="L51" s="1232"/>
      <c r="M51" s="1365"/>
      <c r="N51" s="1365"/>
      <c r="O51" s="1371" t="s">
        <v>539</v>
      </c>
      <c r="P51" s="1370">
        <v>0.12364839999999999</v>
      </c>
      <c r="Q51" s="1369" t="e">
        <f t="shared" si="0"/>
        <v>#DIV/0!</v>
      </c>
    </row>
    <row r="52" spans="1:17">
      <c r="A52" s="1372"/>
      <c r="B52" s="1232"/>
      <c r="C52" s="1232"/>
      <c r="D52" s="1232"/>
      <c r="E52" s="1232"/>
      <c r="F52" s="1232"/>
      <c r="G52" s="1232"/>
      <c r="H52" s="1232"/>
      <c r="I52" s="1232"/>
      <c r="J52" s="1232"/>
      <c r="K52" s="1232"/>
      <c r="L52" s="1125"/>
      <c r="M52" s="1365"/>
      <c r="N52" s="1365"/>
      <c r="O52" s="1371" t="s">
        <v>540</v>
      </c>
      <c r="P52" s="1370">
        <v>0.12425950000000001</v>
      </c>
      <c r="Q52" s="1369" t="e">
        <f t="shared" si="0"/>
        <v>#DIV/0!</v>
      </c>
    </row>
    <row r="53" spans="1:17">
      <c r="A53" s="1372"/>
      <c r="B53" s="1232"/>
      <c r="C53" s="1232"/>
      <c r="D53" s="1232"/>
      <c r="E53" s="1232"/>
      <c r="F53" s="1232"/>
      <c r="G53" s="1232"/>
      <c r="H53" s="1232"/>
      <c r="I53" s="1232"/>
      <c r="J53" s="1232"/>
      <c r="K53" s="1232"/>
      <c r="L53" s="1232"/>
      <c r="M53" s="1365"/>
      <c r="N53" s="1365"/>
      <c r="O53" s="1371" t="s">
        <v>541</v>
      </c>
      <c r="P53" s="1370">
        <v>0.12672890000000001</v>
      </c>
      <c r="Q53" s="1369" t="e">
        <f t="shared" si="0"/>
        <v>#DIV/0!</v>
      </c>
    </row>
    <row r="54" spans="1:17">
      <c r="A54" s="1372"/>
      <c r="B54" s="1232"/>
      <c r="C54" s="1232"/>
      <c r="D54" s="1232"/>
      <c r="E54" s="1232"/>
      <c r="F54" s="1232"/>
      <c r="G54" s="1232"/>
      <c r="H54" s="1232"/>
      <c r="I54" s="1232"/>
      <c r="J54" s="1232"/>
      <c r="K54" s="1232"/>
      <c r="L54" s="1125"/>
      <c r="M54" s="1365"/>
      <c r="N54" s="1365"/>
      <c r="O54" s="1371" t="s">
        <v>542</v>
      </c>
      <c r="P54" s="1370">
        <v>0.1200005</v>
      </c>
      <c r="Q54" s="1369" t="e">
        <f t="shared" si="0"/>
        <v>#DIV/0!</v>
      </c>
    </row>
    <row r="55" spans="1:17">
      <c r="A55" s="1372"/>
      <c r="B55" s="1232"/>
      <c r="C55" s="1232"/>
      <c r="D55" s="1232"/>
      <c r="E55" s="1232"/>
      <c r="F55" s="1232"/>
      <c r="G55" s="1232"/>
      <c r="H55" s="1232"/>
      <c r="I55" s="1232"/>
      <c r="J55" s="1232"/>
      <c r="K55" s="1232"/>
      <c r="L55" s="1125"/>
      <c r="M55" s="1365"/>
      <c r="N55" s="1365"/>
      <c r="O55" s="1371" t="s">
        <v>543</v>
      </c>
      <c r="P55" s="1370">
        <v>9.6317199999999992E-2</v>
      </c>
      <c r="Q55" s="1369" t="e">
        <f t="shared" si="0"/>
        <v>#DIV/0!</v>
      </c>
    </row>
    <row r="56" spans="1:17">
      <c r="A56" s="1372"/>
      <c r="B56" s="1232"/>
      <c r="C56" s="1232"/>
      <c r="D56" s="1232"/>
      <c r="E56" s="1232"/>
      <c r="F56" s="1232"/>
      <c r="G56" s="1232"/>
      <c r="H56" s="1232"/>
      <c r="I56" s="1232"/>
      <c r="J56" s="1232"/>
      <c r="K56" s="1232"/>
      <c r="L56" s="1125"/>
      <c r="M56" s="1365"/>
      <c r="N56" s="1365"/>
      <c r="O56" s="1371" t="s">
        <v>544</v>
      </c>
      <c r="P56" s="1370">
        <v>7.0233100000000007E-2</v>
      </c>
      <c r="Q56" s="1369" t="e">
        <f t="shared" si="0"/>
        <v>#DIV/0!</v>
      </c>
    </row>
    <row r="57" spans="1:17">
      <c r="A57" s="1372"/>
      <c r="B57" s="1232"/>
      <c r="C57" s="1232"/>
      <c r="D57" s="1232"/>
      <c r="E57" s="1232"/>
      <c r="F57" s="1232"/>
      <c r="G57" s="1232"/>
      <c r="H57" s="1232"/>
      <c r="I57" s="1232"/>
      <c r="J57" s="1232"/>
      <c r="K57" s="1232"/>
      <c r="L57" s="1125"/>
      <c r="M57" s="1365"/>
      <c r="N57" s="1365"/>
      <c r="O57" s="1371" t="s">
        <v>545</v>
      </c>
      <c r="P57" s="1370">
        <v>4.1012399999999997E-2</v>
      </c>
      <c r="Q57" s="1369" t="e">
        <f t="shared" si="0"/>
        <v>#DIV/0!</v>
      </c>
    </row>
    <row r="58" spans="1:17" ht="15" thickBot="1">
      <c r="A58" s="1372"/>
      <c r="B58" s="1232"/>
      <c r="C58" s="1232"/>
      <c r="D58" s="1232"/>
      <c r="E58" s="1232"/>
      <c r="F58" s="1232"/>
      <c r="G58" s="1232"/>
      <c r="H58" s="1232"/>
      <c r="I58" s="1232"/>
      <c r="J58" s="1232"/>
      <c r="K58" s="1232"/>
      <c r="L58" s="1125"/>
      <c r="M58" s="1365"/>
      <c r="N58" s="1365"/>
      <c r="O58" s="1368" t="s">
        <v>546</v>
      </c>
      <c r="P58" s="1367">
        <v>3.0293199999999999E-2</v>
      </c>
      <c r="Q58" s="1366" t="e">
        <f t="shared" si="0"/>
        <v>#DIV/0!</v>
      </c>
    </row>
    <row r="59" spans="1:17">
      <c r="A59" s="1364"/>
      <c r="B59" s="1918"/>
      <c r="C59" s="1918"/>
      <c r="D59" s="1918"/>
      <c r="E59" s="1918"/>
      <c r="F59" s="1918"/>
      <c r="G59" s="1918"/>
      <c r="H59" s="1918"/>
      <c r="I59" s="1918"/>
      <c r="J59" s="1918"/>
      <c r="K59" s="1918"/>
      <c r="L59" s="1125"/>
      <c r="M59" s="1365"/>
      <c r="N59" s="1365"/>
      <c r="O59" s="1365"/>
      <c r="P59" s="1365"/>
      <c r="Q59" s="1365"/>
    </row>
    <row r="60" spans="1:17">
      <c r="A60" s="1364"/>
      <c r="B60" s="1918"/>
      <c r="C60" s="1918"/>
      <c r="D60" s="1918"/>
      <c r="E60" s="1918"/>
      <c r="F60" s="1918"/>
      <c r="G60" s="1918"/>
      <c r="H60" s="1918"/>
      <c r="I60" s="1918"/>
      <c r="J60" s="1918"/>
      <c r="K60" s="1918"/>
      <c r="L60" s="1123"/>
    </row>
    <row r="61" spans="1:17">
      <c r="A61" s="1364"/>
      <c r="B61" s="1918"/>
      <c r="C61" s="1918"/>
      <c r="D61" s="1918"/>
      <c r="E61" s="1918"/>
      <c r="F61" s="1918"/>
      <c r="G61" s="1918"/>
      <c r="H61" s="1918"/>
      <c r="I61" s="1918"/>
      <c r="J61" s="1918"/>
      <c r="K61" s="1918"/>
      <c r="L61" s="1123"/>
    </row>
    <row r="62" spans="1:17">
      <c r="A62" s="1364"/>
      <c r="B62" s="1918"/>
      <c r="C62" s="1918"/>
      <c r="D62" s="1918"/>
      <c r="E62" s="1918"/>
      <c r="F62" s="1918"/>
      <c r="G62" s="1918"/>
      <c r="H62" s="1918"/>
      <c r="I62" s="1918"/>
      <c r="J62" s="1918"/>
      <c r="K62" s="1918"/>
      <c r="L62" s="1123"/>
    </row>
    <row r="63" spans="1:17">
      <c r="A63" s="1364"/>
      <c r="B63" s="1918"/>
      <c r="C63" s="1918"/>
      <c r="D63" s="1918"/>
      <c r="E63" s="1918"/>
      <c r="F63" s="1918"/>
      <c r="G63" s="1918"/>
      <c r="H63" s="1918"/>
      <c r="I63" s="1918"/>
      <c r="J63" s="1918"/>
      <c r="K63" s="1918"/>
      <c r="L63" s="1123"/>
    </row>
    <row r="64" spans="1:17">
      <c r="A64" s="1364"/>
      <c r="B64" s="1918"/>
      <c r="C64" s="1918"/>
      <c r="D64" s="1918"/>
      <c r="E64" s="1918"/>
      <c r="F64" s="1918"/>
      <c r="G64" s="1918"/>
      <c r="H64" s="1918"/>
      <c r="I64" s="1918"/>
      <c r="J64" s="1918"/>
      <c r="K64" s="1918"/>
      <c r="L64" s="1123"/>
    </row>
    <row r="65" spans="1:12">
      <c r="A65" s="1364"/>
      <c r="B65" s="1918"/>
      <c r="C65" s="1918"/>
      <c r="D65" s="1918"/>
      <c r="E65" s="1918"/>
      <c r="F65" s="1918"/>
      <c r="G65" s="1918"/>
      <c r="H65" s="1918"/>
      <c r="I65" s="1918"/>
      <c r="J65" s="1918"/>
      <c r="K65" s="1918"/>
      <c r="L65" s="1123"/>
    </row>
    <row r="66" spans="1:12">
      <c r="A66" s="1364"/>
      <c r="B66" s="1918"/>
      <c r="C66" s="1918"/>
      <c r="D66" s="1918"/>
      <c r="E66" s="1918"/>
      <c r="F66" s="1918"/>
      <c r="G66" s="1918"/>
      <c r="H66" s="1918"/>
      <c r="I66" s="1918"/>
      <c r="J66" s="1918"/>
      <c r="K66" s="1918"/>
      <c r="L66" s="1123"/>
    </row>
  </sheetData>
  <sheetProtection algorithmName="SHA-512" hashValue="IvuAcnR0qPzx6T6svH2tz6eL9BOl4btOdIYqMAsxBBkdHbDaR5VJrbnyuWUwyh+Nw4OxS/CXwxUfz1IgT3zT7w==" saltValue="FbvSQWV4T608Bk0qvS/JJw==" spinCount="100000" sheet="1" objects="1" scenarios="1"/>
  <mergeCells count="19">
    <mergeCell ref="B59:K59"/>
    <mergeCell ref="B60:K60"/>
    <mergeCell ref="B66:K66"/>
    <mergeCell ref="B61:K61"/>
    <mergeCell ref="B62:K62"/>
    <mergeCell ref="B63:K63"/>
    <mergeCell ref="B64:K64"/>
    <mergeCell ref="B65:K65"/>
    <mergeCell ref="B49:L49"/>
    <mergeCell ref="A1:Q1"/>
    <mergeCell ref="H4:I4"/>
    <mergeCell ref="O4:Q4"/>
    <mergeCell ref="B21:D21"/>
    <mergeCell ref="B7:D7"/>
    <mergeCell ref="B14:D14"/>
    <mergeCell ref="B18:D18"/>
    <mergeCell ref="O45:Q45"/>
    <mergeCell ref="B48:L48"/>
    <mergeCell ref="B46:K46"/>
  </mergeCells>
  <pageMargins left="0.70866141732283472" right="0.70866141732283472" top="0.74803149606299213" bottom="0.74803149606299213" header="0.31496062992125984" footer="0.31496062992125984"/>
  <pageSetup paperSize="9" scale="46"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28CB5-8D7A-4A71-B6AC-CE7B98852867}">
  <sheetPr published="0">
    <pageSetUpPr fitToPage="1"/>
  </sheetPr>
  <dimension ref="A1:AL102"/>
  <sheetViews>
    <sheetView showGridLines="0" zoomScaleNormal="100" zoomScaleSheetLayoutView="70" workbookViewId="0">
      <selection sqref="A1:V1"/>
    </sheetView>
  </sheetViews>
  <sheetFormatPr defaultColWidth="9.1796875" defaultRowHeight="14.5"/>
  <cols>
    <col min="1" max="1" width="3.81640625" style="1363" customWidth="1"/>
    <col min="2" max="2" width="91" style="973" customWidth="1"/>
    <col min="3" max="3" width="1.54296875" style="1" customWidth="1"/>
    <col min="4" max="4" width="16" style="1362" customWidth="1"/>
    <col min="5" max="5" width="1.54296875" style="1" customWidth="1"/>
    <col min="6" max="8" width="16" style="1240" customWidth="1"/>
    <col min="9" max="9" width="21" style="1240" customWidth="1"/>
    <col min="10" max="10" width="1.54296875" style="634" customWidth="1"/>
    <col min="11" max="11" width="15.54296875" style="1" customWidth="1"/>
    <col min="12" max="12" width="1.54296875" style="1" customWidth="1"/>
    <col min="13" max="14" width="15.54296875" style="60" customWidth="1"/>
    <col min="15" max="15" width="1.54296875" style="1" customWidth="1"/>
    <col min="16" max="16" width="15.54296875" style="1" customWidth="1"/>
    <col min="17" max="17" width="1.54296875" style="1" customWidth="1"/>
    <col min="18" max="18" width="15.54296875" style="1" customWidth="1"/>
    <col min="19" max="19" width="1.54296875" style="1" customWidth="1"/>
    <col min="20" max="22" width="15.54296875" style="1" customWidth="1"/>
    <col min="23" max="23" width="9.1796875" style="1" customWidth="1"/>
    <col min="24" max="16384" width="9.1796875" style="1"/>
  </cols>
  <sheetData>
    <row r="1" spans="1:23" ht="16.5" customHeight="1" thickBot="1">
      <c r="A1" s="1919" t="str">
        <f>DNB&amp;" - ELEKTRICITEIT - Tarieflijst periodieke distributienettarieven "&amp;JAAR&amp;" - Afname"</f>
        <v>Naam distributienetbeheerder - ELEKTRICITEIT - Tarieflijst periodieke distributienettarieven  - Afname</v>
      </c>
      <c r="B1" s="1920"/>
      <c r="C1" s="1920"/>
      <c r="D1" s="1920"/>
      <c r="E1" s="1920"/>
      <c r="F1" s="1939"/>
      <c r="G1" s="1939"/>
      <c r="H1" s="1939"/>
      <c r="I1" s="1939"/>
      <c r="J1" s="1939"/>
      <c r="K1" s="1920"/>
      <c r="L1" s="1920"/>
      <c r="M1" s="1920"/>
      <c r="N1" s="1920"/>
      <c r="O1" s="1920"/>
      <c r="P1" s="1920"/>
      <c r="Q1" s="1920"/>
      <c r="R1" s="1920"/>
      <c r="S1" s="1920"/>
      <c r="T1" s="1920"/>
      <c r="U1" s="1920"/>
      <c r="V1" s="1921"/>
    </row>
    <row r="2" spans="1:23">
      <c r="B2" s="971"/>
      <c r="D2" s="1464"/>
      <c r="E2" s="1463"/>
      <c r="F2" s="1236"/>
      <c r="G2" s="1236"/>
      <c r="H2" s="1236"/>
      <c r="I2" s="1236"/>
      <c r="J2" s="1237"/>
      <c r="K2" s="972"/>
    </row>
    <row r="3" spans="1:23" ht="15" thickBot="1"/>
    <row r="4" spans="1:23" ht="15" thickBot="1">
      <c r="F4" s="1940" t="s">
        <v>603</v>
      </c>
      <c r="G4" s="1942" t="s">
        <v>604</v>
      </c>
      <c r="H4" s="1942" t="s">
        <v>605</v>
      </c>
      <c r="I4" s="1944" t="s">
        <v>606</v>
      </c>
      <c r="K4" s="1462" t="s">
        <v>443</v>
      </c>
      <c r="L4" s="136"/>
      <c r="M4" s="1922" t="s">
        <v>442</v>
      </c>
      <c r="N4" s="1923"/>
      <c r="O4" s="136"/>
      <c r="P4" s="1462" t="s">
        <v>404</v>
      </c>
      <c r="Q4" s="136"/>
      <c r="R4" s="1461" t="s">
        <v>441</v>
      </c>
      <c r="S4" s="136"/>
      <c r="T4" s="1924" t="s">
        <v>416</v>
      </c>
      <c r="U4" s="1925"/>
      <c r="V4" s="1926"/>
    </row>
    <row r="5" spans="1:23" ht="58.5" thickBot="1">
      <c r="F5" s="1941"/>
      <c r="G5" s="1943"/>
      <c r="H5" s="1943"/>
      <c r="I5" s="1945"/>
      <c r="K5" s="1458"/>
      <c r="M5" s="1460" t="s">
        <v>399</v>
      </c>
      <c r="N5" s="1459" t="s">
        <v>440</v>
      </c>
      <c r="P5" s="1458"/>
      <c r="R5" s="1457" t="s">
        <v>439</v>
      </c>
      <c r="T5" s="1456" t="s">
        <v>439</v>
      </c>
      <c r="U5" s="1455" t="s">
        <v>438</v>
      </c>
      <c r="V5" s="1454" t="s">
        <v>437</v>
      </c>
    </row>
    <row r="6" spans="1:23" s="634" customFormat="1" ht="15.75" customHeight="1" thickBot="1">
      <c r="A6" s="1234"/>
      <c r="B6" s="1239"/>
      <c r="D6" s="1240"/>
      <c r="E6" s="1240"/>
      <c r="F6" s="1240"/>
      <c r="G6" s="1240"/>
      <c r="H6" s="1240"/>
      <c r="I6" s="1240"/>
      <c r="K6" s="1254"/>
      <c r="L6" s="1256"/>
      <c r="M6" s="1254"/>
      <c r="N6" s="1254"/>
      <c r="O6" s="1256"/>
      <c r="P6" s="1254"/>
      <c r="Q6" s="1256"/>
      <c r="R6" s="1255"/>
      <c r="S6" s="1256"/>
      <c r="T6" s="1255"/>
      <c r="U6" s="1255"/>
      <c r="V6" s="1255"/>
      <c r="W6" s="1319"/>
    </row>
    <row r="7" spans="1:23" s="634" customFormat="1">
      <c r="A7" s="1946" t="s">
        <v>610</v>
      </c>
      <c r="B7" s="1300" t="s">
        <v>607</v>
      </c>
      <c r="C7" s="1259"/>
      <c r="D7" s="1260"/>
      <c r="E7" s="1240"/>
      <c r="F7" s="1266"/>
      <c r="G7" s="1267"/>
      <c r="H7" s="1267"/>
      <c r="I7" s="1260"/>
      <c r="K7" s="1272" t="s">
        <v>585</v>
      </c>
      <c r="L7" s="1257"/>
      <c r="M7" s="1273" t="s">
        <v>587</v>
      </c>
      <c r="N7" s="1274" t="s">
        <v>588</v>
      </c>
      <c r="O7" s="1257"/>
      <c r="P7" s="1272" t="s">
        <v>589</v>
      </c>
      <c r="Q7" s="1257"/>
      <c r="R7" s="1275" t="s">
        <v>592</v>
      </c>
      <c r="S7" s="1257"/>
      <c r="T7" s="1276" t="s">
        <v>594</v>
      </c>
      <c r="U7" s="1277" t="s">
        <v>599</v>
      </c>
      <c r="V7" s="1278" t="s">
        <v>602</v>
      </c>
      <c r="W7" s="1320"/>
    </row>
    <row r="8" spans="1:23" s="634" customFormat="1">
      <c r="A8" s="1947"/>
      <c r="B8" s="1301" t="s">
        <v>608</v>
      </c>
      <c r="C8" s="1262"/>
      <c r="D8" s="1263"/>
      <c r="E8" s="1240"/>
      <c r="F8" s="1268"/>
      <c r="G8" s="1269"/>
      <c r="H8" s="1269"/>
      <c r="I8" s="1263"/>
      <c r="K8" s="1272" t="s">
        <v>586</v>
      </c>
      <c r="L8" s="1257"/>
      <c r="M8" s="1273"/>
      <c r="N8" s="1274"/>
      <c r="O8" s="1257"/>
      <c r="P8" s="1272" t="s">
        <v>590</v>
      </c>
      <c r="Q8" s="1257"/>
      <c r="R8" s="1275" t="s">
        <v>593</v>
      </c>
      <c r="S8" s="1257"/>
      <c r="T8" s="1276" t="s">
        <v>595</v>
      </c>
      <c r="U8" s="1277"/>
      <c r="V8" s="1278"/>
      <c r="W8" s="1320"/>
    </row>
    <row r="9" spans="1:23" s="634" customFormat="1">
      <c r="A9" s="1947"/>
      <c r="B9" s="1301" t="s">
        <v>609</v>
      </c>
      <c r="C9" s="1262"/>
      <c r="D9" s="1263"/>
      <c r="E9" s="1240"/>
      <c r="F9" s="1268"/>
      <c r="G9" s="1269"/>
      <c r="H9" s="1269"/>
      <c r="I9" s="1263"/>
      <c r="K9" s="1272"/>
      <c r="L9" s="1257"/>
      <c r="M9" s="1273"/>
      <c r="N9" s="1274"/>
      <c r="O9" s="1257"/>
      <c r="P9" s="1272" t="s">
        <v>591</v>
      </c>
      <c r="Q9" s="1257"/>
      <c r="R9" s="1275"/>
      <c r="S9" s="1257"/>
      <c r="T9" s="1276" t="s">
        <v>596</v>
      </c>
      <c r="U9" s="1277"/>
      <c r="V9" s="1278"/>
      <c r="W9" s="1320"/>
    </row>
    <row r="10" spans="1:23" s="634" customFormat="1">
      <c r="A10" s="1947"/>
      <c r="B10" s="1301" t="s">
        <v>706</v>
      </c>
      <c r="C10" s="1262"/>
      <c r="D10" s="1263"/>
      <c r="E10" s="1240"/>
      <c r="F10" s="1268"/>
      <c r="G10" s="1269"/>
      <c r="H10" s="1269"/>
      <c r="I10" s="1263"/>
      <c r="K10" s="1272"/>
      <c r="L10" s="1257"/>
      <c r="M10" s="1273"/>
      <c r="N10" s="1274"/>
      <c r="O10" s="1257"/>
      <c r="P10" s="1272"/>
      <c r="Q10" s="1257"/>
      <c r="R10" s="1275"/>
      <c r="S10" s="1257"/>
      <c r="T10" s="1276" t="s">
        <v>597</v>
      </c>
      <c r="U10" s="1277" t="s">
        <v>600</v>
      </c>
      <c r="V10" s="1278"/>
      <c r="W10" s="1320"/>
    </row>
    <row r="11" spans="1:23" s="634" customFormat="1" ht="15" thickBot="1">
      <c r="A11" s="1948"/>
      <c r="B11" s="1302" t="s">
        <v>707</v>
      </c>
      <c r="C11" s="1264"/>
      <c r="D11" s="1265"/>
      <c r="E11" s="1240"/>
      <c r="F11" s="1270"/>
      <c r="G11" s="1271"/>
      <c r="H11" s="1271"/>
      <c r="I11" s="1265"/>
      <c r="K11" s="1272"/>
      <c r="L11" s="1257"/>
      <c r="M11" s="1273"/>
      <c r="N11" s="1274"/>
      <c r="O11" s="1257"/>
      <c r="P11" s="1272"/>
      <c r="Q11" s="1257"/>
      <c r="R11" s="1275"/>
      <c r="S11" s="1257"/>
      <c r="T11" s="1276" t="s">
        <v>598</v>
      </c>
      <c r="U11" s="1277" t="s">
        <v>601</v>
      </c>
      <c r="V11" s="1278"/>
      <c r="W11" s="1320"/>
    </row>
    <row r="12" spans="1:23" s="634" customFormat="1" ht="15.75" customHeight="1" thickBot="1">
      <c r="A12" s="1234"/>
      <c r="B12" s="1239"/>
      <c r="D12" s="1240"/>
      <c r="E12" s="1240"/>
      <c r="F12" s="1240"/>
      <c r="G12" s="1240"/>
      <c r="H12" s="1240"/>
      <c r="I12" s="1240"/>
      <c r="K12" s="1254"/>
      <c r="L12" s="1246"/>
      <c r="M12" s="1254"/>
      <c r="N12" s="1254"/>
      <c r="O12" s="1246"/>
      <c r="P12" s="1254"/>
      <c r="Q12" s="1246"/>
      <c r="R12" s="1255"/>
      <c r="S12" s="1246"/>
      <c r="T12" s="1255"/>
      <c r="U12" s="1255"/>
      <c r="V12" s="1255"/>
      <c r="W12" s="1319"/>
    </row>
    <row r="13" spans="1:23">
      <c r="A13" s="1453">
        <v>1</v>
      </c>
      <c r="B13" s="1452" t="s">
        <v>554</v>
      </c>
      <c r="C13" s="1451"/>
      <c r="D13" s="1450"/>
      <c r="E13" s="974"/>
      <c r="F13" s="1279"/>
      <c r="G13" s="1280"/>
      <c r="H13" s="1280"/>
      <c r="I13" s="1281"/>
      <c r="J13" s="1241"/>
      <c r="K13" s="1448"/>
      <c r="L13" s="1447"/>
      <c r="M13" s="1446"/>
      <c r="N13" s="1449"/>
      <c r="O13" s="1447"/>
      <c r="P13" s="1448"/>
      <c r="Q13" s="1447"/>
      <c r="R13" s="1448"/>
      <c r="S13" s="1447"/>
      <c r="T13" s="1446"/>
      <c r="U13" s="1445"/>
      <c r="V13" s="1444"/>
    </row>
    <row r="14" spans="1:23">
      <c r="A14" s="1432" t="s">
        <v>393</v>
      </c>
      <c r="B14" s="1929" t="s">
        <v>436</v>
      </c>
      <c r="C14" s="1929"/>
      <c r="D14" s="1930"/>
      <c r="E14" s="1689"/>
      <c r="F14" s="1276"/>
      <c r="G14" s="1277"/>
      <c r="H14" s="1277"/>
      <c r="I14" s="1278"/>
      <c r="J14" s="1690"/>
      <c r="K14" s="1442"/>
      <c r="L14" s="1441"/>
      <c r="M14" s="1440"/>
      <c r="N14" s="1443"/>
      <c r="O14" s="1441"/>
      <c r="P14" s="1442"/>
      <c r="Q14" s="1441"/>
      <c r="R14" s="1442"/>
      <c r="S14" s="1441"/>
      <c r="T14" s="1440"/>
      <c r="U14" s="1439"/>
      <c r="V14" s="1438"/>
    </row>
    <row r="15" spans="1:23">
      <c r="A15" s="1408"/>
      <c r="B15" s="1688" t="s">
        <v>435</v>
      </c>
      <c r="D15" s="1407" t="s">
        <v>521</v>
      </c>
      <c r="F15" s="1282">
        <v>0.21</v>
      </c>
      <c r="G15" s="1283" t="s">
        <v>557</v>
      </c>
      <c r="H15" s="1283" t="s">
        <v>559</v>
      </c>
      <c r="I15" s="1284" t="s">
        <v>560</v>
      </c>
      <c r="K15" s="1406" t="e">
        <f>ROUND(INDEX(Tabel4B[Afnameklanten op TRHS],1),7)</f>
        <v>#VALUE!</v>
      </c>
      <c r="L15" s="1392"/>
      <c r="M15" s="1405" t="e">
        <f>ROUND(INDEX(Tabel4B[Afnameklanten op &gt;26-36 kV met AV ≥ 5MVA],1),7)</f>
        <v>#VALUE!</v>
      </c>
      <c r="N15" s="1404" t="e">
        <f>ROUND(INDEX(Tabel4B[Afnameklanten op &gt;26-36 kV met AV &lt; 5MVA],1),7)</f>
        <v>#VALUE!</v>
      </c>
      <c r="O15" s="1392"/>
      <c r="P15" s="1403" t="e">
        <f>ROUND(INDEX(Tabel4B[Afnameklanten op 26-1kV],1),7)</f>
        <v>#VALUE!</v>
      </c>
      <c r="Q15" s="1392"/>
      <c r="R15" s="1403" t="e">
        <f>ROUND(INDEX(Tabel4B[Afnameklanten op TRLS],1),7)</f>
        <v>#VALUE!</v>
      </c>
      <c r="S15" s="1392"/>
      <c r="T15" s="1411"/>
      <c r="U15" s="1410"/>
      <c r="V15" s="1426"/>
    </row>
    <row r="16" spans="1:23">
      <c r="A16" s="1408"/>
      <c r="B16" s="1122" t="s">
        <v>522</v>
      </c>
      <c r="D16" s="1121" t="s">
        <v>391</v>
      </c>
      <c r="F16" s="1285"/>
      <c r="G16" s="1286"/>
      <c r="H16" s="1286"/>
      <c r="I16" s="1287"/>
      <c r="K16" s="1437" t="e">
        <f>ROUND(K$15*12,7)</f>
        <v>#VALUE!</v>
      </c>
      <c r="L16" s="1392"/>
      <c r="M16" s="1436" t="e">
        <f>ROUND(M$15*12,7)</f>
        <v>#VALUE!</v>
      </c>
      <c r="N16" s="1435" t="e">
        <f>ROUND(N$15*12,7)</f>
        <v>#VALUE!</v>
      </c>
      <c r="O16" s="1392"/>
      <c r="P16" s="1434" t="e">
        <f>ROUND(P$15*12,7)</f>
        <v>#VALUE!</v>
      </c>
      <c r="Q16" s="1392"/>
      <c r="R16" s="1434" t="e">
        <f>ROUND(R$15*12,7)</f>
        <v>#VALUE!</v>
      </c>
      <c r="S16" s="1392"/>
      <c r="T16" s="1411"/>
      <c r="U16" s="1410"/>
      <c r="V16" s="1426"/>
    </row>
    <row r="17" spans="1:22">
      <c r="A17" s="1408"/>
      <c r="B17" s="1688" t="s">
        <v>434</v>
      </c>
      <c r="D17" s="1407" t="s">
        <v>387</v>
      </c>
      <c r="F17" s="1282">
        <v>0.21</v>
      </c>
      <c r="G17" s="1283" t="s">
        <v>557</v>
      </c>
      <c r="H17" s="1283" t="s">
        <v>561</v>
      </c>
      <c r="I17" s="1284" t="s">
        <v>562</v>
      </c>
      <c r="K17" s="1406" t="e">
        <f>ROUND(INDEX(Tabel4B[Afnameklanten op TRHS],2),7)</f>
        <v>#VALUE!</v>
      </c>
      <c r="L17" s="1392"/>
      <c r="M17" s="1405" t="e">
        <f>ROUND(INDEX(Tabel4B[Afnameklanten op &gt;26-36 kV met AV ≥ 5MVA],2),7)</f>
        <v>#VALUE!</v>
      </c>
      <c r="N17" s="1404" t="e">
        <f>ROUND(INDEX(Tabel4B[Afnameklanten op &gt;26-36 kV met AV &lt; 5MVA],2),7)</f>
        <v>#VALUE!</v>
      </c>
      <c r="O17" s="1392"/>
      <c r="P17" s="1403" t="e">
        <f>ROUND(INDEX(Tabel4B[Afnameklanten op 26-1kV],2),7)</f>
        <v>#VALUE!</v>
      </c>
      <c r="Q17" s="1392"/>
      <c r="R17" s="1403" t="e">
        <f>ROUND(INDEX(Tabel4B[Afnameklanten op TRLS],2),7)</f>
        <v>#VALUE!</v>
      </c>
      <c r="S17" s="1392"/>
      <c r="T17" s="1411"/>
      <c r="U17" s="1410"/>
      <c r="V17" s="1426"/>
    </row>
    <row r="18" spans="1:22">
      <c r="A18" s="1408"/>
      <c r="B18" s="1122" t="s">
        <v>522</v>
      </c>
      <c r="D18" s="1121" t="s">
        <v>391</v>
      </c>
      <c r="F18" s="1285"/>
      <c r="G18" s="1286"/>
      <c r="H18" s="1286"/>
      <c r="I18" s="1287"/>
      <c r="K18" s="1437" t="e">
        <f>ROUND(K$17*12,7)</f>
        <v>#VALUE!</v>
      </c>
      <c r="L18" s="1392"/>
      <c r="M18" s="1436" t="e">
        <f>ROUND(M$17*12,7)</f>
        <v>#VALUE!</v>
      </c>
      <c r="N18" s="1435" t="e">
        <f>ROUND(N$17*12,7)</f>
        <v>#VALUE!</v>
      </c>
      <c r="O18" s="1392"/>
      <c r="P18" s="1434" t="e">
        <f>ROUND(P$17*12,7)</f>
        <v>#VALUE!</v>
      </c>
      <c r="Q18" s="1392"/>
      <c r="R18" s="1434" t="e">
        <f>ROUND(R$17*12,7)</f>
        <v>#VALUE!</v>
      </c>
      <c r="S18" s="1392"/>
      <c r="T18" s="1411"/>
      <c r="U18" s="1410"/>
      <c r="V18" s="1426"/>
    </row>
    <row r="19" spans="1:22">
      <c r="A19" s="1408"/>
      <c r="B19" s="565" t="s">
        <v>433</v>
      </c>
      <c r="D19" s="1407" t="s">
        <v>387</v>
      </c>
      <c r="F19" s="1282">
        <v>0.21</v>
      </c>
      <c r="G19" s="1283" t="s">
        <v>557</v>
      </c>
      <c r="H19" s="1283" t="s">
        <v>563</v>
      </c>
      <c r="I19" s="1284" t="s">
        <v>564</v>
      </c>
      <c r="K19" s="1406" t="e">
        <f>ROUND(INDEX(Tabel4B[Afnameklanten op TRHS],3),7)</f>
        <v>#VALUE!</v>
      </c>
      <c r="L19" s="1392"/>
      <c r="M19" s="1405" t="e">
        <f>ROUND(INDEX(Tabel4B[Afnameklanten op &gt;26-36 kV met AV ≥ 5MVA],3),7)</f>
        <v>#VALUE!</v>
      </c>
      <c r="N19" s="1404" t="e">
        <f>ROUND(INDEX(Tabel4B[Afnameklanten op &gt;26-36 kV met AV &lt; 5MVA],3),7)</f>
        <v>#VALUE!</v>
      </c>
      <c r="O19" s="1392"/>
      <c r="P19" s="1403" t="e">
        <f>ROUND(INDEX(Tabel4B[Afnameklanten op 26-1kV],3),7)</f>
        <v>#VALUE!</v>
      </c>
      <c r="Q19" s="1392"/>
      <c r="R19" s="1403" t="e">
        <f>ROUND(INDEX(Tabel4B[Afnameklanten op TRLS],3),7)</f>
        <v>#VALUE!</v>
      </c>
      <c r="S19" s="1392"/>
      <c r="T19" s="1411"/>
      <c r="U19" s="1410"/>
      <c r="V19" s="1426"/>
    </row>
    <row r="20" spans="1:22">
      <c r="A20" s="1408"/>
      <c r="B20" s="1122" t="s">
        <v>522</v>
      </c>
      <c r="D20" s="1121" t="s">
        <v>391</v>
      </c>
      <c r="F20" s="1285"/>
      <c r="G20" s="1286"/>
      <c r="H20" s="1286"/>
      <c r="I20" s="1287"/>
      <c r="K20" s="1437" t="e">
        <f>ROUND(K$19*12,7)</f>
        <v>#VALUE!</v>
      </c>
      <c r="L20" s="1392"/>
      <c r="M20" s="1436" t="e">
        <f>ROUND(M$19*12,7)</f>
        <v>#VALUE!</v>
      </c>
      <c r="N20" s="1435" t="e">
        <f>ROUND(N$19*12,7)</f>
        <v>#VALUE!</v>
      </c>
      <c r="O20" s="1392"/>
      <c r="P20" s="1434" t="e">
        <f>ROUND(P$19*12,7)</f>
        <v>#VALUE!</v>
      </c>
      <c r="Q20" s="1392"/>
      <c r="R20" s="1434" t="e">
        <f>ROUND(R$19*12,7)</f>
        <v>#VALUE!</v>
      </c>
      <c r="S20" s="1392"/>
      <c r="T20" s="1411"/>
      <c r="U20" s="1410"/>
      <c r="V20" s="1426"/>
    </row>
    <row r="21" spans="1:22">
      <c r="A21" s="1432" t="s">
        <v>390</v>
      </c>
      <c r="B21" s="1929" t="s">
        <v>432</v>
      </c>
      <c r="C21" s="1929"/>
      <c r="D21" s="1930"/>
      <c r="E21" s="1689"/>
      <c r="F21" s="1276"/>
      <c r="G21" s="1277"/>
      <c r="H21" s="1277"/>
      <c r="I21" s="1278"/>
      <c r="J21" s="1690"/>
      <c r="K21" s="1406"/>
      <c r="L21" s="1392"/>
      <c r="M21" s="1405"/>
      <c r="N21" s="1404"/>
      <c r="O21" s="1392"/>
      <c r="P21" s="1403"/>
      <c r="Q21" s="1392"/>
      <c r="R21" s="1403"/>
      <c r="S21" s="1392"/>
      <c r="T21" s="1402"/>
      <c r="U21" s="1401"/>
      <c r="V21" s="1400"/>
    </row>
    <row r="22" spans="1:22">
      <c r="A22" s="1408"/>
      <c r="B22" s="565" t="s">
        <v>431</v>
      </c>
      <c r="D22" s="1407" t="s">
        <v>408</v>
      </c>
      <c r="F22" s="1282">
        <v>0.21</v>
      </c>
      <c r="G22" s="1283" t="s">
        <v>557</v>
      </c>
      <c r="H22" s="1283" t="s">
        <v>561</v>
      </c>
      <c r="I22" s="1284" t="s">
        <v>562</v>
      </c>
      <c r="K22" s="1412"/>
      <c r="L22" s="1392"/>
      <c r="M22" s="1411"/>
      <c r="N22" s="1413"/>
      <c r="O22" s="1392"/>
      <c r="P22" s="1412"/>
      <c r="Q22" s="1392"/>
      <c r="R22" s="1412"/>
      <c r="S22" s="1392"/>
      <c r="T22" s="1402" t="e">
        <f>ROUND(INDEX(Tabel4B[Afnameklanten op LS met piekmeting],4),7)</f>
        <v>#DIV/0!</v>
      </c>
      <c r="U22" s="1410"/>
      <c r="V22" s="1426"/>
    </row>
    <row r="23" spans="1:22">
      <c r="A23" s="1408"/>
      <c r="B23" s="1122" t="s">
        <v>522</v>
      </c>
      <c r="D23" s="1121" t="s">
        <v>387</v>
      </c>
      <c r="F23" s="1285"/>
      <c r="G23" s="1286"/>
      <c r="H23" s="1286"/>
      <c r="I23" s="1287"/>
      <c r="K23" s="1412"/>
      <c r="L23" s="1392"/>
      <c r="M23" s="1411"/>
      <c r="N23" s="1413"/>
      <c r="O23" s="1392"/>
      <c r="P23" s="1412"/>
      <c r="Q23" s="1392"/>
      <c r="R23" s="1412"/>
      <c r="S23" s="1392"/>
      <c r="T23" s="1433" t="e">
        <f>ROUND(T$22/12,7)</f>
        <v>#DIV/0!</v>
      </c>
      <c r="U23" s="1410"/>
      <c r="V23" s="1426"/>
    </row>
    <row r="24" spans="1:22">
      <c r="A24" s="1408"/>
      <c r="B24" s="975" t="s">
        <v>406</v>
      </c>
      <c r="D24" s="1407" t="s">
        <v>379</v>
      </c>
      <c r="F24" s="1282">
        <v>0.21</v>
      </c>
      <c r="G24" s="1283" t="s">
        <v>557</v>
      </c>
      <c r="H24" s="1283" t="s">
        <v>565</v>
      </c>
      <c r="I24" s="1284" t="s">
        <v>566</v>
      </c>
      <c r="K24" s="1412"/>
      <c r="L24" s="1392"/>
      <c r="M24" s="1411"/>
      <c r="N24" s="1413"/>
      <c r="O24" s="1392"/>
      <c r="P24" s="1412"/>
      <c r="Q24" s="1392"/>
      <c r="R24" s="1412"/>
      <c r="S24" s="1392"/>
      <c r="T24" s="1402" t="e">
        <f>ROUND(INDEX(Tabel4B[Afnameklanten op LS met piekmeting],6),7)</f>
        <v>#DIV/0!</v>
      </c>
      <c r="U24" s="1410"/>
      <c r="V24" s="1426"/>
    </row>
    <row r="25" spans="1:22">
      <c r="A25" s="1432" t="s">
        <v>388</v>
      </c>
      <c r="B25" s="1929" t="s">
        <v>515</v>
      </c>
      <c r="C25" s="1929"/>
      <c r="D25" s="1930"/>
      <c r="E25" s="1689"/>
      <c r="F25" s="1276"/>
      <c r="G25" s="1277"/>
      <c r="H25" s="1277"/>
      <c r="I25" s="1278"/>
      <c r="J25" s="1690"/>
      <c r="K25" s="1406"/>
      <c r="L25" s="1392"/>
      <c r="M25" s="1405"/>
      <c r="N25" s="1404"/>
      <c r="O25" s="1392"/>
      <c r="P25" s="1403"/>
      <c r="Q25" s="1392"/>
      <c r="R25" s="1403"/>
      <c r="S25" s="1392"/>
      <c r="T25" s="1402"/>
      <c r="U25" s="1401"/>
      <c r="V25" s="1400"/>
    </row>
    <row r="26" spans="1:22">
      <c r="A26" s="1408"/>
      <c r="B26" s="565" t="s">
        <v>430</v>
      </c>
      <c r="D26" s="1430" t="s">
        <v>412</v>
      </c>
      <c r="F26" s="1282">
        <v>0.21</v>
      </c>
      <c r="G26" s="1288" t="s">
        <v>557</v>
      </c>
      <c r="H26" s="1288" t="s">
        <v>567</v>
      </c>
      <c r="I26" s="1289" t="s">
        <v>568</v>
      </c>
      <c r="K26" s="1417"/>
      <c r="L26" s="1416"/>
      <c r="M26" s="1419"/>
      <c r="N26" s="1418"/>
      <c r="O26" s="1416"/>
      <c r="P26" s="1417"/>
      <c r="Q26" s="1416"/>
      <c r="R26" s="1417"/>
      <c r="S26" s="1416"/>
      <c r="T26" s="1419"/>
      <c r="U26" s="1414" t="e">
        <f>ROUND(INDEX(Tabel4B[Afnameklanten op LS met klassieke meter],5),2)</f>
        <v>#DIV/0!</v>
      </c>
      <c r="V26" s="1409" t="e">
        <f>ROUND(INDEX(Tabel4B[Afnameklanten op LS met klassieke meter],5),2)</f>
        <v>#DIV/0!</v>
      </c>
    </row>
    <row r="27" spans="1:22">
      <c r="A27" s="1408"/>
      <c r="B27" s="1688" t="s">
        <v>406</v>
      </c>
      <c r="D27" s="1430" t="s">
        <v>379</v>
      </c>
      <c r="F27" s="1282">
        <v>0.21</v>
      </c>
      <c r="G27" s="1288" t="s">
        <v>557</v>
      </c>
      <c r="H27" s="1288" t="s">
        <v>565</v>
      </c>
      <c r="I27" s="1289" t="s">
        <v>569</v>
      </c>
      <c r="K27" s="1412"/>
      <c r="L27" s="1392"/>
      <c r="M27" s="1411"/>
      <c r="N27" s="1413"/>
      <c r="O27" s="1392"/>
      <c r="P27" s="1412"/>
      <c r="Q27" s="1392"/>
      <c r="R27" s="1412"/>
      <c r="S27" s="1392"/>
      <c r="T27" s="1411"/>
      <c r="U27" s="1401" t="e">
        <f>ROUND(INDEX(Tabel4B[Afnameklanten op LS met klassieke meter],6),7)</f>
        <v>#DIV/0!</v>
      </c>
      <c r="V27" s="1400" t="e">
        <f>ROUND(INDEX(Tabel4B[Afnameklanten op LS met klassieke meter],6),7)</f>
        <v>#DIV/0!</v>
      </c>
    </row>
    <row r="28" spans="1:22">
      <c r="A28" s="1408"/>
      <c r="B28" s="1927"/>
      <c r="C28" s="1927"/>
      <c r="D28" s="1928"/>
      <c r="F28" s="1290"/>
      <c r="G28" s="1283"/>
      <c r="H28" s="1283"/>
      <c r="I28" s="1284"/>
      <c r="K28" s="1403"/>
      <c r="L28" s="1392"/>
      <c r="M28" s="1402"/>
      <c r="N28" s="1427"/>
      <c r="O28" s="1392"/>
      <c r="P28" s="1403"/>
      <c r="Q28" s="1392"/>
      <c r="R28" s="1403"/>
      <c r="S28" s="1392"/>
      <c r="T28" s="1402"/>
      <c r="U28" s="1401"/>
      <c r="V28" s="1400"/>
    </row>
    <row r="29" spans="1:22">
      <c r="A29" s="1408">
        <v>2</v>
      </c>
      <c r="B29" s="1429" t="s">
        <v>429</v>
      </c>
      <c r="C29" s="1429"/>
      <c r="D29" s="1428"/>
      <c r="F29" s="1291"/>
      <c r="G29" s="1292"/>
      <c r="H29" s="1292"/>
      <c r="I29" s="1293"/>
      <c r="K29" s="1403"/>
      <c r="L29" s="1392"/>
      <c r="M29" s="1402"/>
      <c r="N29" s="1427"/>
      <c r="O29" s="1392"/>
      <c r="P29" s="1403"/>
      <c r="Q29" s="1392"/>
      <c r="R29" s="1403"/>
      <c r="S29" s="1392"/>
      <c r="T29" s="1402"/>
      <c r="U29" s="1401"/>
      <c r="V29" s="1400"/>
    </row>
    <row r="30" spans="1:22">
      <c r="A30" s="1408"/>
      <c r="B30" s="1688" t="s">
        <v>428</v>
      </c>
      <c r="D30" s="1407"/>
      <c r="F30" s="1290"/>
      <c r="G30" s="1283"/>
      <c r="H30" s="1283" t="s">
        <v>551</v>
      </c>
      <c r="I30" s="1284" t="s">
        <v>551</v>
      </c>
      <c r="K30" s="1346">
        <v>0.32900000000000001</v>
      </c>
      <c r="L30" s="1392"/>
      <c r="M30" s="1347">
        <v>0.32900000000000001</v>
      </c>
      <c r="N30" s="1348">
        <v>0.48399999999999999</v>
      </c>
      <c r="O30" s="1392"/>
      <c r="P30" s="1346">
        <v>0.48399999999999999</v>
      </c>
      <c r="Q30" s="1392"/>
      <c r="R30" s="1346">
        <v>0.48399999999999999</v>
      </c>
      <c r="S30" s="1392"/>
      <c r="T30" s="1411"/>
      <c r="U30" s="1410"/>
      <c r="V30" s="1426"/>
    </row>
    <row r="31" spans="1:22">
      <c r="A31" s="1408"/>
      <c r="B31" s="565" t="s">
        <v>427</v>
      </c>
      <c r="D31" s="1407" t="s">
        <v>534</v>
      </c>
      <c r="F31" s="1282">
        <v>0.21</v>
      </c>
      <c r="G31" s="1283" t="s">
        <v>557</v>
      </c>
      <c r="H31" s="1283" t="s">
        <v>570</v>
      </c>
      <c r="I31" s="1284" t="s">
        <v>571</v>
      </c>
      <c r="K31" s="1403" t="e">
        <f>ROUND(INDEX(Tabel4B[Afnameklanten op TRHS],8),7)</f>
        <v>#VALUE!</v>
      </c>
      <c r="L31" s="1392"/>
      <c r="M31" s="1405" t="e">
        <f>ROUND(INDEX(Tabel4B[Afnameklanten op &gt;26-36 kV met AV ≥ 5MVA],8),7)</f>
        <v>#VALUE!</v>
      </c>
      <c r="N31" s="1404" t="e">
        <f>ROUND(INDEX(Tabel4B[Afnameklanten op &gt;26-36 kV met AV &lt; 5MVA],8),7)</f>
        <v>#VALUE!</v>
      </c>
      <c r="O31" s="1392"/>
      <c r="P31" s="1403" t="e">
        <f>ROUND(INDEX(Tabel4B[Afnameklanten op 26-1kV],8),7)</f>
        <v>#VALUE!</v>
      </c>
      <c r="Q31" s="1392"/>
      <c r="R31" s="1403" t="e">
        <f>ROUND(INDEX(Tabel4B[Afnameklanten op TRLS],8),7)</f>
        <v>#VALUE!</v>
      </c>
      <c r="S31" s="1392"/>
      <c r="T31" s="1411"/>
      <c r="U31" s="1410"/>
      <c r="V31" s="1426"/>
    </row>
    <row r="32" spans="1:22">
      <c r="A32" s="1408"/>
      <c r="D32" s="1407"/>
      <c r="F32" s="1290"/>
      <c r="G32" s="1283"/>
      <c r="H32" s="1283"/>
      <c r="I32" s="1284"/>
      <c r="K32" s="1403"/>
      <c r="L32" s="1392"/>
      <c r="M32" s="1405"/>
      <c r="N32" s="1404"/>
      <c r="O32" s="1392"/>
      <c r="P32" s="1403"/>
      <c r="Q32" s="1392"/>
      <c r="R32" s="1403"/>
      <c r="S32" s="1392"/>
      <c r="T32" s="1402"/>
      <c r="U32" s="1401"/>
      <c r="V32" s="1400"/>
    </row>
    <row r="33" spans="1:22">
      <c r="A33" s="1408">
        <v>3</v>
      </c>
      <c r="B33" s="971" t="s">
        <v>426</v>
      </c>
      <c r="D33" s="1407"/>
      <c r="F33" s="1290"/>
      <c r="G33" s="1283"/>
      <c r="H33" s="1283"/>
      <c r="I33" s="1284"/>
      <c r="K33" s="1403"/>
      <c r="L33" s="1392"/>
      <c r="M33" s="1405"/>
      <c r="N33" s="1404"/>
      <c r="O33" s="1392"/>
      <c r="P33" s="1403"/>
      <c r="Q33" s="1392"/>
      <c r="R33" s="1403"/>
      <c r="S33" s="1392"/>
      <c r="T33" s="1402"/>
      <c r="U33" s="1401"/>
      <c r="V33" s="1400"/>
    </row>
    <row r="34" spans="1:22">
      <c r="A34" s="978"/>
      <c r="B34" s="1688" t="s">
        <v>507</v>
      </c>
      <c r="D34" s="1407" t="s">
        <v>382</v>
      </c>
      <c r="F34" s="1282">
        <v>0.21</v>
      </c>
      <c r="G34" s="1283" t="s">
        <v>557</v>
      </c>
      <c r="H34" s="1283" t="s">
        <v>572</v>
      </c>
      <c r="I34" s="1284" t="s">
        <v>573</v>
      </c>
      <c r="K34" s="1423" t="e">
        <f>ROUND(INDEX(Tabel4B[Afnameklanten op TRHS],9),2)</f>
        <v>#DIV/0!</v>
      </c>
      <c r="L34" s="1416"/>
      <c r="M34" s="1425" t="e">
        <f>ROUND(INDEX(Tabel4B[Afnameklanten op &gt;26-36 kV met AV ≥ 5MVA],9),2)</f>
        <v>#DIV/0!</v>
      </c>
      <c r="N34" s="1424" t="e">
        <f>ROUND(INDEX(Tabel4B[Afnameklanten op &gt;26-36 kV met AV &lt; 5MVA],9),2)</f>
        <v>#DIV/0!</v>
      </c>
      <c r="O34" s="1416"/>
      <c r="P34" s="1423" t="e">
        <f>ROUND(INDEX(Tabel4B[Afnameklanten op 26-1kV],9),2)</f>
        <v>#DIV/0!</v>
      </c>
      <c r="Q34" s="1416"/>
      <c r="R34" s="1423" t="e">
        <f>ROUND(INDEX(Tabel4B[Afnameklanten op TRLS],9),2)</f>
        <v>#DIV/0!</v>
      </c>
      <c r="S34" s="1416"/>
      <c r="T34" s="1422"/>
      <c r="U34" s="1421"/>
      <c r="V34" s="1420"/>
    </row>
    <row r="35" spans="1:22">
      <c r="A35" s="978"/>
      <c r="B35" s="1688" t="s">
        <v>508</v>
      </c>
      <c r="D35" s="1407" t="s">
        <v>382</v>
      </c>
      <c r="F35" s="1282">
        <v>0.21</v>
      </c>
      <c r="G35" s="1283" t="s">
        <v>557</v>
      </c>
      <c r="H35" s="1283" t="s">
        <v>572</v>
      </c>
      <c r="I35" s="1284" t="s">
        <v>573</v>
      </c>
      <c r="K35" s="1417"/>
      <c r="L35" s="1416"/>
      <c r="M35" s="1419"/>
      <c r="N35" s="1418"/>
      <c r="O35" s="1416"/>
      <c r="P35" s="1417"/>
      <c r="Q35" s="1416"/>
      <c r="R35" s="1417"/>
      <c r="S35" s="1416"/>
      <c r="T35" s="1415" t="e">
        <f>ROUND(INDEX(Tabel4B[Afnameklanten op LS met piekmeting],12),2)</f>
        <v>#DIV/0!</v>
      </c>
      <c r="U35" s="1421"/>
      <c r="V35" s="1420"/>
    </row>
    <row r="36" spans="1:22">
      <c r="A36" s="978"/>
      <c r="B36" s="1688" t="s">
        <v>509</v>
      </c>
      <c r="D36" s="1407" t="s">
        <v>382</v>
      </c>
      <c r="F36" s="1282">
        <v>0.21</v>
      </c>
      <c r="G36" s="1283" t="s">
        <v>557</v>
      </c>
      <c r="H36" s="1283" t="s">
        <v>572</v>
      </c>
      <c r="I36" s="1284" t="s">
        <v>573</v>
      </c>
      <c r="K36" s="1417"/>
      <c r="L36" s="1416"/>
      <c r="M36" s="1419"/>
      <c r="N36" s="1418"/>
      <c r="O36" s="1416"/>
      <c r="P36" s="1417"/>
      <c r="Q36" s="1416"/>
      <c r="R36" s="1417"/>
      <c r="S36" s="1416"/>
      <c r="T36" s="1415" t="e">
        <f>ROUND(INDEX(Tabel4B[Afnameklanten op LS met piekmeting],11),2)</f>
        <v>#DIV/0!</v>
      </c>
      <c r="U36" s="1414" t="e">
        <f>ROUND(INDEX(Tabel4B[Afnameklanten op LS met klassieke meter],13),2)</f>
        <v>#DIV/0!</v>
      </c>
      <c r="V36" s="1409" t="e">
        <f>ROUND(INDEX(Tabel4B[Afnameklanten op LS met klassieke meter],13),2)</f>
        <v>#DIV/0!</v>
      </c>
    </row>
    <row r="37" spans="1:22">
      <c r="A37" s="1408"/>
      <c r="D37" s="1407"/>
      <c r="F37" s="1290"/>
      <c r="G37" s="1283"/>
      <c r="H37" s="1283"/>
      <c r="I37" s="1284"/>
      <c r="K37" s="1403"/>
      <c r="L37" s="1392"/>
      <c r="M37" s="1405"/>
      <c r="N37" s="1404"/>
      <c r="O37" s="1392"/>
      <c r="P37" s="1403"/>
      <c r="Q37" s="1392"/>
      <c r="R37" s="1403"/>
      <c r="S37" s="1392"/>
      <c r="T37" s="1402"/>
      <c r="U37" s="1401"/>
      <c r="V37" s="1400"/>
    </row>
    <row r="38" spans="1:22">
      <c r="A38" s="1408">
        <v>4</v>
      </c>
      <c r="B38" s="971" t="s">
        <v>638</v>
      </c>
      <c r="D38" s="1407"/>
      <c r="F38" s="1290"/>
      <c r="G38" s="1283"/>
      <c r="H38" s="1283"/>
      <c r="I38" s="1284"/>
      <c r="K38" s="1403"/>
      <c r="L38" s="1392"/>
      <c r="M38" s="1405"/>
      <c r="N38" s="1404"/>
      <c r="O38" s="1392"/>
      <c r="P38" s="1403"/>
      <c r="Q38" s="1392"/>
      <c r="R38" s="1403"/>
      <c r="S38" s="1392"/>
      <c r="T38" s="1402"/>
      <c r="U38" s="1401"/>
      <c r="V38" s="1400"/>
    </row>
    <row r="39" spans="1:22">
      <c r="A39" s="1408"/>
      <c r="B39" s="973" t="s">
        <v>425</v>
      </c>
      <c r="D39" s="1407" t="s">
        <v>379</v>
      </c>
      <c r="F39" s="1282">
        <v>0.21</v>
      </c>
      <c r="G39" s="1283" t="s">
        <v>557</v>
      </c>
      <c r="H39" s="1283" t="s">
        <v>574</v>
      </c>
      <c r="I39" s="1284" t="s">
        <v>575</v>
      </c>
      <c r="K39" s="1406" t="e">
        <f>ROUND(INDEX(Tabel4B[Afnameklanten op TRHS],15),7)</f>
        <v>#VALUE!</v>
      </c>
      <c r="L39" s="1392"/>
      <c r="M39" s="1405" t="e">
        <f>ROUND(INDEX(Tabel4B[Afnameklanten op &gt;26-36 kV met AV ≥ 5MVA],15),7)</f>
        <v>#VALUE!</v>
      </c>
      <c r="N39" s="1404" t="e">
        <f>ROUND(INDEX(Tabel4B[Afnameklanten op &gt;26-36 kV met AV &lt; 5MVA],15),7)</f>
        <v>#VALUE!</v>
      </c>
      <c r="O39" s="1392"/>
      <c r="P39" s="1403" t="e">
        <f>ROUND(INDEX(Tabel4B[Afnameklanten op 26-1kV],15),7)</f>
        <v>#VALUE!</v>
      </c>
      <c r="Q39" s="1392"/>
      <c r="R39" s="1403" t="e">
        <f>ROUND(INDEX(Tabel4B[Afnameklanten op TRLS],15),7)</f>
        <v>#VALUE!</v>
      </c>
      <c r="S39" s="1392"/>
      <c r="T39" s="1402" t="e">
        <f>ROUND(INDEX(Tabel4B[Afnameklanten op LS met piekmeting],15),7)</f>
        <v>#VALUE!</v>
      </c>
      <c r="U39" s="1401" t="e">
        <f>ROUND(INDEX(Tabel4B[Afnameklanten op LS met klassieke meter],15),7)</f>
        <v>#VALUE!</v>
      </c>
      <c r="V39" s="1400" t="e">
        <f>ROUND(INDEX(Tabel4B[Afnameklanten op LS met klassieke meter],15),7)</f>
        <v>#VALUE!</v>
      </c>
    </row>
    <row r="40" spans="1:22">
      <c r="A40" s="1408"/>
      <c r="B40" s="973" t="s">
        <v>405</v>
      </c>
      <c r="D40" s="1407" t="s">
        <v>379</v>
      </c>
      <c r="F40" s="1282">
        <v>0.21</v>
      </c>
      <c r="G40" s="1283" t="s">
        <v>557</v>
      </c>
      <c r="H40" s="1283" t="s">
        <v>574</v>
      </c>
      <c r="I40" s="1284" t="s">
        <v>576</v>
      </c>
      <c r="K40" s="1412"/>
      <c r="L40" s="1392"/>
      <c r="M40" s="1411"/>
      <c r="N40" s="1413"/>
      <c r="O40" s="1392"/>
      <c r="P40" s="1412"/>
      <c r="Q40" s="1392"/>
      <c r="R40" s="1403" t="e">
        <f>ROUND(INDEX(Tabel4B[Afnameklanten op TRLS],16),7)</f>
        <v>#VALUE!</v>
      </c>
      <c r="S40" s="1392"/>
      <c r="T40" s="1402" t="e">
        <f>ROUND(INDEX(Tabel4B[Afnameklanten op LS met piekmeting],16),7)</f>
        <v>#VALUE!</v>
      </c>
      <c r="U40" s="1401" t="e">
        <f>ROUND(INDEX(Tabel4B[Afnameklanten op LS met klassieke meter],16),7)</f>
        <v>#VALUE!</v>
      </c>
      <c r="V40" s="1400" t="e">
        <f>ROUND(INDEX(Tabel4B[Afnameklanten op LS met klassieke meter],16),7)</f>
        <v>#VALUE!</v>
      </c>
    </row>
    <row r="41" spans="1:22">
      <c r="A41" s="1408"/>
      <c r="D41" s="1407"/>
      <c r="F41" s="1290"/>
      <c r="G41" s="1283"/>
      <c r="H41" s="1283"/>
      <c r="I41" s="1284"/>
      <c r="K41" s="1406"/>
      <c r="L41" s="1392"/>
      <c r="M41" s="1405"/>
      <c r="N41" s="1404"/>
      <c r="O41" s="1392"/>
      <c r="P41" s="1403"/>
      <c r="Q41" s="1392"/>
      <c r="R41" s="1403"/>
      <c r="S41" s="1392"/>
      <c r="T41" s="1402"/>
      <c r="U41" s="1401"/>
      <c r="V41" s="1400"/>
    </row>
    <row r="42" spans="1:22">
      <c r="A42" s="1408">
        <v>5</v>
      </c>
      <c r="B42" s="971" t="s">
        <v>424</v>
      </c>
      <c r="D42" s="1407" t="s">
        <v>379</v>
      </c>
      <c r="F42" s="1282">
        <v>0.21</v>
      </c>
      <c r="G42" s="1283" t="s">
        <v>557</v>
      </c>
      <c r="H42" s="1283" t="s">
        <v>577</v>
      </c>
      <c r="I42" s="1284" t="s">
        <v>578</v>
      </c>
      <c r="K42" s="1406" t="e">
        <f>ROUND(INDEX(Tabel4B[Afnameklanten op TRHS],17),7)</f>
        <v>#VALUE!</v>
      </c>
      <c r="L42" s="1392"/>
      <c r="M42" s="1405" t="e">
        <f>ROUND(INDEX(Tabel4B[Afnameklanten op &gt;26-36 kV met AV ≥ 5MVA],17),7)</f>
        <v>#VALUE!</v>
      </c>
      <c r="N42" s="1404" t="e">
        <f>ROUND(INDEX(Tabel4B[Afnameklanten op &gt;26-36 kV met AV &lt; 5MVA],17),7)</f>
        <v>#VALUE!</v>
      </c>
      <c r="O42" s="1392"/>
      <c r="P42" s="1403" t="e">
        <f>ROUND(INDEX(Tabel4B[Afnameklanten op 26-1kV],17),7)</f>
        <v>#VALUE!</v>
      </c>
      <c r="Q42" s="1392"/>
      <c r="R42" s="1403" t="e">
        <f>ROUND(INDEX(Tabel4B[Afnameklanten op TRLS],17),7)</f>
        <v>#VALUE!</v>
      </c>
      <c r="S42" s="1392"/>
      <c r="T42" s="1402" t="e">
        <f>ROUND(INDEX(Tabel4B[Afnameklanten op LS met piekmeting],17),7)</f>
        <v>#VALUE!</v>
      </c>
      <c r="U42" s="1401" t="e">
        <f>ROUND(INDEX(Tabel4B[Afnameklanten op LS met klassieke meter],17),7)</f>
        <v>#VALUE!</v>
      </c>
      <c r="V42" s="1400" t="e">
        <f>ROUND(INDEX(Tabel4B[Afnameklanten op LS met klassieke meter],17),7)</f>
        <v>#VALUE!</v>
      </c>
    </row>
    <row r="43" spans="1:22">
      <c r="A43" s="1408"/>
      <c r="D43" s="1407"/>
      <c r="F43" s="1290"/>
      <c r="G43" s="1283"/>
      <c r="H43" s="1283"/>
      <c r="I43" s="1284"/>
      <c r="K43" s="1406"/>
      <c r="L43" s="1392"/>
      <c r="M43" s="1405"/>
      <c r="N43" s="1404"/>
      <c r="O43" s="1392"/>
      <c r="P43" s="1403"/>
      <c r="Q43" s="1392"/>
      <c r="R43" s="1403"/>
      <c r="S43" s="1392"/>
      <c r="T43" s="1402"/>
      <c r="U43" s="1401"/>
      <c r="V43" s="1400"/>
    </row>
    <row r="44" spans="1:22">
      <c r="A44" s="1408">
        <v>6</v>
      </c>
      <c r="B44" s="971" t="s">
        <v>555</v>
      </c>
      <c r="D44" s="1407" t="s">
        <v>379</v>
      </c>
      <c r="F44" s="1282">
        <v>0.21</v>
      </c>
      <c r="G44" s="1283" t="s">
        <v>558</v>
      </c>
      <c r="H44" s="1283" t="s">
        <v>579</v>
      </c>
      <c r="I44" s="1284" t="s">
        <v>580</v>
      </c>
      <c r="K44" s="1406" t="e">
        <f>ROUND(INDEX(Tabel4B[Afnameklanten op TRHS],18),7)</f>
        <v>#DIV/0!</v>
      </c>
      <c r="L44" s="1392"/>
      <c r="M44" s="1405" t="e">
        <f>ROUND(INDEX(Tabel4B[Afnameklanten op &gt;26-36 kV met AV ≥ 5MVA],18),7)</f>
        <v>#DIV/0!</v>
      </c>
      <c r="N44" s="1404" t="e">
        <f>ROUND(INDEX(Tabel4B[Afnameklanten op &gt;26-36 kV met AV &lt; 5MVA],18),7)</f>
        <v>#DIV/0!</v>
      </c>
      <c r="O44" s="1392"/>
      <c r="P44" s="1403" t="e">
        <f>ROUND(INDEX(Tabel4B[Afnameklanten op 26-1kV],18),7)</f>
        <v>#DIV/0!</v>
      </c>
      <c r="Q44" s="1392"/>
      <c r="R44" s="1403" t="e">
        <f>ROUND(INDEX(Tabel4B[Afnameklanten op TRLS],18),7)</f>
        <v>#DIV/0!</v>
      </c>
      <c r="S44" s="1392"/>
      <c r="T44" s="1402" t="e">
        <f>ROUND(INDEX(Tabel4B[Afnameklanten op LS met piekmeting],18),7)</f>
        <v>#DIV/0!</v>
      </c>
      <c r="U44" s="1401" t="e">
        <f>ROUND(INDEX(Tabel4B[Afnameklanten op LS met klassieke meter],18),7)</f>
        <v>#DIV/0!</v>
      </c>
      <c r="V44" s="1400" t="e">
        <f>ROUND(INDEX(Tabel4B[Afnameklanten op LS met klassieke meter],18),7)</f>
        <v>#DIV/0!</v>
      </c>
    </row>
    <row r="45" spans="1:22">
      <c r="A45" s="1408"/>
      <c r="B45" s="971"/>
      <c r="D45" s="1407"/>
      <c r="F45" s="1290"/>
      <c r="G45" s="1283"/>
      <c r="H45" s="1283"/>
      <c r="I45" s="1284"/>
      <c r="K45" s="1403"/>
      <c r="L45" s="1392"/>
      <c r="M45" s="1405"/>
      <c r="N45" s="1404"/>
      <c r="O45" s="1392"/>
      <c r="P45" s="1403"/>
      <c r="Q45" s="1392"/>
      <c r="R45" s="1403"/>
      <c r="S45" s="1392"/>
      <c r="T45" s="1402"/>
      <c r="U45" s="1401"/>
      <c r="V45" s="1400"/>
    </row>
    <row r="46" spans="1:22">
      <c r="A46" s="1408">
        <v>7</v>
      </c>
      <c r="B46" s="971" t="s">
        <v>553</v>
      </c>
      <c r="D46" s="1407" t="s">
        <v>408</v>
      </c>
      <c r="F46" s="1282">
        <v>0.21</v>
      </c>
      <c r="G46" s="1283" t="s">
        <v>557</v>
      </c>
      <c r="H46" s="1283" t="s">
        <v>581</v>
      </c>
      <c r="I46" s="1284" t="s">
        <v>582</v>
      </c>
      <c r="K46" s="1412"/>
      <c r="L46" s="1392"/>
      <c r="M46" s="1411"/>
      <c r="N46" s="1413"/>
      <c r="O46" s="1392"/>
      <c r="P46" s="1412"/>
      <c r="Q46" s="1392"/>
      <c r="R46" s="1412"/>
      <c r="S46" s="1392"/>
      <c r="T46" s="1411"/>
      <c r="U46" s="1410"/>
      <c r="V46" s="1409" t="e">
        <f>ROUND(INDEX(Tabel4B[Prosumenten met terugdraaiende teller op LS],19),2)</f>
        <v>#DIV/0!</v>
      </c>
    </row>
    <row r="47" spans="1:22">
      <c r="A47" s="1408"/>
      <c r="B47" s="976"/>
      <c r="D47" s="1407"/>
      <c r="F47" s="1290"/>
      <c r="G47" s="1283"/>
      <c r="H47" s="1283"/>
      <c r="I47" s="1284"/>
      <c r="K47" s="1406"/>
      <c r="L47" s="1392"/>
      <c r="M47" s="1405"/>
      <c r="N47" s="1404"/>
      <c r="O47" s="1392"/>
      <c r="P47" s="1403"/>
      <c r="Q47" s="1392"/>
      <c r="R47" s="1403"/>
      <c r="S47" s="1392"/>
      <c r="T47" s="1402"/>
      <c r="U47" s="1401"/>
      <c r="V47" s="1400"/>
    </row>
    <row r="48" spans="1:22" ht="15" thickBot="1">
      <c r="A48" s="1399"/>
      <c r="B48" s="1398" t="s">
        <v>423</v>
      </c>
      <c r="C48" s="1397"/>
      <c r="D48" s="1396" t="s">
        <v>379</v>
      </c>
      <c r="F48" s="1294">
        <v>0.21</v>
      </c>
      <c r="G48" s="1295" t="s">
        <v>557</v>
      </c>
      <c r="H48" s="1295" t="s">
        <v>583</v>
      </c>
      <c r="I48" s="1296" t="s">
        <v>584</v>
      </c>
      <c r="K48" s="1393">
        <f>'Max Afname TRHS'!$N$15</f>
        <v>0</v>
      </c>
      <c r="L48" s="1392"/>
      <c r="M48" s="1395">
        <f>'Max Afname TRHS'!$N$15</f>
        <v>0</v>
      </c>
      <c r="N48" s="1394">
        <f>'Max Afname MS'!$N$15</f>
        <v>0</v>
      </c>
      <c r="O48" s="1392"/>
      <c r="P48" s="1393">
        <f>'Max Afname MS'!$N$15</f>
        <v>0</v>
      </c>
      <c r="Q48" s="1392"/>
      <c r="R48" s="1393">
        <f>'Max Afname TRLS'!$N$15</f>
        <v>0</v>
      </c>
      <c r="S48" s="1392"/>
      <c r="T48" s="1391">
        <f>'Max Afname LS'!$K$14</f>
        <v>0</v>
      </c>
      <c r="U48" s="1390"/>
      <c r="V48" s="1389"/>
    </row>
    <row r="49" spans="1:38" s="634" customFormat="1" ht="15.75" customHeight="1" thickBot="1">
      <c r="A49" s="1234"/>
      <c r="B49" s="1239"/>
      <c r="D49" s="1240"/>
      <c r="E49" s="1240"/>
      <c r="F49" s="1240"/>
      <c r="G49" s="1240"/>
      <c r="H49" s="1240"/>
      <c r="I49" s="1240"/>
      <c r="M49" s="56"/>
      <c r="N49" s="56"/>
    </row>
    <row r="50" spans="1:38" s="634" customFormat="1" ht="15.75" customHeight="1">
      <c r="A50" s="1946" t="s">
        <v>611</v>
      </c>
      <c r="B50" s="1258" t="s">
        <v>435</v>
      </c>
      <c r="C50" s="1259"/>
      <c r="D50" s="1260"/>
      <c r="E50" s="1240"/>
      <c r="F50" s="1316"/>
      <c r="G50" s="1311"/>
      <c r="H50" s="1314" t="s">
        <v>619</v>
      </c>
      <c r="I50" s="1306" t="s">
        <v>620</v>
      </c>
      <c r="K50" s="1303"/>
      <c r="M50" s="1334"/>
      <c r="N50" s="1335"/>
      <c r="P50" s="1303"/>
      <c r="R50" s="1303"/>
      <c r="T50" s="1340"/>
      <c r="U50" s="1259"/>
      <c r="V50" s="1341"/>
      <c r="W50" s="1256"/>
    </row>
    <row r="51" spans="1:38" s="634" customFormat="1" ht="15.75" customHeight="1">
      <c r="A51" s="1947"/>
      <c r="B51" s="1261" t="s">
        <v>434</v>
      </c>
      <c r="C51" s="1262"/>
      <c r="D51" s="1263"/>
      <c r="E51" s="1240"/>
      <c r="F51" s="1317"/>
      <c r="G51" s="1312"/>
      <c r="H51" s="1283" t="s">
        <v>621</v>
      </c>
      <c r="I51" s="1284" t="s">
        <v>622</v>
      </c>
      <c r="K51" s="1304"/>
      <c r="M51" s="1336"/>
      <c r="N51" s="1337"/>
      <c r="P51" s="1304"/>
      <c r="R51" s="1304"/>
      <c r="T51" s="1342"/>
      <c r="U51" s="1262"/>
      <c r="V51" s="1343"/>
      <c r="W51" s="1256"/>
    </row>
    <row r="52" spans="1:38" s="634" customFormat="1" ht="15.75" customHeight="1">
      <c r="A52" s="1947"/>
      <c r="B52" s="1261" t="s">
        <v>612</v>
      </c>
      <c r="C52" s="1262"/>
      <c r="D52" s="1263"/>
      <c r="E52" s="1240"/>
      <c r="F52" s="1317"/>
      <c r="G52" s="1312"/>
      <c r="H52" s="1283" t="s">
        <v>623</v>
      </c>
      <c r="I52" s="1284" t="s">
        <v>624</v>
      </c>
      <c r="K52" s="1304"/>
      <c r="M52" s="1336"/>
      <c r="N52" s="1337"/>
      <c r="P52" s="1304"/>
      <c r="R52" s="1304"/>
      <c r="T52" s="1342"/>
      <c r="U52" s="1262"/>
      <c r="V52" s="1343"/>
      <c r="W52" s="1256"/>
    </row>
    <row r="53" spans="1:38" s="634" customFormat="1" ht="15.75" customHeight="1">
      <c r="A53" s="1947"/>
      <c r="B53" s="1261" t="s">
        <v>431</v>
      </c>
      <c r="C53" s="1262"/>
      <c r="D53" s="1263"/>
      <c r="E53" s="1240"/>
      <c r="F53" s="1317"/>
      <c r="G53" s="1312"/>
      <c r="H53" s="1283" t="s">
        <v>621</v>
      </c>
      <c r="I53" s="1284" t="s">
        <v>622</v>
      </c>
      <c r="K53" s="1304"/>
      <c r="M53" s="1336"/>
      <c r="N53" s="1337"/>
      <c r="P53" s="1304"/>
      <c r="R53" s="1304"/>
      <c r="T53" s="1342"/>
      <c r="U53" s="1262"/>
      <c r="V53" s="1343"/>
      <c r="W53" s="1256"/>
    </row>
    <row r="54" spans="1:38" s="634" customFormat="1" ht="15.75" customHeight="1">
      <c r="A54" s="1947"/>
      <c r="B54" s="1261" t="s">
        <v>613</v>
      </c>
      <c r="C54" s="1262"/>
      <c r="D54" s="1263"/>
      <c r="E54" s="1240"/>
      <c r="F54" s="1317"/>
      <c r="G54" s="1312"/>
      <c r="H54" s="1283" t="s">
        <v>625</v>
      </c>
      <c r="I54" s="1284" t="s">
        <v>626</v>
      </c>
      <c r="K54" s="1304"/>
      <c r="M54" s="1336"/>
      <c r="N54" s="1337"/>
      <c r="P54" s="1304"/>
      <c r="R54" s="1304"/>
      <c r="T54" s="1342"/>
      <c r="U54" s="1262"/>
      <c r="V54" s="1343"/>
      <c r="W54" s="1256"/>
    </row>
    <row r="55" spans="1:38" s="634" customFormat="1" ht="15.75" customHeight="1">
      <c r="A55" s="1947"/>
      <c r="B55" s="1261" t="s">
        <v>614</v>
      </c>
      <c r="C55" s="1262"/>
      <c r="D55" s="1263"/>
      <c r="E55" s="1240"/>
      <c r="F55" s="1317"/>
      <c r="G55" s="1312"/>
      <c r="H55" s="1283" t="s">
        <v>627</v>
      </c>
      <c r="I55" s="1284" t="s">
        <v>628</v>
      </c>
      <c r="K55" s="1304"/>
      <c r="M55" s="1336"/>
      <c r="N55" s="1337"/>
      <c r="P55" s="1304"/>
      <c r="R55" s="1304"/>
      <c r="T55" s="1342"/>
      <c r="U55" s="1262"/>
      <c r="V55" s="1343"/>
      <c r="W55" s="1256"/>
    </row>
    <row r="56" spans="1:38" s="634" customFormat="1" ht="15.75" customHeight="1">
      <c r="A56" s="1947"/>
      <c r="B56" s="1261" t="s">
        <v>615</v>
      </c>
      <c r="C56" s="1262"/>
      <c r="D56" s="1263"/>
      <c r="E56" s="1240"/>
      <c r="F56" s="1317"/>
      <c r="G56" s="1312"/>
      <c r="H56" s="1283" t="s">
        <v>629</v>
      </c>
      <c r="I56" s="1284" t="s">
        <v>630</v>
      </c>
      <c r="K56" s="1304"/>
      <c r="M56" s="1336"/>
      <c r="N56" s="1337"/>
      <c r="P56" s="1304"/>
      <c r="R56" s="1304"/>
      <c r="T56" s="1342"/>
      <c r="U56" s="1262"/>
      <c r="V56" s="1343"/>
      <c r="W56" s="1256"/>
    </row>
    <row r="57" spans="1:38" s="634" customFormat="1" ht="15.75" customHeight="1">
      <c r="A57" s="1947"/>
      <c r="B57" s="1261" t="s">
        <v>616</v>
      </c>
      <c r="C57" s="1262"/>
      <c r="D57" s="1263"/>
      <c r="E57" s="1240"/>
      <c r="F57" s="1317"/>
      <c r="G57" s="1312"/>
      <c r="H57" s="1283" t="s">
        <v>631</v>
      </c>
      <c r="I57" s="1284" t="s">
        <v>632</v>
      </c>
      <c r="K57" s="1304"/>
      <c r="M57" s="1336"/>
      <c r="N57" s="1337"/>
      <c r="P57" s="1304"/>
      <c r="R57" s="1304"/>
      <c r="T57" s="1342"/>
      <c r="U57" s="1262"/>
      <c r="V57" s="1343"/>
      <c r="W57" s="1256"/>
    </row>
    <row r="58" spans="1:38" s="634" customFormat="1" ht="15.75" customHeight="1">
      <c r="A58" s="1947"/>
      <c r="B58" s="1261" t="s">
        <v>617</v>
      </c>
      <c r="C58" s="1262"/>
      <c r="D58" s="1263"/>
      <c r="E58" s="1240"/>
      <c r="F58" s="1317"/>
      <c r="G58" s="1312"/>
      <c r="H58" s="1283" t="s">
        <v>633</v>
      </c>
      <c r="I58" s="1284" t="s">
        <v>634</v>
      </c>
      <c r="K58" s="1304"/>
      <c r="M58" s="1336"/>
      <c r="N58" s="1337"/>
      <c r="P58" s="1304"/>
      <c r="R58" s="1304"/>
      <c r="T58" s="1342"/>
      <c r="U58" s="1262"/>
      <c r="V58" s="1343"/>
      <c r="W58" s="1256"/>
    </row>
    <row r="59" spans="1:38" s="634" customFormat="1" ht="15.75" customHeight="1" thickBot="1">
      <c r="A59" s="1949"/>
      <c r="B59" s="1308" t="s">
        <v>618</v>
      </c>
      <c r="C59" s="1309"/>
      <c r="D59" s="1310"/>
      <c r="E59" s="1240"/>
      <c r="F59" s="1318"/>
      <c r="G59" s="1313"/>
      <c r="H59" s="1315" t="s">
        <v>635</v>
      </c>
      <c r="I59" s="1307" t="s">
        <v>636</v>
      </c>
      <c r="K59" s="1305"/>
      <c r="M59" s="1338"/>
      <c r="N59" s="1339"/>
      <c r="P59" s="1305"/>
      <c r="R59" s="1305"/>
      <c r="T59" s="1344"/>
      <c r="U59" s="1309"/>
      <c r="V59" s="1345"/>
      <c r="W59" s="1256"/>
    </row>
    <row r="60" spans="1:38" ht="15" thickBot="1">
      <c r="K60" s="634"/>
      <c r="L60" s="634"/>
      <c r="M60" s="56"/>
      <c r="N60" s="56"/>
      <c r="O60" s="634"/>
      <c r="P60" s="634"/>
      <c r="Q60" s="634"/>
      <c r="R60" s="634"/>
      <c r="S60" s="634"/>
      <c r="T60" s="634"/>
      <c r="U60" s="634"/>
      <c r="V60" s="634"/>
      <c r="W60" s="634"/>
      <c r="X60" s="634"/>
      <c r="Y60" s="634"/>
      <c r="Z60" s="634"/>
      <c r="AA60" s="634"/>
      <c r="AB60" s="634"/>
      <c r="AC60" s="634"/>
      <c r="AD60" s="634"/>
      <c r="AE60" s="634"/>
      <c r="AF60" s="634"/>
      <c r="AG60" s="634"/>
      <c r="AH60" s="634"/>
      <c r="AI60" s="634"/>
      <c r="AJ60" s="634"/>
      <c r="AK60" s="634"/>
      <c r="AL60" s="634"/>
    </row>
    <row r="61" spans="1:38" ht="15" thickBot="1">
      <c r="A61" s="1388"/>
      <c r="B61" s="1387" t="s">
        <v>556</v>
      </c>
      <c r="C61" s="1386"/>
      <c r="D61" s="1385"/>
      <c r="E61" s="1365"/>
      <c r="F61" s="1297"/>
      <c r="G61" s="1298"/>
      <c r="H61" s="1298"/>
      <c r="I61" s="1299"/>
      <c r="J61" s="1247"/>
      <c r="K61" s="1382" t="e">
        <f>ROUND('T2'!$M$98,7)</f>
        <v>#VALUE!</v>
      </c>
      <c r="L61" s="1365"/>
      <c r="M61" s="1384" t="e">
        <f>ROUND('T2'!$M$98,7)</f>
        <v>#VALUE!</v>
      </c>
      <c r="N61" s="1383" t="e">
        <f>ROUND('T2'!$N$98,7)</f>
        <v>#VALUE!</v>
      </c>
      <c r="O61" s="1365"/>
      <c r="P61" s="1382" t="e">
        <f>ROUND('T2'!$N$98,7)</f>
        <v>#VALUE!</v>
      </c>
      <c r="Q61" s="1365"/>
      <c r="R61" s="1382" t="e">
        <f>ROUND('T2'!$O$98,7)</f>
        <v>#VALUE!</v>
      </c>
      <c r="S61" s="1365"/>
      <c r="T61" s="1381" t="e">
        <f>ROUND('T2'!$Q$98,7)</f>
        <v>#DIV/0!</v>
      </c>
      <c r="U61" s="1380" t="e">
        <f>ROUND('T2'!$R$98,7)</f>
        <v>#DIV/0!</v>
      </c>
      <c r="V61" s="1379" t="e">
        <f>ROUND('T2'!$R$98,7)</f>
        <v>#DIV/0!</v>
      </c>
    </row>
    <row r="62" spans="1:38" ht="15" thickBot="1">
      <c r="A62" s="1234"/>
      <c r="B62" s="1248"/>
      <c r="C62" s="1247"/>
      <c r="D62" s="1249"/>
      <c r="E62" s="1249"/>
      <c r="F62" s="1249"/>
      <c r="G62" s="1249"/>
      <c r="H62" s="1249"/>
      <c r="I62" s="1249"/>
      <c r="J62" s="1247"/>
      <c r="K62" s="1247"/>
      <c r="L62" s="1247"/>
      <c r="M62" s="1250"/>
      <c r="N62" s="1250"/>
      <c r="O62" s="1247"/>
      <c r="P62" s="1247"/>
      <c r="Q62" s="1247"/>
      <c r="R62" s="1247"/>
      <c r="S62" s="1247"/>
      <c r="T62" s="1247"/>
      <c r="U62" s="1247"/>
      <c r="V62" s="1247"/>
    </row>
    <row r="63" spans="1:38" ht="30.75" customHeight="1" thickBot="1">
      <c r="A63" s="1234"/>
      <c r="B63" s="1248"/>
      <c r="C63" s="1247"/>
      <c r="D63" s="1249"/>
      <c r="E63" s="1249"/>
      <c r="F63" s="1249"/>
      <c r="G63" s="1249"/>
      <c r="H63" s="1249"/>
      <c r="I63" s="1249"/>
      <c r="J63" s="1247"/>
      <c r="K63" s="1247"/>
      <c r="L63" s="1247"/>
      <c r="M63" s="1250"/>
      <c r="N63" s="1250"/>
      <c r="O63" s="1247"/>
      <c r="P63" s="1247"/>
      <c r="Q63" s="1247"/>
      <c r="R63" s="1935" t="s">
        <v>552</v>
      </c>
      <c r="S63" s="1936"/>
      <c r="T63" s="1937"/>
      <c r="U63" s="1937"/>
      <c r="V63" s="1938"/>
    </row>
    <row r="64" spans="1:38" ht="30.75" customHeight="1" thickBot="1">
      <c r="A64" s="1234"/>
      <c r="B64" s="1950" t="s">
        <v>550</v>
      </c>
      <c r="C64" s="1950"/>
      <c r="D64" s="1950"/>
      <c r="E64" s="1950"/>
      <c r="F64" s="1950"/>
      <c r="G64" s="1950"/>
      <c r="H64" s="1950"/>
      <c r="I64" s="1950"/>
      <c r="J64" s="1950"/>
      <c r="K64" s="1950"/>
      <c r="L64" s="1950"/>
      <c r="M64" s="1950"/>
      <c r="N64" s="1950"/>
      <c r="O64" s="1323"/>
      <c r="P64" s="1323"/>
      <c r="Q64" s="1324"/>
      <c r="R64" s="1326" t="s">
        <v>547</v>
      </c>
      <c r="S64" s="1327"/>
      <c r="T64" s="1321" t="s">
        <v>548</v>
      </c>
      <c r="U64" s="1322" t="s">
        <v>549</v>
      </c>
      <c r="V64" s="1325" t="s">
        <v>637</v>
      </c>
    </row>
    <row r="65" spans="1:22">
      <c r="A65" s="1234"/>
      <c r="B65" s="1248"/>
      <c r="C65" s="1247"/>
      <c r="D65" s="1249"/>
      <c r="E65" s="1249"/>
      <c r="F65" s="1249"/>
      <c r="G65" s="1249"/>
      <c r="H65" s="1249"/>
      <c r="I65" s="1249"/>
      <c r="J65" s="1247"/>
      <c r="K65" s="1247"/>
      <c r="L65" s="1247"/>
      <c r="M65" s="1250"/>
      <c r="N65" s="1250"/>
      <c r="O65" s="1247"/>
      <c r="P65" s="1247"/>
      <c r="Q65" s="1247"/>
      <c r="R65" s="1328" t="s">
        <v>535</v>
      </c>
      <c r="S65" s="1329"/>
      <c r="T65" s="1251">
        <v>3.6834499999999999E-2</v>
      </c>
      <c r="U65" s="1349" t="e">
        <f>ROUND($T65*$V$46,7)</f>
        <v>#DIV/0!</v>
      </c>
      <c r="V65" s="1350" t="e">
        <f>ROUND($T65*$V$46/_xlfn.DAYS(DATE(JAAR,2,1),DATE(JAAR,1,1))*_xlfn.DAYS(DATE(JAAR+1,1,1),DATE(JAAR,1,1)),7)</f>
        <v>#DIV/0!</v>
      </c>
    </row>
    <row r="66" spans="1:22">
      <c r="A66" s="1353"/>
      <c r="B66" s="1918"/>
      <c r="C66" s="1918"/>
      <c r="D66" s="1918"/>
      <c r="E66" s="1918"/>
      <c r="F66" s="1918"/>
      <c r="G66" s="1918"/>
      <c r="H66" s="1918"/>
      <c r="I66" s="1918"/>
      <c r="J66" s="1918"/>
      <c r="K66" s="1918"/>
      <c r="L66" s="1918"/>
      <c r="M66" s="1918"/>
      <c r="N66" s="1918"/>
      <c r="O66" s="1918"/>
      <c r="P66" s="1918"/>
      <c r="Q66" s="1918"/>
      <c r="R66" s="1330" t="s">
        <v>536</v>
      </c>
      <c r="S66" s="1331"/>
      <c r="T66" s="1251">
        <v>4.5458499999999999E-2</v>
      </c>
      <c r="U66" s="1349" t="e">
        <f t="shared" ref="U66:U76" si="0">ROUND($T66*$V$46,7)</f>
        <v>#DIV/0!</v>
      </c>
      <c r="V66" s="1350" t="e">
        <f>ROUND($T66*$V$46/_xlfn.DAYS(DATE(JAAR,3,1),DATE(JAAR,2,1))*_xlfn.DAYS(DATE(JAAR+1,1,1),DATE(JAAR,1,1)),7)</f>
        <v>#DIV/0!</v>
      </c>
    </row>
    <row r="67" spans="1:22">
      <c r="A67" s="1353"/>
      <c r="B67" s="1918"/>
      <c r="C67" s="1918"/>
      <c r="D67" s="1918"/>
      <c r="E67" s="1918"/>
      <c r="F67" s="1918"/>
      <c r="G67" s="1918"/>
      <c r="H67" s="1918"/>
      <c r="I67" s="1918"/>
      <c r="J67" s="1918"/>
      <c r="K67" s="1918"/>
      <c r="L67" s="1918"/>
      <c r="M67" s="1918"/>
      <c r="N67" s="1918"/>
      <c r="O67" s="1918"/>
      <c r="P67" s="1918"/>
      <c r="Q67" s="1918"/>
      <c r="R67" s="1330" t="s">
        <v>537</v>
      </c>
      <c r="S67" s="1331"/>
      <c r="T67" s="1251">
        <v>7.8414400000000009E-2</v>
      </c>
      <c r="U67" s="1349" t="e">
        <f t="shared" si="0"/>
        <v>#DIV/0!</v>
      </c>
      <c r="V67" s="1350" t="e">
        <f>ROUND($T67*$V$46/_xlfn.DAYS(DATE(JAAR,4,1),DATE(JAAR,3,1))*_xlfn.DAYS(DATE(JAAR+1,1,1),DATE(JAAR,1,1)),7)</f>
        <v>#DIV/0!</v>
      </c>
    </row>
    <row r="68" spans="1:22">
      <c r="A68" s="1353"/>
      <c r="B68" s="1687"/>
      <c r="C68" s="1687"/>
      <c r="D68" s="1687"/>
      <c r="E68" s="1687"/>
      <c r="F68" s="1687"/>
      <c r="G68" s="1687"/>
      <c r="H68" s="1687"/>
      <c r="I68" s="1687"/>
      <c r="J68" s="1687"/>
      <c r="K68" s="1687"/>
      <c r="L68" s="1687"/>
      <c r="M68" s="1687"/>
      <c r="N68" s="1687"/>
      <c r="O68" s="1687"/>
      <c r="P68" s="1687"/>
      <c r="Q68" s="1233"/>
      <c r="R68" s="1330" t="s">
        <v>538</v>
      </c>
      <c r="S68" s="1331"/>
      <c r="T68" s="1251">
        <v>0.1067994</v>
      </c>
      <c r="U68" s="1349" t="e">
        <f t="shared" si="0"/>
        <v>#DIV/0!</v>
      </c>
      <c r="V68" s="1350" t="e">
        <f>ROUND($T68*$V$46/_xlfn.DAYS(DATE(JAAR,5,1),DATE(JAAR,4,1))*_xlfn.DAYS(DATE(JAAR+1,1,1),DATE(JAAR,1,1)),7)</f>
        <v>#DIV/0!</v>
      </c>
    </row>
    <row r="69" spans="1:22">
      <c r="A69" s="1353"/>
      <c r="B69" s="1687"/>
      <c r="C69" s="1687"/>
      <c r="D69" s="1687"/>
      <c r="E69" s="1687"/>
      <c r="F69" s="1687"/>
      <c r="G69" s="1687"/>
      <c r="H69" s="1687"/>
      <c r="I69" s="1687"/>
      <c r="J69" s="1687"/>
      <c r="K69" s="1687"/>
      <c r="L69" s="1687"/>
      <c r="M69" s="1687"/>
      <c r="N69" s="1687"/>
      <c r="O69" s="1687"/>
      <c r="P69" s="1687"/>
      <c r="Q69" s="1687"/>
      <c r="R69" s="1330" t="s">
        <v>539</v>
      </c>
      <c r="S69" s="1331"/>
      <c r="T69" s="1251">
        <v>0.12364839999999999</v>
      </c>
      <c r="U69" s="1349" t="e">
        <f t="shared" si="0"/>
        <v>#DIV/0!</v>
      </c>
      <c r="V69" s="1350" t="e">
        <f>ROUND($T69*$V$46/_xlfn.DAYS(DATE(JAAR,6,1),DATE(JAAR,5,1))*_xlfn.DAYS(DATE(JAAR+1,1,1),DATE(JAAR,1,1)),7)</f>
        <v>#DIV/0!</v>
      </c>
    </row>
    <row r="70" spans="1:22">
      <c r="A70" s="1353"/>
      <c r="B70" s="1687"/>
      <c r="C70" s="1687"/>
      <c r="D70" s="1687"/>
      <c r="E70" s="1687"/>
      <c r="F70" s="1687"/>
      <c r="G70" s="1687"/>
      <c r="H70" s="1687"/>
      <c r="I70" s="1687"/>
      <c r="J70" s="1687"/>
      <c r="K70" s="1687"/>
      <c r="L70" s="1687"/>
      <c r="M70" s="1687"/>
      <c r="N70" s="1687"/>
      <c r="O70" s="1687"/>
      <c r="P70" s="1687"/>
      <c r="Q70" s="1233"/>
      <c r="R70" s="1330" t="s">
        <v>540</v>
      </c>
      <c r="S70" s="1331"/>
      <c r="T70" s="1251">
        <v>0.12425950000000001</v>
      </c>
      <c r="U70" s="1349" t="e">
        <f t="shared" si="0"/>
        <v>#DIV/0!</v>
      </c>
      <c r="V70" s="1350" t="e">
        <f>ROUND($T70*$V$46/_xlfn.DAYS(DATE(JAAR,7,1),DATE(JAAR,6,1))*_xlfn.DAYS(DATE(JAAR+1,1,1),DATE(JAAR,1,1)),7)</f>
        <v>#DIV/0!</v>
      </c>
    </row>
    <row r="71" spans="1:22">
      <c r="A71" s="1353"/>
      <c r="B71" s="1687"/>
      <c r="C71" s="1687"/>
      <c r="D71" s="1687"/>
      <c r="E71" s="1687"/>
      <c r="F71" s="1687"/>
      <c r="G71" s="1687"/>
      <c r="H71" s="1687"/>
      <c r="I71" s="1687"/>
      <c r="J71" s="1687"/>
      <c r="K71" s="1687"/>
      <c r="L71" s="1687"/>
      <c r="M71" s="1687"/>
      <c r="N71" s="1687"/>
      <c r="O71" s="1687"/>
      <c r="P71" s="1687"/>
      <c r="Q71" s="1687"/>
      <c r="R71" s="1330" t="s">
        <v>541</v>
      </c>
      <c r="S71" s="1331"/>
      <c r="T71" s="1251">
        <v>0.12672890000000001</v>
      </c>
      <c r="U71" s="1349" t="e">
        <f t="shared" si="0"/>
        <v>#DIV/0!</v>
      </c>
      <c r="V71" s="1350" t="e">
        <f>ROUND($T71*$V$46/_xlfn.DAYS(DATE(JAAR,8,1),DATE(JAAR,7,1))*_xlfn.DAYS(DATE(JAAR+1,1,1),DATE(JAAR,1,1)),7)</f>
        <v>#DIV/0!</v>
      </c>
    </row>
    <row r="72" spans="1:22">
      <c r="A72" s="1353"/>
      <c r="B72" s="1687"/>
      <c r="C72" s="1687"/>
      <c r="D72" s="1687"/>
      <c r="E72" s="1687"/>
      <c r="F72" s="1687"/>
      <c r="G72" s="1687"/>
      <c r="H72" s="1687"/>
      <c r="I72" s="1687"/>
      <c r="J72" s="1687"/>
      <c r="K72" s="1687"/>
      <c r="L72" s="1687"/>
      <c r="M72" s="1687"/>
      <c r="N72" s="1687"/>
      <c r="O72" s="1687"/>
      <c r="P72" s="1687"/>
      <c r="Q72" s="1233"/>
      <c r="R72" s="1330" t="s">
        <v>542</v>
      </c>
      <c r="S72" s="1331"/>
      <c r="T72" s="1251">
        <v>0.1200005</v>
      </c>
      <c r="U72" s="1349" t="e">
        <f t="shared" si="0"/>
        <v>#DIV/0!</v>
      </c>
      <c r="V72" s="1350" t="e">
        <f>ROUND($T72*$V$46/_xlfn.DAYS(DATE(JAAR,9,1),DATE(JAAR,8,1))*_xlfn.DAYS(DATE(JAAR+1,1,1),DATE(JAAR,1,1)),7)</f>
        <v>#DIV/0!</v>
      </c>
    </row>
    <row r="73" spans="1:22">
      <c r="A73" s="1353"/>
      <c r="B73" s="1687"/>
      <c r="C73" s="1687"/>
      <c r="D73" s="1687"/>
      <c r="E73" s="1687"/>
      <c r="F73" s="1687"/>
      <c r="G73" s="1687"/>
      <c r="H73" s="1687"/>
      <c r="I73" s="1687"/>
      <c r="J73" s="1687"/>
      <c r="K73" s="1687"/>
      <c r="L73" s="1687"/>
      <c r="M73" s="1687"/>
      <c r="N73" s="1687"/>
      <c r="O73" s="1687"/>
      <c r="P73" s="1687"/>
      <c r="Q73" s="1125"/>
      <c r="R73" s="1330" t="s">
        <v>543</v>
      </c>
      <c r="S73" s="1331"/>
      <c r="T73" s="1251">
        <v>9.6317199999999992E-2</v>
      </c>
      <c r="U73" s="1349" t="e">
        <f t="shared" si="0"/>
        <v>#DIV/0!</v>
      </c>
      <c r="V73" s="1350" t="e">
        <f>ROUND($T73*$V$46/_xlfn.DAYS(DATE(JAAR,10,1),DATE(JAAR,9,1))*_xlfn.DAYS(DATE(JAAR+1,1,1),DATE(JAAR,1,1)),7)</f>
        <v>#DIV/0!</v>
      </c>
    </row>
    <row r="74" spans="1:22">
      <c r="A74" s="1353"/>
      <c r="B74" s="1687"/>
      <c r="C74" s="1687"/>
      <c r="D74" s="1687"/>
      <c r="E74" s="1687"/>
      <c r="F74" s="1687"/>
      <c r="G74" s="1687"/>
      <c r="H74" s="1687"/>
      <c r="I74" s="1687"/>
      <c r="J74" s="1687"/>
      <c r="K74" s="1687"/>
      <c r="L74" s="1687"/>
      <c r="M74" s="1687"/>
      <c r="N74" s="1687"/>
      <c r="O74" s="1687"/>
      <c r="P74" s="1687"/>
      <c r="Q74" s="1125"/>
      <c r="R74" s="1330" t="s">
        <v>544</v>
      </c>
      <c r="S74" s="1331"/>
      <c r="T74" s="1251">
        <v>7.0233100000000007E-2</v>
      </c>
      <c r="U74" s="1349" t="e">
        <f t="shared" si="0"/>
        <v>#DIV/0!</v>
      </c>
      <c r="V74" s="1350" t="e">
        <f>ROUND($T74*$V$46/_xlfn.DAYS(DATE(JAAR,11,1),DATE(JAAR,10,1))*_xlfn.DAYS(DATE(JAAR+1,1,1),DATE(JAAR,1,1)),7)</f>
        <v>#DIV/0!</v>
      </c>
    </row>
    <row r="75" spans="1:22">
      <c r="A75" s="1353"/>
      <c r="B75" s="1687"/>
      <c r="C75" s="1687"/>
      <c r="D75" s="1687"/>
      <c r="E75" s="1687"/>
      <c r="F75" s="1687"/>
      <c r="G75" s="1687"/>
      <c r="H75" s="1687"/>
      <c r="I75" s="1687"/>
      <c r="J75" s="1687"/>
      <c r="K75" s="1687"/>
      <c r="L75" s="1687"/>
      <c r="M75" s="1687"/>
      <c r="N75" s="1687"/>
      <c r="O75" s="1687"/>
      <c r="P75" s="1687"/>
      <c r="Q75" s="1125"/>
      <c r="R75" s="1330" t="s">
        <v>545</v>
      </c>
      <c r="S75" s="1331"/>
      <c r="T75" s="1251">
        <v>4.1012399999999997E-2</v>
      </c>
      <c r="U75" s="1349" t="e">
        <f t="shared" si="0"/>
        <v>#DIV/0!</v>
      </c>
      <c r="V75" s="1350" t="e">
        <f>ROUND($T75*$V$46/_xlfn.DAYS(DATE(JAAR,12,1),DATE(JAAR,11,1))*_xlfn.DAYS(DATE(JAAR+1,1,1),DATE(JAAR,1,1)),7)</f>
        <v>#DIV/0!</v>
      </c>
    </row>
    <row r="76" spans="1:22" ht="15" thickBot="1">
      <c r="A76" s="1353"/>
      <c r="B76" s="1687"/>
      <c r="C76" s="1687"/>
      <c r="D76" s="1687"/>
      <c r="E76" s="1687"/>
      <c r="F76" s="1687"/>
      <c r="G76" s="1687"/>
      <c r="H76" s="1687"/>
      <c r="I76" s="1687"/>
      <c r="J76" s="1687"/>
      <c r="K76" s="1687"/>
      <c r="L76" s="1687"/>
      <c r="M76" s="1687"/>
      <c r="N76" s="1687"/>
      <c r="O76" s="1687"/>
      <c r="P76" s="1687"/>
      <c r="Q76" s="1125"/>
      <c r="R76" s="1332" t="s">
        <v>546</v>
      </c>
      <c r="S76" s="1333"/>
      <c r="T76" s="1252">
        <v>3.0293199999999999E-2</v>
      </c>
      <c r="U76" s="1351" t="e">
        <f t="shared" si="0"/>
        <v>#DIV/0!</v>
      </c>
      <c r="V76" s="1352" t="e">
        <f>ROUND($T76*$V$46/_xlfn.DAYS(DATE(JAAR+1,1,1),DATE(JAAR,12,1))*_xlfn.DAYS(DATE(JAAR+1,1,1),DATE(JAAR,1,1)),7)</f>
        <v>#DIV/0!</v>
      </c>
    </row>
    <row r="77" spans="1:22">
      <c r="A77" s="1354"/>
      <c r="B77" s="1918"/>
      <c r="C77" s="1918"/>
      <c r="D77" s="1918"/>
      <c r="E77" s="1918"/>
      <c r="F77" s="1918"/>
      <c r="G77" s="1918"/>
      <c r="H77" s="1918"/>
      <c r="I77" s="1918"/>
      <c r="J77" s="1918"/>
      <c r="K77" s="1918"/>
      <c r="L77" s="1918"/>
      <c r="M77" s="1918"/>
      <c r="N77" s="1918"/>
      <c r="O77" s="1918"/>
      <c r="P77" s="1918"/>
      <c r="Q77" s="1125"/>
      <c r="R77" s="1247"/>
      <c r="S77" s="1247"/>
      <c r="T77" s="1247"/>
      <c r="U77" s="1247"/>
      <c r="V77" s="1247"/>
    </row>
    <row r="78" spans="1:22">
      <c r="A78" s="1354"/>
      <c r="B78" s="1918"/>
      <c r="C78" s="1918"/>
      <c r="D78" s="1918"/>
      <c r="E78" s="1918"/>
      <c r="F78" s="1918"/>
      <c r="G78" s="1918"/>
      <c r="H78" s="1918"/>
      <c r="I78" s="1918"/>
      <c r="J78" s="1918"/>
      <c r="K78" s="1918"/>
      <c r="L78" s="1918"/>
      <c r="M78" s="1918"/>
      <c r="N78" s="1918"/>
      <c r="O78" s="1918"/>
      <c r="P78" s="1918"/>
      <c r="Q78" s="1123"/>
      <c r="R78" s="634"/>
      <c r="S78" s="634"/>
      <c r="T78" s="634"/>
      <c r="U78" s="634"/>
      <c r="V78" s="634"/>
    </row>
    <row r="79" spans="1:22">
      <c r="A79" s="1354"/>
      <c r="B79" s="1918"/>
      <c r="C79" s="1918"/>
      <c r="D79" s="1918"/>
      <c r="E79" s="1918"/>
      <c r="F79" s="1918"/>
      <c r="G79" s="1918"/>
      <c r="H79" s="1918"/>
      <c r="I79" s="1918"/>
      <c r="J79" s="1918"/>
      <c r="K79" s="1918"/>
      <c r="L79" s="1918"/>
      <c r="M79" s="1918"/>
      <c r="N79" s="1918"/>
      <c r="O79" s="1918"/>
      <c r="P79" s="1918"/>
      <c r="Q79" s="1123"/>
      <c r="R79" s="634"/>
      <c r="S79" s="634"/>
      <c r="T79" s="634"/>
      <c r="U79" s="634"/>
      <c r="V79" s="634"/>
    </row>
    <row r="80" spans="1:22">
      <c r="A80" s="1354"/>
      <c r="B80" s="1918"/>
      <c r="C80" s="1918"/>
      <c r="D80" s="1918"/>
      <c r="E80" s="1918"/>
      <c r="F80" s="1918"/>
      <c r="G80" s="1918"/>
      <c r="H80" s="1918"/>
      <c r="I80" s="1918"/>
      <c r="J80" s="1918"/>
      <c r="K80" s="1918"/>
      <c r="L80" s="1918"/>
      <c r="M80" s="1918"/>
      <c r="N80" s="1918"/>
      <c r="O80" s="1918"/>
      <c r="P80" s="1918"/>
      <c r="Q80" s="1123"/>
      <c r="R80" s="634"/>
      <c r="S80" s="634"/>
      <c r="T80" s="634"/>
      <c r="U80" s="634"/>
      <c r="V80" s="634"/>
    </row>
    <row r="81" spans="1:22">
      <c r="A81" s="1354"/>
      <c r="B81" s="1918"/>
      <c r="C81" s="1918"/>
      <c r="D81" s="1918"/>
      <c r="E81" s="1918"/>
      <c r="F81" s="1918"/>
      <c r="G81" s="1918"/>
      <c r="H81" s="1918"/>
      <c r="I81" s="1918"/>
      <c r="J81" s="1918"/>
      <c r="K81" s="1918"/>
      <c r="L81" s="1918"/>
      <c r="M81" s="1918"/>
      <c r="N81" s="1918"/>
      <c r="O81" s="1918"/>
      <c r="P81" s="1918"/>
      <c r="Q81" s="1123"/>
      <c r="R81" s="634"/>
      <c r="S81" s="634"/>
      <c r="T81" s="634"/>
      <c r="U81" s="634"/>
      <c r="V81" s="634"/>
    </row>
    <row r="82" spans="1:22">
      <c r="A82" s="1354"/>
      <c r="B82" s="1918"/>
      <c r="C82" s="1918"/>
      <c r="D82" s="1918"/>
      <c r="E82" s="1918"/>
      <c r="F82" s="1918"/>
      <c r="G82" s="1918"/>
      <c r="H82" s="1918"/>
      <c r="I82" s="1918"/>
      <c r="J82" s="1918"/>
      <c r="K82" s="1918"/>
      <c r="L82" s="1918"/>
      <c r="M82" s="1918"/>
      <c r="N82" s="1918"/>
      <c r="O82" s="1918"/>
      <c r="P82" s="1918"/>
      <c r="Q82" s="1123"/>
      <c r="R82" s="634"/>
      <c r="S82" s="634"/>
      <c r="T82" s="634"/>
      <c r="U82" s="634"/>
      <c r="V82" s="634"/>
    </row>
    <row r="83" spans="1:22">
      <c r="A83" s="1354"/>
      <c r="B83" s="1918"/>
      <c r="C83" s="1918"/>
      <c r="D83" s="1918"/>
      <c r="E83" s="1918"/>
      <c r="F83" s="1918"/>
      <c r="G83" s="1918"/>
      <c r="H83" s="1918"/>
      <c r="I83" s="1918"/>
      <c r="J83" s="1918"/>
      <c r="K83" s="1918"/>
      <c r="L83" s="1918"/>
      <c r="M83" s="1918"/>
      <c r="N83" s="1918"/>
      <c r="O83" s="1918"/>
      <c r="P83" s="1918"/>
      <c r="Q83" s="1123"/>
      <c r="R83" s="634"/>
      <c r="S83" s="634"/>
      <c r="T83" s="634"/>
      <c r="U83" s="634"/>
      <c r="V83" s="634"/>
    </row>
    <row r="84" spans="1:22">
      <c r="A84" s="1354"/>
      <c r="B84" s="1918"/>
      <c r="C84" s="1918"/>
      <c r="D84" s="1918"/>
      <c r="E84" s="1918"/>
      <c r="F84" s="1918"/>
      <c r="G84" s="1918"/>
      <c r="H84" s="1918"/>
      <c r="I84" s="1918"/>
      <c r="J84" s="1918"/>
      <c r="K84" s="1918"/>
      <c r="L84" s="1918"/>
      <c r="M84" s="1918"/>
      <c r="N84" s="1918"/>
      <c r="O84" s="1918"/>
      <c r="P84" s="1918"/>
      <c r="Q84" s="1123"/>
      <c r="R84" s="634"/>
      <c r="S84" s="634"/>
      <c r="T84" s="634"/>
      <c r="U84" s="634"/>
      <c r="V84" s="634"/>
    </row>
    <row r="85" spans="1:22">
      <c r="A85" s="1354"/>
      <c r="B85" s="1918"/>
      <c r="C85" s="1918"/>
      <c r="D85" s="1918"/>
      <c r="E85" s="1918"/>
      <c r="F85" s="1918"/>
      <c r="G85" s="1918"/>
      <c r="H85" s="1918"/>
      <c r="I85" s="1918"/>
      <c r="J85" s="1918"/>
      <c r="K85" s="1918"/>
      <c r="L85" s="1918"/>
      <c r="M85" s="1918"/>
      <c r="N85" s="1918"/>
      <c r="O85" s="1918"/>
      <c r="P85" s="1918"/>
      <c r="Q85" s="1123"/>
      <c r="R85" s="634"/>
      <c r="S85" s="634"/>
      <c r="T85" s="634"/>
      <c r="U85" s="634"/>
      <c r="V85" s="634"/>
    </row>
    <row r="86" spans="1:22">
      <c r="A86" s="1234"/>
      <c r="B86" s="1239"/>
      <c r="C86" s="634"/>
      <c r="D86" s="1240"/>
      <c r="E86" s="1240"/>
      <c r="K86" s="634"/>
      <c r="L86" s="634"/>
      <c r="M86" s="56"/>
      <c r="N86" s="56"/>
      <c r="O86" s="634"/>
      <c r="P86" s="634"/>
      <c r="Q86" s="634"/>
      <c r="R86" s="634"/>
      <c r="S86" s="634"/>
      <c r="T86" s="634"/>
      <c r="U86" s="634"/>
      <c r="V86" s="634"/>
    </row>
    <row r="87" spans="1:22">
      <c r="A87" s="1234"/>
      <c r="B87" s="1239"/>
      <c r="C87" s="634"/>
      <c r="D87" s="1240"/>
      <c r="E87" s="1240"/>
      <c r="K87" s="634"/>
      <c r="L87" s="634"/>
      <c r="M87" s="56"/>
      <c r="N87" s="56"/>
      <c r="O87" s="634"/>
      <c r="P87" s="634"/>
      <c r="Q87" s="634"/>
      <c r="R87" s="634"/>
      <c r="S87" s="634"/>
      <c r="T87" s="634"/>
      <c r="U87" s="634"/>
      <c r="V87" s="634"/>
    </row>
    <row r="88" spans="1:22">
      <c r="A88" s="1234"/>
      <c r="B88" s="1239"/>
      <c r="C88" s="634"/>
      <c r="D88" s="1240"/>
      <c r="E88" s="1240"/>
      <c r="K88" s="634"/>
      <c r="L88" s="634"/>
      <c r="M88" s="56"/>
      <c r="N88" s="56"/>
      <c r="O88" s="634"/>
      <c r="P88" s="634"/>
      <c r="Q88" s="634"/>
      <c r="R88" s="634"/>
      <c r="S88" s="634"/>
      <c r="T88" s="634"/>
      <c r="U88" s="634"/>
      <c r="V88" s="634"/>
    </row>
    <row r="89" spans="1:22">
      <c r="A89" s="1234"/>
      <c r="B89" s="1239"/>
      <c r="C89" s="634"/>
      <c r="D89" s="1240"/>
      <c r="E89" s="1240"/>
      <c r="K89" s="634"/>
      <c r="L89" s="634"/>
      <c r="M89" s="56"/>
      <c r="N89" s="56"/>
      <c r="O89" s="634"/>
      <c r="P89" s="634"/>
      <c r="Q89" s="634"/>
      <c r="R89" s="634"/>
      <c r="S89" s="634"/>
      <c r="T89" s="634"/>
      <c r="U89" s="634"/>
      <c r="V89" s="634"/>
    </row>
    <row r="90" spans="1:22">
      <c r="A90" s="1234"/>
      <c r="B90" s="1239"/>
      <c r="C90" s="634"/>
      <c r="D90" s="1240"/>
      <c r="E90" s="1240"/>
      <c r="K90" s="634"/>
      <c r="L90" s="634"/>
      <c r="M90" s="56"/>
      <c r="N90" s="56"/>
      <c r="O90" s="634"/>
      <c r="P90" s="634"/>
      <c r="Q90" s="634"/>
      <c r="R90" s="634"/>
      <c r="S90" s="634"/>
      <c r="T90" s="634"/>
      <c r="U90" s="634"/>
      <c r="V90" s="634"/>
    </row>
    <row r="91" spans="1:22">
      <c r="A91" s="1234"/>
      <c r="B91" s="1239"/>
      <c r="C91" s="634"/>
      <c r="D91" s="1240"/>
      <c r="E91" s="1240"/>
      <c r="K91" s="634"/>
      <c r="L91" s="634"/>
      <c r="M91" s="56"/>
      <c r="N91" s="56"/>
      <c r="O91" s="634"/>
      <c r="P91" s="634"/>
      <c r="Q91" s="634"/>
      <c r="R91" s="634"/>
      <c r="S91" s="634"/>
      <c r="T91" s="634"/>
      <c r="U91" s="634"/>
      <c r="V91" s="634"/>
    </row>
    <row r="92" spans="1:22">
      <c r="A92" s="1234"/>
      <c r="B92" s="1239"/>
      <c r="C92" s="634"/>
      <c r="D92" s="1240"/>
      <c r="E92" s="1240"/>
      <c r="K92" s="634"/>
      <c r="L92" s="634"/>
      <c r="M92" s="56"/>
      <c r="N92" s="56"/>
      <c r="O92" s="634"/>
      <c r="P92" s="634"/>
      <c r="Q92" s="634"/>
      <c r="R92" s="634"/>
      <c r="S92" s="634"/>
      <c r="T92" s="634"/>
      <c r="U92" s="634"/>
      <c r="V92" s="634"/>
    </row>
    <row r="93" spans="1:22">
      <c r="A93" s="1234"/>
      <c r="B93" s="1239"/>
      <c r="C93" s="634"/>
      <c r="D93" s="1240"/>
      <c r="E93" s="1240"/>
      <c r="K93" s="634"/>
      <c r="L93" s="634"/>
      <c r="M93" s="56"/>
      <c r="N93" s="56"/>
      <c r="O93" s="634"/>
      <c r="P93" s="634"/>
      <c r="Q93" s="634"/>
      <c r="R93" s="634"/>
      <c r="S93" s="634"/>
      <c r="T93" s="634"/>
      <c r="U93" s="634"/>
      <c r="V93" s="634"/>
    </row>
    <row r="94" spans="1:22">
      <c r="A94" s="1234"/>
      <c r="B94" s="1239"/>
      <c r="C94" s="634"/>
      <c r="D94" s="1240"/>
      <c r="E94" s="1240"/>
      <c r="K94" s="634"/>
      <c r="L94" s="634"/>
      <c r="M94" s="56"/>
      <c r="N94" s="56"/>
      <c r="O94" s="634"/>
      <c r="P94" s="634"/>
      <c r="Q94" s="634"/>
      <c r="R94" s="634"/>
      <c r="S94" s="634"/>
      <c r="T94" s="634"/>
      <c r="U94" s="634"/>
      <c r="V94" s="634"/>
    </row>
    <row r="95" spans="1:22">
      <c r="A95" s="1234"/>
      <c r="B95" s="1239"/>
      <c r="C95" s="634"/>
      <c r="D95" s="1240"/>
      <c r="E95" s="1240"/>
      <c r="K95" s="634"/>
      <c r="L95" s="634"/>
      <c r="M95" s="56"/>
      <c r="N95" s="56"/>
      <c r="O95" s="634"/>
      <c r="P95" s="634"/>
      <c r="Q95" s="634"/>
      <c r="R95" s="634"/>
      <c r="S95" s="634"/>
      <c r="T95" s="634"/>
      <c r="U95" s="634"/>
      <c r="V95" s="634"/>
    </row>
    <row r="96" spans="1:22">
      <c r="A96" s="1234"/>
      <c r="B96" s="1239"/>
      <c r="C96" s="634"/>
      <c r="D96" s="1240"/>
      <c r="E96" s="1240"/>
      <c r="K96" s="634"/>
      <c r="L96" s="634"/>
      <c r="M96" s="56"/>
      <c r="N96" s="56"/>
      <c r="O96" s="634"/>
      <c r="P96" s="634"/>
      <c r="Q96" s="634"/>
      <c r="R96" s="634"/>
      <c r="S96" s="634"/>
      <c r="T96" s="634"/>
      <c r="U96" s="634"/>
      <c r="V96" s="634"/>
    </row>
    <row r="97" spans="1:22">
      <c r="A97" s="1234"/>
      <c r="B97" s="1239"/>
      <c r="C97" s="634"/>
      <c r="D97" s="1240"/>
      <c r="E97" s="1240"/>
      <c r="K97" s="634"/>
      <c r="L97" s="634"/>
      <c r="M97" s="56"/>
      <c r="N97" s="56"/>
      <c r="O97" s="634"/>
      <c r="P97" s="634"/>
      <c r="Q97" s="634"/>
      <c r="R97" s="634"/>
      <c r="S97" s="634"/>
      <c r="T97" s="634"/>
      <c r="U97" s="634"/>
      <c r="V97" s="634"/>
    </row>
    <row r="98" spans="1:22">
      <c r="A98" s="1234"/>
      <c r="B98" s="1239"/>
      <c r="C98" s="634"/>
      <c r="D98" s="1240"/>
      <c r="E98" s="1240"/>
      <c r="K98" s="634"/>
      <c r="L98" s="634"/>
      <c r="M98" s="56"/>
      <c r="N98" s="56"/>
      <c r="O98" s="634"/>
      <c r="P98" s="634"/>
      <c r="Q98" s="634"/>
      <c r="R98" s="634"/>
      <c r="S98" s="634"/>
      <c r="T98" s="634"/>
      <c r="U98" s="634"/>
      <c r="V98" s="634"/>
    </row>
    <row r="99" spans="1:22">
      <c r="A99" s="1234"/>
      <c r="B99" s="1239"/>
      <c r="C99" s="634"/>
      <c r="D99" s="1240"/>
      <c r="E99" s="1240"/>
      <c r="K99" s="634"/>
      <c r="L99" s="634"/>
      <c r="M99" s="56"/>
      <c r="N99" s="56"/>
      <c r="O99" s="634"/>
      <c r="P99" s="634"/>
      <c r="Q99" s="634"/>
      <c r="R99" s="634"/>
      <c r="S99" s="634"/>
      <c r="T99" s="634"/>
      <c r="U99" s="634"/>
      <c r="V99" s="634"/>
    </row>
    <row r="100" spans="1:22">
      <c r="A100" s="1234"/>
      <c r="B100" s="1239"/>
      <c r="C100" s="634"/>
      <c r="D100" s="1240"/>
      <c r="E100" s="1240"/>
      <c r="K100" s="634"/>
      <c r="L100" s="634"/>
      <c r="M100" s="56"/>
      <c r="N100" s="56"/>
      <c r="O100" s="634"/>
      <c r="P100" s="634"/>
      <c r="Q100" s="634"/>
      <c r="R100" s="634"/>
      <c r="S100" s="634"/>
      <c r="T100" s="634"/>
      <c r="U100" s="634"/>
      <c r="V100" s="634"/>
    </row>
    <row r="101" spans="1:22">
      <c r="A101" s="1234"/>
      <c r="B101" s="1239"/>
      <c r="C101" s="634"/>
      <c r="D101" s="1240"/>
      <c r="E101" s="1240"/>
      <c r="K101" s="634"/>
      <c r="L101" s="634"/>
      <c r="M101" s="56"/>
      <c r="N101" s="56"/>
      <c r="O101" s="634"/>
      <c r="P101" s="634"/>
      <c r="Q101" s="634"/>
      <c r="R101" s="634"/>
      <c r="S101" s="634"/>
      <c r="T101" s="634"/>
      <c r="U101" s="634"/>
      <c r="V101" s="634"/>
    </row>
    <row r="102" spans="1:22">
      <c r="A102" s="1234"/>
      <c r="B102" s="1239"/>
      <c r="C102" s="634"/>
      <c r="D102" s="1240"/>
      <c r="E102" s="1240"/>
      <c r="K102" s="634"/>
      <c r="L102" s="634"/>
      <c r="M102" s="56"/>
      <c r="N102" s="56"/>
      <c r="O102" s="634"/>
      <c r="P102" s="634"/>
      <c r="Q102" s="634"/>
      <c r="R102" s="634"/>
      <c r="S102" s="634"/>
      <c r="T102" s="634"/>
      <c r="U102" s="634"/>
      <c r="V102" s="634"/>
    </row>
  </sheetData>
  <sheetProtection algorithmName="SHA-512" hashValue="YOZa51rjnAus02z2rmw3B3GarOHan/VUAQcMvZpaaWspN/DVas+ymK22rF6rENWKl712IJGN4BtuqoWTm1kWmA==" saltValue="SZYg+eWljU3cyYL9F1vD6w==" spinCount="100000" sheet="1" objects="1" scenarios="1"/>
  <mergeCells count="26">
    <mergeCell ref="B85:P85"/>
    <mergeCell ref="B84:P84"/>
    <mergeCell ref="A7:A11"/>
    <mergeCell ref="A50:A59"/>
    <mergeCell ref="B64:N64"/>
    <mergeCell ref="B78:P78"/>
    <mergeCell ref="B79:P79"/>
    <mergeCell ref="B80:P80"/>
    <mergeCell ref="B81:P81"/>
    <mergeCell ref="B82:P82"/>
    <mergeCell ref="B83:P83"/>
    <mergeCell ref="B28:D28"/>
    <mergeCell ref="B66:Q66"/>
    <mergeCell ref="B67:Q67"/>
    <mergeCell ref="B77:P77"/>
    <mergeCell ref="R63:V63"/>
    <mergeCell ref="A1:V1"/>
    <mergeCell ref="M4:N4"/>
    <mergeCell ref="T4:V4"/>
    <mergeCell ref="B14:D14"/>
    <mergeCell ref="B21:D21"/>
    <mergeCell ref="B25:D25"/>
    <mergeCell ref="F4:F5"/>
    <mergeCell ref="G4:G5"/>
    <mergeCell ref="H4:H5"/>
    <mergeCell ref="I4:I5"/>
  </mergeCells>
  <pageMargins left="0.70866141732283472" right="0.70866141732283472" top="0.74803149606299213" bottom="0.74803149606299213" header="0.31496062992125984" footer="0.31496062992125984"/>
  <pageSetup paperSize="9" scale="46"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FA959-92AB-4707-AF7B-5378C847739C}">
  <sheetPr published="0">
    <pageSetUpPr fitToPage="1"/>
  </sheetPr>
  <dimension ref="A1:Q94"/>
  <sheetViews>
    <sheetView showGridLines="0" zoomScaleNormal="100" workbookViewId="0">
      <selection activeCell="B1" sqref="B1:E1"/>
    </sheetView>
  </sheetViews>
  <sheetFormatPr defaultColWidth="9.1796875" defaultRowHeight="14.5"/>
  <cols>
    <col min="1" max="1" width="3.453125" style="982" customWidth="1"/>
    <col min="2" max="2" width="108.81640625" style="973" customWidth="1"/>
    <col min="3" max="3" width="2.54296875" style="1" customWidth="1"/>
    <col min="4" max="4" width="15.54296875" style="973" customWidth="1"/>
    <col min="5" max="5" width="15.54296875" style="979" customWidth="1"/>
    <col min="6" max="16384" width="9.1796875" style="1"/>
  </cols>
  <sheetData>
    <row r="1" spans="1:17" ht="16" thickBot="1">
      <c r="A1" s="980"/>
      <c r="B1" s="1952" t="str">
        <f>DNB&amp;" - ELEKTRICITEIT - Tarieflijst periodieke distributienettarieven "&amp;JAAR&amp;" - Afname"</f>
        <v>Naam distributienetbeheerder - ELEKTRICITEIT - Tarieflijst periodieke distributienettarieven  - Afname</v>
      </c>
      <c r="C1" s="1952"/>
      <c r="D1" s="1952"/>
      <c r="E1" s="1953"/>
      <c r="F1" s="981"/>
      <c r="G1" s="981"/>
      <c r="H1" s="981"/>
      <c r="I1" s="981"/>
      <c r="J1" s="981"/>
      <c r="K1" s="981"/>
      <c r="L1" s="981"/>
      <c r="M1" s="981"/>
      <c r="N1" s="981"/>
      <c r="O1" s="981"/>
      <c r="P1" s="981"/>
      <c r="Q1" s="981"/>
    </row>
    <row r="2" spans="1:17" ht="15" thickBot="1"/>
    <row r="3" spans="1:17" ht="15" thickBot="1">
      <c r="A3" s="1954" t="s">
        <v>397</v>
      </c>
      <c r="B3" s="1955"/>
      <c r="C3" s="983"/>
      <c r="D3" s="984" t="s">
        <v>396</v>
      </c>
      <c r="E3" s="985" t="s">
        <v>395</v>
      </c>
    </row>
    <row r="4" spans="1:17">
      <c r="A4" s="977" t="s">
        <v>394</v>
      </c>
      <c r="C4" s="986"/>
      <c r="D4" s="987"/>
      <c r="E4" s="563"/>
    </row>
    <row r="5" spans="1:17" ht="15" thickBot="1">
      <c r="B5" s="982"/>
      <c r="C5" s="972"/>
      <c r="D5" s="987"/>
      <c r="E5" s="563"/>
    </row>
    <row r="6" spans="1:17">
      <c r="A6" s="988">
        <v>1</v>
      </c>
      <c r="B6" s="989" t="s">
        <v>554</v>
      </c>
      <c r="C6" s="990"/>
      <c r="D6" s="991"/>
      <c r="E6" s="992"/>
    </row>
    <row r="7" spans="1:17">
      <c r="A7" s="1355" t="s">
        <v>393</v>
      </c>
      <c r="B7" s="1356" t="s">
        <v>392</v>
      </c>
      <c r="D7" s="995" t="e">
        <f>ROUND(INDEX(Tabel4B[Afnameklanten op TRHS],1),7)</f>
        <v>#VALUE!</v>
      </c>
      <c r="E7" s="1120" t="s">
        <v>521</v>
      </c>
      <c r="F7" s="997"/>
    </row>
    <row r="8" spans="1:17" ht="15" customHeight="1">
      <c r="A8" s="993"/>
      <c r="B8" s="1128" t="s">
        <v>523</v>
      </c>
      <c r="D8" s="1126" t="e">
        <f>ROUND($D$7*12,7)</f>
        <v>#VALUE!</v>
      </c>
      <c r="E8" s="1127" t="s">
        <v>391</v>
      </c>
      <c r="F8" s="997"/>
    </row>
    <row r="9" spans="1:17">
      <c r="A9" s="1355" t="s">
        <v>390</v>
      </c>
      <c r="B9" s="1356" t="s">
        <v>389</v>
      </c>
      <c r="D9" s="995" t="e">
        <f>ROUND(INDEX(Tabel4B[Afnameklanten op TRHS],2),7)</f>
        <v>#VALUE!</v>
      </c>
      <c r="E9" s="996" t="s">
        <v>387</v>
      </c>
      <c r="F9" s="997"/>
    </row>
    <row r="10" spans="1:17">
      <c r="A10" s="1355"/>
      <c r="B10" s="1128" t="s">
        <v>523</v>
      </c>
      <c r="D10" s="1126" t="e">
        <f>ROUND($D$9*12,7)</f>
        <v>#VALUE!</v>
      </c>
      <c r="E10" s="1127" t="s">
        <v>391</v>
      </c>
      <c r="F10" s="997"/>
    </row>
    <row r="11" spans="1:17" ht="15" customHeight="1">
      <c r="A11" s="1355" t="s">
        <v>388</v>
      </c>
      <c r="B11" s="1956" t="s">
        <v>639</v>
      </c>
      <c r="C11" s="999"/>
      <c r="D11" s="995" t="e">
        <f>ROUND(INDEX(Tabel4B[Afnameklanten op TRHS],3),7)</f>
        <v>#VALUE!</v>
      </c>
      <c r="E11" s="996" t="s">
        <v>387</v>
      </c>
      <c r="F11" s="997"/>
    </row>
    <row r="12" spans="1:17" ht="30" customHeight="1">
      <c r="A12" s="1355"/>
      <c r="B12" s="1956"/>
      <c r="C12" s="999"/>
      <c r="D12" s="1130" t="e">
        <f>ROUND($D$11*12,7)</f>
        <v>#VALUE!</v>
      </c>
      <c r="E12" s="1131" t="s">
        <v>391</v>
      </c>
      <c r="F12" s="997"/>
    </row>
    <row r="13" spans="1:17">
      <c r="A13" s="993"/>
      <c r="B13" s="998"/>
      <c r="C13" s="999"/>
      <c r="D13" s="501"/>
      <c r="E13" s="996"/>
      <c r="F13" s="997"/>
    </row>
    <row r="14" spans="1:17">
      <c r="A14" s="993">
        <v>2</v>
      </c>
      <c r="B14" s="1000" t="s">
        <v>641</v>
      </c>
      <c r="C14" s="972"/>
      <c r="D14" s="501"/>
      <c r="E14" s="996"/>
    </row>
    <row r="15" spans="1:17">
      <c r="A15" s="993"/>
      <c r="B15" s="994" t="s">
        <v>385</v>
      </c>
      <c r="D15" s="1134">
        <v>0.32900000000000001</v>
      </c>
      <c r="E15" s="996"/>
    </row>
    <row r="16" spans="1:17" ht="39" customHeight="1">
      <c r="A16" s="993"/>
      <c r="B16" s="998" t="s">
        <v>642</v>
      </c>
      <c r="C16" s="565"/>
      <c r="D16" s="1015" t="e">
        <f>ROUND(INDEX(Tabel4B[Afnameklanten op TRHS],8),7)</f>
        <v>#VALUE!</v>
      </c>
      <c r="E16" s="994" t="s">
        <v>534</v>
      </c>
    </row>
    <row r="17" spans="1:6">
      <c r="A17" s="993"/>
      <c r="B17" s="994"/>
      <c r="D17" s="501"/>
      <c r="E17" s="996"/>
    </row>
    <row r="18" spans="1:6">
      <c r="A18" s="993">
        <v>3</v>
      </c>
      <c r="B18" s="1000" t="s">
        <v>383</v>
      </c>
      <c r="C18" s="972"/>
      <c r="D18" s="501"/>
      <c r="E18" s="996"/>
    </row>
    <row r="19" spans="1:6">
      <c r="A19" s="993"/>
      <c r="B19" s="994" t="s">
        <v>507</v>
      </c>
      <c r="D19" s="1001" t="e">
        <f>ROUND(INDEX(Tabel4B[Afnameklanten op TRHS],9),2)</f>
        <v>#DIV/0!</v>
      </c>
      <c r="E19" s="996" t="s">
        <v>382</v>
      </c>
    </row>
    <row r="20" spans="1:6">
      <c r="A20" s="993"/>
      <c r="B20" s="994"/>
      <c r="D20" s="501"/>
      <c r="E20" s="996"/>
    </row>
    <row r="21" spans="1:6">
      <c r="A21" s="993">
        <v>4</v>
      </c>
      <c r="B21" s="1000" t="s">
        <v>640</v>
      </c>
      <c r="C21" s="972"/>
      <c r="D21" s="995" t="e">
        <f>ROUND(INDEX(Tabel4B[Afnameklanten op TRHS],15),7)</f>
        <v>#VALUE!</v>
      </c>
      <c r="E21" s="996" t="s">
        <v>379</v>
      </c>
    </row>
    <row r="22" spans="1:6">
      <c r="A22" s="993"/>
      <c r="B22" s="1000"/>
      <c r="C22" s="972"/>
      <c r="D22" s="501"/>
      <c r="E22" s="996"/>
    </row>
    <row r="23" spans="1:6">
      <c r="A23" s="993">
        <v>5</v>
      </c>
      <c r="B23" s="1000" t="s">
        <v>381</v>
      </c>
      <c r="C23" s="972"/>
      <c r="D23" s="995" t="e">
        <f>ROUND(INDEX(Tabel4B[Afnameklanten op TRHS],17),7)</f>
        <v>#VALUE!</v>
      </c>
      <c r="E23" s="996" t="s">
        <v>379</v>
      </c>
      <c r="F23" s="997"/>
    </row>
    <row r="24" spans="1:6">
      <c r="A24" s="993"/>
      <c r="B24" s="1000"/>
      <c r="C24" s="972"/>
      <c r="D24" s="501"/>
      <c r="E24" s="996"/>
      <c r="F24" s="997"/>
    </row>
    <row r="25" spans="1:6">
      <c r="A25" s="993">
        <v>6</v>
      </c>
      <c r="B25" s="1000" t="s">
        <v>555</v>
      </c>
      <c r="C25" s="972"/>
      <c r="D25" s="995" t="e">
        <f>ROUND(INDEX(Tabel4B[Afnameklanten op TRHS],18),7)</f>
        <v>#DIV/0!</v>
      </c>
      <c r="E25" s="996" t="s">
        <v>379</v>
      </c>
    </row>
    <row r="26" spans="1:6">
      <c r="A26" s="993"/>
      <c r="B26" s="1000"/>
      <c r="C26" s="972"/>
      <c r="D26" s="501"/>
      <c r="E26" s="996"/>
    </row>
    <row r="27" spans="1:6" ht="15.75" customHeight="1" thickBot="1">
      <c r="A27" s="1002"/>
      <c r="B27" s="1003" t="s">
        <v>380</v>
      </c>
      <c r="C27" s="1004"/>
      <c r="D27" s="1005">
        <f>'Max Afname TRHS'!$N$15</f>
        <v>0</v>
      </c>
      <c r="E27" s="1006" t="s">
        <v>379</v>
      </c>
    </row>
    <row r="28" spans="1:6" ht="15" thickBot="1">
      <c r="A28" s="1357"/>
      <c r="B28" s="1239"/>
      <c r="C28" s="634"/>
      <c r="D28" s="1239"/>
      <c r="E28" s="1245"/>
    </row>
    <row r="29" spans="1:6" ht="15" thickBot="1">
      <c r="A29" s="1388"/>
      <c r="B29" s="1387" t="s">
        <v>556</v>
      </c>
      <c r="C29" s="1466"/>
      <c r="D29" s="1467" t="e">
        <f>ROUND('T2'!$M$98,7)</f>
        <v>#VALUE!</v>
      </c>
      <c r="E29" s="1465"/>
    </row>
    <row r="30" spans="1:6">
      <c r="A30" s="1358"/>
      <c r="B30" s="1360"/>
      <c r="C30" s="1361"/>
      <c r="D30" s="1248"/>
      <c r="E30" s="1359"/>
    </row>
    <row r="31" spans="1:6" ht="30.75" customHeight="1" thickBot="1">
      <c r="A31" s="1358"/>
      <c r="B31" s="1950" t="s">
        <v>550</v>
      </c>
      <c r="C31" s="1950"/>
      <c r="D31" s="1950"/>
      <c r="E31" s="1950"/>
    </row>
    <row r="32" spans="1:6">
      <c r="A32" s="1129"/>
      <c r="B32" s="1951"/>
      <c r="C32" s="1951"/>
      <c r="D32" s="1951"/>
      <c r="E32" s="1951"/>
    </row>
    <row r="33" spans="1:5">
      <c r="A33" s="1129"/>
      <c r="B33" s="1951"/>
      <c r="C33" s="1951"/>
      <c r="D33" s="1951"/>
      <c r="E33" s="1951"/>
    </row>
    <row r="34" spans="1:5">
      <c r="A34" s="1129"/>
      <c r="B34" s="1951"/>
      <c r="C34" s="1951"/>
      <c r="D34" s="1951"/>
      <c r="E34" s="1951"/>
    </row>
    <row r="35" spans="1:5">
      <c r="A35" s="1129"/>
      <c r="B35" s="1951"/>
      <c r="C35" s="1951"/>
      <c r="D35" s="1951"/>
      <c r="E35" s="1951"/>
    </row>
    <row r="36" spans="1:5">
      <c r="A36" s="1129"/>
      <c r="B36" s="1951"/>
      <c r="C36" s="1951"/>
      <c r="D36" s="1951"/>
      <c r="E36" s="1951"/>
    </row>
    <row r="37" spans="1:5">
      <c r="A37" s="1129"/>
      <c r="B37" s="1951"/>
      <c r="C37" s="1951"/>
      <c r="D37" s="1951"/>
      <c r="E37" s="1951"/>
    </row>
    <row r="38" spans="1:5">
      <c r="A38" s="1129"/>
      <c r="B38" s="1951"/>
      <c r="C38" s="1951"/>
      <c r="D38" s="1951"/>
      <c r="E38" s="1951"/>
    </row>
    <row r="39" spans="1:5">
      <c r="A39" s="1129"/>
      <c r="B39" s="1951"/>
      <c r="C39" s="1951"/>
      <c r="D39" s="1951"/>
      <c r="E39" s="1951"/>
    </row>
    <row r="40" spans="1:5">
      <c r="A40" s="1129"/>
      <c r="B40" s="1951"/>
      <c r="C40" s="1951"/>
      <c r="D40" s="1951"/>
      <c r="E40" s="1951"/>
    </row>
    <row r="41" spans="1:5">
      <c r="A41" s="1129"/>
      <c r="B41" s="1951"/>
      <c r="C41" s="1951"/>
      <c r="D41" s="1951"/>
      <c r="E41" s="1951"/>
    </row>
    <row r="42" spans="1:5">
      <c r="A42" s="1129"/>
      <c r="B42" s="1951"/>
      <c r="C42" s="1951"/>
      <c r="D42" s="1951"/>
      <c r="E42" s="1951"/>
    </row>
    <row r="43" spans="1:5">
      <c r="A43" s="1129"/>
      <c r="B43" s="1951"/>
      <c r="C43" s="1951"/>
      <c r="D43" s="1951"/>
      <c r="E43" s="1951"/>
    </row>
    <row r="44" spans="1:5">
      <c r="A44" s="1129"/>
      <c r="B44" s="1951"/>
      <c r="C44" s="1951"/>
      <c r="D44" s="1951"/>
      <c r="E44" s="1951"/>
    </row>
    <row r="45" spans="1:5">
      <c r="A45" s="1129"/>
      <c r="B45" s="1951"/>
      <c r="C45" s="1951"/>
      <c r="D45" s="1951"/>
      <c r="E45" s="1951"/>
    </row>
    <row r="46" spans="1:5">
      <c r="A46" s="1129"/>
      <c r="B46" s="1951"/>
      <c r="C46" s="1951"/>
      <c r="D46" s="1951"/>
      <c r="E46" s="1951"/>
    </row>
    <row r="47" spans="1:5">
      <c r="A47" s="1129"/>
      <c r="B47" s="1951"/>
      <c r="C47" s="1951"/>
      <c r="D47" s="1951"/>
      <c r="E47" s="1951"/>
    </row>
    <row r="48" spans="1:5">
      <c r="A48" s="1129"/>
      <c r="B48" s="1951"/>
      <c r="C48" s="1951"/>
      <c r="D48" s="1951"/>
      <c r="E48" s="1951"/>
    </row>
    <row r="49" spans="1:6" s="972" customFormat="1">
      <c r="A49" s="1132"/>
      <c r="B49" s="1951"/>
      <c r="C49" s="1951"/>
      <c r="D49" s="1951"/>
      <c r="E49" s="1951"/>
      <c r="F49" s="1"/>
    </row>
    <row r="50" spans="1:6">
      <c r="A50" s="1132"/>
      <c r="B50" s="1951"/>
      <c r="C50" s="1951"/>
      <c r="D50" s="1951"/>
      <c r="E50" s="1951"/>
    </row>
    <row r="51" spans="1:6">
      <c r="A51" s="1132"/>
      <c r="B51" s="1951"/>
      <c r="C51" s="1951"/>
      <c r="D51" s="1951"/>
      <c r="E51" s="1951"/>
    </row>
    <row r="54" spans="1:6">
      <c r="B54" s="971"/>
      <c r="C54" s="972"/>
    </row>
    <row r="57" spans="1:6">
      <c r="B57" s="971"/>
      <c r="C57" s="972"/>
    </row>
    <row r="61" spans="1:6">
      <c r="B61" s="971"/>
      <c r="C61" s="972"/>
    </row>
    <row r="65" spans="2:6">
      <c r="B65" s="971"/>
      <c r="C65" s="972"/>
      <c r="D65" s="971"/>
      <c r="E65" s="1007"/>
      <c r="F65" s="972"/>
    </row>
    <row r="68" spans="2:6">
      <c r="B68" s="971"/>
      <c r="C68" s="972"/>
    </row>
    <row r="71" spans="2:6">
      <c r="B71" s="971"/>
      <c r="C71" s="972"/>
    </row>
    <row r="73" spans="2:6">
      <c r="B73" s="971"/>
      <c r="C73" s="972"/>
    </row>
    <row r="78" spans="2:6">
      <c r="B78" s="971"/>
      <c r="C78" s="972"/>
    </row>
    <row r="80" spans="2:6">
      <c r="B80" s="971"/>
      <c r="C80" s="972"/>
    </row>
    <row r="83" spans="2:3">
      <c r="B83" s="971"/>
      <c r="C83" s="972"/>
    </row>
    <row r="86" spans="2:3">
      <c r="B86" s="971"/>
      <c r="C86" s="972"/>
    </row>
    <row r="89" spans="2:3">
      <c r="B89" s="971"/>
      <c r="C89" s="972"/>
    </row>
    <row r="91" spans="2:3">
      <c r="B91" s="971"/>
      <c r="C91" s="972"/>
    </row>
    <row r="94" spans="2:3">
      <c r="B94" s="971"/>
      <c r="C94" s="972"/>
    </row>
  </sheetData>
  <sheetProtection algorithmName="SHA-512" hashValue="yU8negmPLTm6UHdC78YgDf3uRWlm8gRMn4IHZ8D30a7Dk5w/FAlTVb5y6xDbyCGVPq6BZ6SK70EBsT/Cow1QDw==" saltValue="3BsVzNYTUYoxZstnVOAaMw==" spinCount="100000" sheet="1" objects="1" scenarios="1"/>
  <mergeCells count="24">
    <mergeCell ref="B36:E36"/>
    <mergeCell ref="B37:E37"/>
    <mergeCell ref="B38:E38"/>
    <mergeCell ref="B1:E1"/>
    <mergeCell ref="A3:B3"/>
    <mergeCell ref="B11:B12"/>
    <mergeCell ref="B32:E32"/>
    <mergeCell ref="B33:E33"/>
    <mergeCell ref="B49:E49"/>
    <mergeCell ref="B50:E50"/>
    <mergeCell ref="B51:E51"/>
    <mergeCell ref="B31:E31"/>
    <mergeCell ref="B44:E44"/>
    <mergeCell ref="B45:E45"/>
    <mergeCell ref="B46:E46"/>
    <mergeCell ref="B47:E47"/>
    <mergeCell ref="B48:E48"/>
    <mergeCell ref="B39:E39"/>
    <mergeCell ref="B40:E40"/>
    <mergeCell ref="B41:E41"/>
    <mergeCell ref="B42:E42"/>
    <mergeCell ref="B43:E43"/>
    <mergeCell ref="B34:E34"/>
    <mergeCell ref="B35:E35"/>
  </mergeCells>
  <pageMargins left="0.70866141732283472" right="0.70866141732283472" top="0.74803149606299213" bottom="0.74803149606299213" header="0.31496062992125984" footer="0.31496062992125984"/>
  <pageSetup paperSize="9" scale="5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C20A5-958D-4C33-9CA0-9B835723B857}">
  <sheetPr published="0">
    <pageSetUpPr fitToPage="1"/>
  </sheetPr>
  <dimension ref="A1:M107"/>
  <sheetViews>
    <sheetView showGridLines="0" zoomScaleNormal="100" workbookViewId="0">
      <selection sqref="A1:H1"/>
    </sheetView>
  </sheetViews>
  <sheetFormatPr defaultColWidth="9.1796875" defaultRowHeight="14.5"/>
  <cols>
    <col min="1" max="1" width="3.453125" style="982" customWidth="1"/>
    <col min="2" max="2" width="108.81640625" style="6" customWidth="1"/>
    <col min="3" max="3" width="2.54296875" style="1" customWidth="1"/>
    <col min="4" max="4" width="15.7265625" style="973" customWidth="1"/>
    <col min="5" max="5" width="15.7265625" style="975" customWidth="1"/>
    <col min="6" max="6" width="2.54296875" style="1" customWidth="1"/>
    <col min="7" max="8" width="15.7265625" style="973" customWidth="1"/>
    <col min="9" max="16384" width="9.1796875" style="1"/>
  </cols>
  <sheetData>
    <row r="1" spans="1:13" ht="16" thickBot="1">
      <c r="A1" s="1960" t="str">
        <f>DNB&amp;" - ELEKTRICITEIT - Tarieflijst periodieke distributienettarieven "&amp;JAAR&amp;" - Afname"</f>
        <v>Naam distributienetbeheerder - ELEKTRICITEIT - Tarieflijst periodieke distributienettarieven  - Afname</v>
      </c>
      <c r="B1" s="1952"/>
      <c r="C1" s="1952"/>
      <c r="D1" s="1952"/>
      <c r="E1" s="1952"/>
      <c r="F1" s="1952"/>
      <c r="G1" s="1952"/>
      <c r="H1" s="1953"/>
      <c r="I1" s="981"/>
      <c r="J1" s="981"/>
      <c r="K1" s="981"/>
      <c r="L1" s="981"/>
      <c r="M1" s="981"/>
    </row>
    <row r="2" spans="1:13" ht="15" thickBot="1"/>
    <row r="3" spans="1:13" ht="15" thickBot="1">
      <c r="A3" s="1008" t="s">
        <v>402</v>
      </c>
      <c r="B3" s="1009"/>
      <c r="C3" s="983"/>
      <c r="D3" s="984" t="s">
        <v>396</v>
      </c>
      <c r="E3" s="1010" t="s">
        <v>395</v>
      </c>
      <c r="F3" s="983"/>
      <c r="G3" s="984" t="s">
        <v>396</v>
      </c>
      <c r="H3" s="1011" t="s">
        <v>395</v>
      </c>
    </row>
    <row r="4" spans="1:13">
      <c r="A4" s="976" t="s">
        <v>401</v>
      </c>
      <c r="B4" s="974"/>
      <c r="C4" s="972"/>
      <c r="D4" s="1012"/>
      <c r="E4" s="982"/>
      <c r="F4" s="972"/>
      <c r="G4" s="1012"/>
      <c r="H4" s="982"/>
    </row>
    <row r="5" spans="1:13" ht="15" thickBot="1">
      <c r="A5" s="976" t="s">
        <v>400</v>
      </c>
      <c r="C5" s="986"/>
      <c r="D5" s="987"/>
      <c r="F5" s="986"/>
    </row>
    <row r="6" spans="1:13" ht="15" thickBot="1">
      <c r="B6" s="1013"/>
      <c r="C6" s="1957" t="s">
        <v>399</v>
      </c>
      <c r="D6" s="1958"/>
      <c r="E6" s="1959"/>
      <c r="F6" s="1957" t="s">
        <v>398</v>
      </c>
      <c r="G6" s="1958"/>
      <c r="H6" s="1959"/>
    </row>
    <row r="7" spans="1:13">
      <c r="A7" s="988">
        <v>1</v>
      </c>
      <c r="B7" s="1014" t="s">
        <v>554</v>
      </c>
      <c r="C7" s="972"/>
      <c r="D7" s="987"/>
      <c r="E7" s="994"/>
      <c r="F7" s="972"/>
      <c r="G7" s="987"/>
      <c r="H7" s="994"/>
    </row>
    <row r="8" spans="1:13">
      <c r="A8" s="1355" t="s">
        <v>393</v>
      </c>
      <c r="B8" s="1356" t="s">
        <v>392</v>
      </c>
      <c r="D8" s="1015" t="e">
        <f>ROUND(INDEX(Tabel4B[Afnameklanten op &gt;26-36 kV met AV ≥ 5MVA],1),7)</f>
        <v>#VALUE!</v>
      </c>
      <c r="E8" s="994" t="s">
        <v>521</v>
      </c>
      <c r="G8" s="1015" t="e">
        <f>ROUND(INDEX(Tabel4B[Afnameklanten op &gt;26-36 kV met AV &lt; 5MVA],1),7)</f>
        <v>#VALUE!</v>
      </c>
      <c r="H8" s="994" t="s">
        <v>521</v>
      </c>
    </row>
    <row r="9" spans="1:13">
      <c r="A9" s="993"/>
      <c r="B9" s="1128" t="s">
        <v>523</v>
      </c>
      <c r="D9" s="1130" t="e">
        <f>ROUND($D$8*12,7)</f>
        <v>#VALUE!</v>
      </c>
      <c r="E9" s="1131" t="s">
        <v>391</v>
      </c>
      <c r="G9" s="1130" t="e">
        <f>ROUND($G$8*12,7)</f>
        <v>#VALUE!</v>
      </c>
      <c r="H9" s="1131" t="s">
        <v>391</v>
      </c>
    </row>
    <row r="10" spans="1:13">
      <c r="A10" s="1355" t="s">
        <v>390</v>
      </c>
      <c r="B10" s="1356" t="s">
        <v>389</v>
      </c>
      <c r="D10" s="1015" t="e">
        <f>ROUND(INDEX(Tabel4B[Afnameklanten op &gt;26-36 kV met AV ≥ 5MVA],2),7)</f>
        <v>#VALUE!</v>
      </c>
      <c r="E10" s="994" t="s">
        <v>387</v>
      </c>
      <c r="G10" s="1015" t="e">
        <f>ROUND(INDEX(Tabel4B[Afnameklanten op &gt;26-36 kV met AV &lt; 5MVA],2),7)</f>
        <v>#VALUE!</v>
      </c>
      <c r="H10" s="994" t="s">
        <v>387</v>
      </c>
    </row>
    <row r="11" spans="1:13">
      <c r="A11" s="1355"/>
      <c r="B11" s="1128" t="s">
        <v>523</v>
      </c>
      <c r="D11" s="1130" t="e">
        <f>ROUND($D$10*12,7)</f>
        <v>#VALUE!</v>
      </c>
      <c r="E11" s="1131" t="s">
        <v>391</v>
      </c>
      <c r="G11" s="1130" t="e">
        <f>ROUND($G$10*12,7)</f>
        <v>#VALUE!</v>
      </c>
      <c r="H11" s="1131" t="s">
        <v>391</v>
      </c>
    </row>
    <row r="12" spans="1:13">
      <c r="A12" s="1355" t="s">
        <v>388</v>
      </c>
      <c r="B12" s="1956" t="s">
        <v>639</v>
      </c>
      <c r="C12" s="999"/>
      <c r="D12" s="1015" t="e">
        <f>ROUND(INDEX(Tabel4B[Afnameklanten op &gt;26-36 kV met AV ≥ 5MVA],3),7)</f>
        <v>#VALUE!</v>
      </c>
      <c r="E12" s="994" t="s">
        <v>387</v>
      </c>
      <c r="F12" s="999"/>
      <c r="G12" s="1015" t="e">
        <f>ROUND(INDEX(Tabel4B[Afnameklanten op &gt;26-36 kV met AV &lt; 5MVA],3),7)</f>
        <v>#VALUE!</v>
      </c>
      <c r="H12" s="994" t="s">
        <v>387</v>
      </c>
    </row>
    <row r="13" spans="1:13" ht="30" customHeight="1">
      <c r="A13" s="1355"/>
      <c r="B13" s="1956"/>
      <c r="C13" s="999"/>
      <c r="D13" s="1130" t="e">
        <f>ROUND($D$12*12,7)</f>
        <v>#VALUE!</v>
      </c>
      <c r="E13" s="1131" t="s">
        <v>391</v>
      </c>
      <c r="F13" s="999"/>
      <c r="G13" s="1130" t="e">
        <f>ROUND($G$12*12,7)</f>
        <v>#VALUE!</v>
      </c>
      <c r="H13" s="1131" t="s">
        <v>391</v>
      </c>
    </row>
    <row r="14" spans="1:13">
      <c r="A14" s="993"/>
      <c r="B14" s="998"/>
      <c r="C14" s="999"/>
      <c r="D14" s="987"/>
      <c r="E14" s="994"/>
      <c r="F14" s="999"/>
      <c r="G14" s="987"/>
      <c r="H14" s="994"/>
    </row>
    <row r="15" spans="1:13">
      <c r="A15" s="993">
        <v>2</v>
      </c>
      <c r="B15" s="1017" t="s">
        <v>386</v>
      </c>
      <c r="C15" s="972"/>
      <c r="D15" s="987"/>
      <c r="E15" s="994"/>
      <c r="F15" s="972"/>
      <c r="G15" s="987"/>
      <c r="H15" s="994"/>
    </row>
    <row r="16" spans="1:13" ht="15.75" customHeight="1">
      <c r="A16" s="993"/>
      <c r="B16" s="1016" t="s">
        <v>385</v>
      </c>
      <c r="D16" s="1133">
        <v>0.32900000000000001</v>
      </c>
      <c r="E16" s="994"/>
      <c r="G16" s="1133">
        <v>0.48399999999999999</v>
      </c>
      <c r="H16" s="994"/>
    </row>
    <row r="17" spans="1:8" ht="39" customHeight="1">
      <c r="A17" s="993"/>
      <c r="B17" s="1016" t="s">
        <v>642</v>
      </c>
      <c r="C17" s="565"/>
      <c r="D17" s="1015" t="e">
        <f>ROUND(INDEX(Tabel4B[Afnameklanten op &gt;26-36 kV met AV ≥ 5MVA],8),7)</f>
        <v>#VALUE!</v>
      </c>
      <c r="E17" s="994" t="s">
        <v>384</v>
      </c>
      <c r="F17" s="565"/>
      <c r="G17" s="1015" t="e">
        <f>ROUND(INDEX(Tabel4B[Afnameklanten op &gt;26-36 kV met AV &lt; 5MVA],8),7)</f>
        <v>#VALUE!</v>
      </c>
      <c r="H17" s="994" t="s">
        <v>534</v>
      </c>
    </row>
    <row r="18" spans="1:8">
      <c r="A18" s="993"/>
      <c r="B18" s="996"/>
      <c r="D18" s="987"/>
      <c r="E18" s="994"/>
      <c r="G18" s="987"/>
      <c r="H18" s="994"/>
    </row>
    <row r="19" spans="1:8">
      <c r="A19" s="993">
        <v>3</v>
      </c>
      <c r="B19" s="1017" t="s">
        <v>383</v>
      </c>
      <c r="C19" s="972"/>
      <c r="D19" s="987"/>
      <c r="E19" s="994"/>
      <c r="F19" s="972"/>
      <c r="G19" s="987"/>
      <c r="H19" s="994"/>
    </row>
    <row r="20" spans="1:8">
      <c r="A20" s="993"/>
      <c r="B20" s="996" t="s">
        <v>507</v>
      </c>
      <c r="D20" s="1018" t="e">
        <f>ROUND(INDEX(Tabel4B[Afnameklanten op &gt;26-36 kV met AV ≥ 5MVA],9),2)</f>
        <v>#DIV/0!</v>
      </c>
      <c r="E20" s="994" t="s">
        <v>382</v>
      </c>
      <c r="G20" s="1018" t="e">
        <f>ROUND(INDEX(Tabel4B[Afnameklanten op &gt;26-36 kV met AV &lt; 5MVA],9),2)</f>
        <v>#DIV/0!</v>
      </c>
      <c r="H20" s="994" t="s">
        <v>382</v>
      </c>
    </row>
    <row r="21" spans="1:8">
      <c r="A21" s="993"/>
      <c r="B21" s="996"/>
      <c r="D21" s="987"/>
      <c r="E21" s="994"/>
      <c r="G21" s="987"/>
      <c r="H21" s="994"/>
    </row>
    <row r="22" spans="1:8">
      <c r="A22" s="993">
        <v>4</v>
      </c>
      <c r="B22" s="1017" t="s">
        <v>640</v>
      </c>
      <c r="C22" s="972"/>
      <c r="D22" s="1015" t="e">
        <f>ROUND(INDEX(Tabel4B[Afnameklanten op &gt;26-36 kV met AV ≥ 5MVA],15),7)</f>
        <v>#VALUE!</v>
      </c>
      <c r="E22" s="994" t="s">
        <v>379</v>
      </c>
      <c r="F22" s="972"/>
      <c r="G22" s="1015" t="e">
        <f>ROUND(INDEX(Tabel4B[Afnameklanten op &gt;26-36 kV met AV &lt; 5MVA],15),7)</f>
        <v>#VALUE!</v>
      </c>
      <c r="H22" s="994" t="s">
        <v>379</v>
      </c>
    </row>
    <row r="23" spans="1:8">
      <c r="A23" s="993"/>
      <c r="B23" s="1017"/>
      <c r="C23" s="972"/>
      <c r="D23" s="987"/>
      <c r="E23" s="994"/>
      <c r="F23" s="972"/>
      <c r="G23" s="987"/>
      <c r="H23" s="994"/>
    </row>
    <row r="24" spans="1:8">
      <c r="A24" s="993">
        <v>5</v>
      </c>
      <c r="B24" s="1017" t="s">
        <v>381</v>
      </c>
      <c r="C24" s="972"/>
      <c r="D24" s="1015" t="e">
        <f>ROUND(INDEX(Tabel4B[Afnameklanten op &gt;26-36 kV met AV ≥ 5MVA],17),7)</f>
        <v>#VALUE!</v>
      </c>
      <c r="E24" s="994" t="s">
        <v>379</v>
      </c>
      <c r="F24" s="972"/>
      <c r="G24" s="1015" t="e">
        <f>ROUND(INDEX(Tabel4B[Afnameklanten op &gt;26-36 kV met AV &lt; 5MVA],17),7)</f>
        <v>#VALUE!</v>
      </c>
      <c r="H24" s="994" t="s">
        <v>379</v>
      </c>
    </row>
    <row r="25" spans="1:8">
      <c r="A25" s="993"/>
      <c r="B25" s="1017"/>
      <c r="C25" s="972"/>
      <c r="D25" s="987"/>
      <c r="E25" s="994"/>
      <c r="F25" s="972"/>
      <c r="G25" s="987"/>
      <c r="H25" s="994"/>
    </row>
    <row r="26" spans="1:8">
      <c r="A26" s="993">
        <v>6</v>
      </c>
      <c r="B26" s="1017" t="s">
        <v>555</v>
      </c>
      <c r="C26" s="972"/>
      <c r="D26" s="1015" t="e">
        <f>ROUND(INDEX(Tabel4B[Afnameklanten op &gt;26-36 kV met AV ≥ 5MVA],18),7)</f>
        <v>#DIV/0!</v>
      </c>
      <c r="E26" s="994" t="s">
        <v>379</v>
      </c>
      <c r="F26" s="972"/>
      <c r="G26" s="1015" t="e">
        <f>ROUND(INDEX(Tabel4B[Afnameklanten op &gt;26-36 kV met AV &lt; 5MVA],18),7)</f>
        <v>#DIV/0!</v>
      </c>
      <c r="H26" s="994" t="s">
        <v>379</v>
      </c>
    </row>
    <row r="27" spans="1:8">
      <c r="A27" s="993"/>
      <c r="B27" s="1017"/>
      <c r="C27" s="972"/>
      <c r="D27" s="987"/>
      <c r="E27" s="994"/>
      <c r="F27" s="972"/>
      <c r="G27" s="987"/>
      <c r="H27" s="994"/>
    </row>
    <row r="28" spans="1:8" ht="15.75" customHeight="1" thickBot="1">
      <c r="A28" s="1002"/>
      <c r="B28" s="1019" t="s">
        <v>380</v>
      </c>
      <c r="C28" s="1004"/>
      <c r="D28" s="1020">
        <f>'Max Afname TRHS'!$N$15</f>
        <v>0</v>
      </c>
      <c r="E28" s="1021" t="s">
        <v>379</v>
      </c>
      <c r="F28" s="1004"/>
      <c r="G28" s="1020">
        <f>'Max Afname MS'!$N$15</f>
        <v>0</v>
      </c>
      <c r="H28" s="1021" t="s">
        <v>379</v>
      </c>
    </row>
    <row r="29" spans="1:8" ht="15" thickBot="1"/>
    <row r="30" spans="1:8" ht="15" thickBot="1">
      <c r="A30" s="1388"/>
      <c r="B30" s="1387" t="s">
        <v>556</v>
      </c>
      <c r="C30" s="1466"/>
      <c r="D30" s="1467" t="e">
        <f>ROUND('T2'!$M$98,7)</f>
        <v>#VALUE!</v>
      </c>
      <c r="E30" s="1465"/>
      <c r="F30" s="1466"/>
      <c r="G30" s="1467" t="e">
        <f>ROUND('T2'!$N$98,7)</f>
        <v>#VALUE!</v>
      </c>
      <c r="H30" s="1465"/>
    </row>
    <row r="31" spans="1:8">
      <c r="A31" s="1358"/>
      <c r="B31" s="1360"/>
      <c r="C31" s="1361"/>
      <c r="D31" s="1248"/>
      <c r="E31" s="1359"/>
      <c r="F31" s="1125"/>
      <c r="G31" s="1124"/>
      <c r="H31" s="1124"/>
    </row>
    <row r="32" spans="1:8" ht="30.75" customHeight="1" thickBot="1">
      <c r="A32" s="1358"/>
      <c r="B32" s="1950" t="s">
        <v>550</v>
      </c>
      <c r="C32" s="1950"/>
      <c r="D32" s="1950"/>
      <c r="E32" s="1950"/>
      <c r="F32" s="1950"/>
      <c r="G32" s="1950"/>
      <c r="H32" s="1950"/>
    </row>
    <row r="33" spans="1:8">
      <c r="A33" s="1129"/>
      <c r="B33" s="1951"/>
      <c r="C33" s="1951"/>
      <c r="D33" s="1951"/>
      <c r="E33" s="1951"/>
      <c r="F33" s="1951"/>
      <c r="G33" s="1951"/>
      <c r="H33" s="1951"/>
    </row>
    <row r="34" spans="1:8">
      <c r="A34" s="1129"/>
      <c r="B34" s="1951"/>
      <c r="C34" s="1951"/>
      <c r="D34" s="1951"/>
      <c r="E34" s="1951"/>
      <c r="F34" s="1951"/>
      <c r="G34" s="1951"/>
      <c r="H34" s="1951"/>
    </row>
    <row r="35" spans="1:8">
      <c r="A35" s="1129"/>
      <c r="B35" s="1951"/>
      <c r="C35" s="1951"/>
      <c r="D35" s="1951"/>
      <c r="E35" s="1951"/>
      <c r="F35" s="1951"/>
      <c r="G35" s="1951"/>
      <c r="H35" s="1951"/>
    </row>
    <row r="36" spans="1:8">
      <c r="A36" s="1129"/>
      <c r="B36" s="1951"/>
      <c r="C36" s="1951"/>
      <c r="D36" s="1951"/>
      <c r="E36" s="1951"/>
      <c r="F36" s="1951"/>
      <c r="G36" s="1951"/>
      <c r="H36" s="1951"/>
    </row>
    <row r="37" spans="1:8">
      <c r="A37" s="1129"/>
      <c r="B37" s="1951"/>
      <c r="C37" s="1951"/>
      <c r="D37" s="1951"/>
      <c r="E37" s="1951"/>
      <c r="F37" s="1951"/>
      <c r="G37" s="1951"/>
      <c r="H37" s="1951"/>
    </row>
    <row r="38" spans="1:8">
      <c r="A38" s="1129"/>
      <c r="B38" s="1951"/>
      <c r="C38" s="1951"/>
      <c r="D38" s="1951"/>
      <c r="E38" s="1951"/>
      <c r="F38" s="1951"/>
      <c r="G38" s="1951"/>
      <c r="H38" s="1951"/>
    </row>
    <row r="39" spans="1:8">
      <c r="A39" s="1129"/>
      <c r="B39" s="1951"/>
      <c r="C39" s="1951"/>
      <c r="D39" s="1951"/>
      <c r="E39" s="1951"/>
      <c r="F39" s="1951"/>
      <c r="G39" s="1951"/>
      <c r="H39" s="1951"/>
    </row>
    <row r="40" spans="1:8">
      <c r="A40" s="1129"/>
      <c r="B40" s="1951"/>
      <c r="C40" s="1951"/>
      <c r="D40" s="1951"/>
      <c r="E40" s="1951"/>
      <c r="F40" s="1951"/>
      <c r="G40" s="1951"/>
      <c r="H40" s="1951"/>
    </row>
    <row r="41" spans="1:8">
      <c r="A41" s="1129"/>
      <c r="B41" s="1951"/>
      <c r="C41" s="1951"/>
      <c r="D41" s="1951"/>
      <c r="E41" s="1951"/>
      <c r="F41" s="1951"/>
      <c r="G41" s="1951"/>
      <c r="H41" s="1951"/>
    </row>
    <row r="42" spans="1:8">
      <c r="A42" s="1129"/>
      <c r="B42" s="1951"/>
      <c r="C42" s="1951"/>
      <c r="D42" s="1951"/>
      <c r="E42" s="1951"/>
      <c r="F42" s="1951"/>
      <c r="G42" s="1951"/>
      <c r="H42" s="1951"/>
    </row>
    <row r="43" spans="1:8">
      <c r="A43" s="1129"/>
      <c r="B43" s="1951"/>
      <c r="C43" s="1951"/>
      <c r="D43" s="1951"/>
      <c r="E43" s="1951"/>
      <c r="F43" s="1951"/>
      <c r="G43" s="1951"/>
      <c r="H43" s="1951"/>
    </row>
    <row r="44" spans="1:8">
      <c r="A44" s="1129"/>
      <c r="B44" s="1951"/>
      <c r="C44" s="1951"/>
      <c r="D44" s="1951"/>
      <c r="E44" s="1951"/>
      <c r="F44" s="1951"/>
      <c r="G44" s="1951"/>
      <c r="H44" s="1951"/>
    </row>
    <row r="45" spans="1:8">
      <c r="A45" s="1129"/>
      <c r="B45" s="1951"/>
      <c r="C45" s="1951"/>
      <c r="D45" s="1951"/>
      <c r="E45" s="1951"/>
      <c r="F45" s="1951"/>
      <c r="G45" s="1951"/>
      <c r="H45" s="1951"/>
    </row>
    <row r="46" spans="1:8">
      <c r="A46" s="1129"/>
      <c r="B46" s="1951"/>
      <c r="C46" s="1951"/>
      <c r="D46" s="1951"/>
      <c r="E46" s="1951"/>
      <c r="F46" s="1951"/>
      <c r="G46" s="1951"/>
      <c r="H46" s="1951"/>
    </row>
    <row r="47" spans="1:8">
      <c r="A47" s="1129"/>
      <c r="B47" s="1951"/>
      <c r="C47" s="1951"/>
      <c r="D47" s="1951"/>
      <c r="E47" s="1951"/>
      <c r="F47" s="1951"/>
      <c r="G47" s="1951"/>
      <c r="H47" s="1951"/>
    </row>
    <row r="48" spans="1:8">
      <c r="A48" s="1129"/>
      <c r="B48" s="1951"/>
      <c r="C48" s="1951"/>
      <c r="D48" s="1951"/>
      <c r="E48" s="1951"/>
      <c r="F48" s="1951"/>
      <c r="G48" s="1951"/>
      <c r="H48" s="1951"/>
    </row>
    <row r="49" spans="1:8">
      <c r="A49" s="1129"/>
      <c r="B49" s="1951"/>
      <c r="C49" s="1951"/>
      <c r="D49" s="1951"/>
      <c r="E49" s="1951"/>
      <c r="F49" s="1951"/>
      <c r="G49" s="1951"/>
      <c r="H49" s="1951"/>
    </row>
    <row r="50" spans="1:8">
      <c r="A50" s="1132"/>
      <c r="B50" s="1951"/>
      <c r="C50" s="1951"/>
      <c r="D50" s="1951"/>
      <c r="E50" s="1951"/>
      <c r="F50" s="1951"/>
      <c r="G50" s="1951"/>
      <c r="H50" s="1951"/>
    </row>
    <row r="51" spans="1:8">
      <c r="A51" s="1132"/>
      <c r="B51" s="1951"/>
      <c r="C51" s="1951"/>
      <c r="D51" s="1951"/>
      <c r="E51" s="1951"/>
      <c r="F51" s="1951"/>
      <c r="G51" s="1951"/>
      <c r="H51" s="1951"/>
    </row>
    <row r="52" spans="1:8">
      <c r="A52" s="1132"/>
      <c r="B52" s="1951"/>
      <c r="C52" s="1951"/>
      <c r="D52" s="1951"/>
      <c r="E52" s="1951"/>
      <c r="F52" s="1951"/>
      <c r="G52" s="1951"/>
      <c r="H52" s="1951"/>
    </row>
    <row r="67" spans="1:8">
      <c r="B67" s="974"/>
      <c r="C67" s="972"/>
      <c r="F67" s="972"/>
    </row>
    <row r="70" spans="1:8">
      <c r="B70" s="974"/>
      <c r="C70" s="972"/>
      <c r="F70" s="972"/>
    </row>
    <row r="74" spans="1:8">
      <c r="B74" s="974"/>
      <c r="C74" s="972"/>
      <c r="F74" s="972"/>
    </row>
    <row r="78" spans="1:8" s="972" customFormat="1">
      <c r="A78" s="982"/>
      <c r="B78" s="974"/>
      <c r="D78" s="971"/>
      <c r="E78" s="982"/>
      <c r="G78" s="971"/>
      <c r="H78" s="971"/>
    </row>
    <row r="81" spans="2:6">
      <c r="B81" s="974"/>
      <c r="C81" s="972"/>
      <c r="F81" s="972"/>
    </row>
    <row r="84" spans="2:6">
      <c r="B84" s="974"/>
      <c r="C84" s="972"/>
      <c r="F84" s="972"/>
    </row>
    <row r="86" spans="2:6">
      <c r="B86" s="974"/>
      <c r="C86" s="972"/>
      <c r="F86" s="972"/>
    </row>
    <row r="91" spans="2:6">
      <c r="B91" s="974"/>
      <c r="C91" s="972"/>
      <c r="F91" s="972"/>
    </row>
    <row r="93" spans="2:6">
      <c r="B93" s="974"/>
      <c r="C93" s="972"/>
      <c r="F93" s="972"/>
    </row>
    <row r="96" spans="2:6">
      <c r="B96" s="974"/>
      <c r="C96" s="972"/>
      <c r="F96" s="972"/>
    </row>
    <row r="99" spans="2:6">
      <c r="B99" s="974"/>
      <c r="C99" s="972"/>
      <c r="F99" s="972"/>
    </row>
    <row r="102" spans="2:6">
      <c r="B102" s="974"/>
      <c r="C102" s="972"/>
      <c r="F102" s="972"/>
    </row>
    <row r="104" spans="2:6">
      <c r="B104" s="974"/>
      <c r="C104" s="972"/>
      <c r="F104" s="972"/>
    </row>
    <row r="107" spans="2:6">
      <c r="B107" s="974"/>
      <c r="C107" s="972"/>
      <c r="F107" s="972"/>
    </row>
  </sheetData>
  <sheetProtection algorithmName="SHA-512" hashValue="qFR07MqS8SgPbSd0V8tiof2FbwE2FKEOwA9AV8/96QiA2I9Jk7JFHcMM3UvmCdd6Bhd0sWlw9WHsNCJwmsAEWQ==" saltValue="O+a1Bdr+U3JSA0bHqZhXig==" spinCount="100000" sheet="1" objects="1" scenarios="1"/>
  <mergeCells count="25">
    <mergeCell ref="A1:H1"/>
    <mergeCell ref="C6:E6"/>
    <mergeCell ref="B12:B13"/>
    <mergeCell ref="B47:H47"/>
    <mergeCell ref="B32:H32"/>
    <mergeCell ref="B33:H33"/>
    <mergeCell ref="B34:H34"/>
    <mergeCell ref="B35:H35"/>
    <mergeCell ref="B36:H36"/>
    <mergeCell ref="B37:H37"/>
    <mergeCell ref="B38:H38"/>
    <mergeCell ref="B39:H39"/>
    <mergeCell ref="B40:H40"/>
    <mergeCell ref="B41:H41"/>
    <mergeCell ref="B42:H42"/>
    <mergeCell ref="B49:H49"/>
    <mergeCell ref="B50:H50"/>
    <mergeCell ref="B51:H51"/>
    <mergeCell ref="B52:H52"/>
    <mergeCell ref="F6:H6"/>
    <mergeCell ref="B43:H43"/>
    <mergeCell ref="B44:H44"/>
    <mergeCell ref="B45:H45"/>
    <mergeCell ref="B46:H46"/>
    <mergeCell ref="B48:H48"/>
  </mergeCells>
  <pageMargins left="0.70866141732283472" right="0.70866141732283472" top="0.74803149606299213" bottom="0.74803149606299213" header="0.31496062992125984" footer="0.31496062992125984"/>
  <pageSetup paperSize="9" scale="48"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5E8DA-EEB3-4193-A750-B61B2C7F1B6A}">
  <sheetPr published="0">
    <pageSetUpPr fitToPage="1"/>
  </sheetPr>
  <dimension ref="A1:Q94"/>
  <sheetViews>
    <sheetView showGridLines="0" zoomScaleNormal="100" workbookViewId="0">
      <selection sqref="A1:E1"/>
    </sheetView>
  </sheetViews>
  <sheetFormatPr defaultColWidth="9.1796875" defaultRowHeight="14.5"/>
  <cols>
    <col min="1" max="1" width="3.453125" style="982" customWidth="1"/>
    <col min="2" max="2" width="108.81640625" style="6" customWidth="1"/>
    <col min="3" max="3" width="2.54296875" style="1" customWidth="1"/>
    <col min="4" max="4" width="15.54296875" style="973" customWidth="1"/>
    <col min="5" max="5" width="15.1796875" style="975" bestFit="1" customWidth="1"/>
    <col min="6" max="16384" width="9.1796875" style="1"/>
  </cols>
  <sheetData>
    <row r="1" spans="1:17" ht="15.4" customHeight="1" thickBot="1">
      <c r="A1" s="1960" t="str">
        <f>DNB&amp;" - ELEKTRICITEIT - Tarieflijst periodieke distributienettarieven "&amp;JAAR&amp;" - Afname"</f>
        <v>Naam distributienetbeheerder - ELEKTRICITEIT - Tarieflijst periodieke distributienettarieven  - Afname</v>
      </c>
      <c r="B1" s="1952"/>
      <c r="C1" s="1952"/>
      <c r="D1" s="1952"/>
      <c r="E1" s="1953"/>
      <c r="F1" s="981"/>
      <c r="G1" s="981"/>
      <c r="H1" s="981"/>
      <c r="I1" s="981"/>
      <c r="J1" s="981"/>
      <c r="K1" s="981"/>
      <c r="L1" s="981"/>
      <c r="M1" s="981"/>
      <c r="N1" s="981"/>
      <c r="O1" s="981"/>
      <c r="P1" s="981"/>
      <c r="Q1" s="981"/>
    </row>
    <row r="2" spans="1:17" ht="15" thickBot="1"/>
    <row r="3" spans="1:17" ht="15" thickBot="1">
      <c r="A3" s="1022" t="s">
        <v>404</v>
      </c>
      <c r="B3" s="1009"/>
      <c r="C3" s="983"/>
      <c r="D3" s="984" t="s">
        <v>396</v>
      </c>
      <c r="E3" s="1011" t="s">
        <v>395</v>
      </c>
    </row>
    <row r="4" spans="1:17">
      <c r="A4" s="977" t="s">
        <v>403</v>
      </c>
      <c r="C4" s="986"/>
      <c r="D4" s="987"/>
    </row>
    <row r="5" spans="1:17" ht="15" thickBot="1">
      <c r="B5" s="1023"/>
      <c r="C5" s="972"/>
      <c r="D5" s="987"/>
    </row>
    <row r="6" spans="1:17">
      <c r="A6" s="988">
        <v>1</v>
      </c>
      <c r="B6" s="1014" t="s">
        <v>554</v>
      </c>
      <c r="C6" s="990"/>
      <c r="D6" s="1024"/>
      <c r="E6" s="1025"/>
    </row>
    <row r="7" spans="1:17">
      <c r="A7" s="1355" t="s">
        <v>393</v>
      </c>
      <c r="B7" s="1356" t="s">
        <v>392</v>
      </c>
      <c r="D7" s="1015" t="e">
        <f>ROUND(INDEX(Tabel4B[Afnameklanten op 26-1kV],1),7)</f>
        <v>#VALUE!</v>
      </c>
      <c r="E7" s="994" t="s">
        <v>521</v>
      </c>
      <c r="F7" s="997"/>
    </row>
    <row r="8" spans="1:17">
      <c r="A8" s="993"/>
      <c r="B8" s="1128" t="s">
        <v>523</v>
      </c>
      <c r="D8" s="1130" t="e">
        <f>ROUND($D$7*12,7)</f>
        <v>#VALUE!</v>
      </c>
      <c r="E8" s="1131" t="s">
        <v>391</v>
      </c>
      <c r="F8" s="997"/>
    </row>
    <row r="9" spans="1:17">
      <c r="A9" s="1355" t="s">
        <v>390</v>
      </c>
      <c r="B9" s="1356" t="s">
        <v>389</v>
      </c>
      <c r="D9" s="1015" t="e">
        <f>ROUND(INDEX(Tabel4B[Afnameklanten op 26-1kV],2),7)</f>
        <v>#VALUE!</v>
      </c>
      <c r="E9" s="994" t="s">
        <v>387</v>
      </c>
      <c r="F9" s="997"/>
    </row>
    <row r="10" spans="1:17">
      <c r="A10" s="1355"/>
      <c r="B10" s="1128" t="s">
        <v>523</v>
      </c>
      <c r="D10" s="1130" t="e">
        <f>ROUND($D$9*12,7)</f>
        <v>#VALUE!</v>
      </c>
      <c r="E10" s="1131" t="s">
        <v>391</v>
      </c>
      <c r="F10" s="997"/>
    </row>
    <row r="11" spans="1:17">
      <c r="A11" s="1355" t="s">
        <v>388</v>
      </c>
      <c r="B11" s="1956" t="s">
        <v>639</v>
      </c>
      <c r="C11" s="999"/>
      <c r="D11" s="1015" t="e">
        <f>ROUND(INDEX(Tabel4B[Afnameklanten op 26-1kV],3),7)</f>
        <v>#VALUE!</v>
      </c>
      <c r="E11" s="994" t="s">
        <v>387</v>
      </c>
      <c r="F11" s="997"/>
    </row>
    <row r="12" spans="1:17" ht="30" customHeight="1">
      <c r="A12" s="1355"/>
      <c r="B12" s="1956"/>
      <c r="C12" s="999"/>
      <c r="D12" s="1130" t="e">
        <f>ROUND($D$11*12,7)</f>
        <v>#VALUE!</v>
      </c>
      <c r="E12" s="1131" t="s">
        <v>391</v>
      </c>
      <c r="F12" s="997"/>
    </row>
    <row r="13" spans="1:17">
      <c r="A13" s="993"/>
      <c r="B13" s="1016"/>
      <c r="C13" s="999"/>
      <c r="D13" s="987"/>
      <c r="E13" s="994"/>
      <c r="F13" s="997"/>
    </row>
    <row r="14" spans="1:17" ht="15" customHeight="1">
      <c r="A14" s="993">
        <v>2</v>
      </c>
      <c r="B14" s="1017" t="s">
        <v>386</v>
      </c>
      <c r="C14" s="972"/>
      <c r="D14" s="987"/>
      <c r="E14" s="994"/>
    </row>
    <row r="15" spans="1:17" ht="15" customHeight="1">
      <c r="A15" s="993"/>
      <c r="B15" s="1016" t="s">
        <v>385</v>
      </c>
      <c r="D15" s="1133">
        <v>0.48399999999999999</v>
      </c>
      <c r="E15" s="994"/>
    </row>
    <row r="16" spans="1:17" ht="39" customHeight="1">
      <c r="A16" s="993"/>
      <c r="B16" s="1016" t="s">
        <v>642</v>
      </c>
      <c r="C16" s="565"/>
      <c r="D16" s="1015" t="e">
        <f>ROUND(INDEX(Tabel4B[Afnameklanten op 26-1kV],8),7)</f>
        <v>#VALUE!</v>
      </c>
      <c r="E16" s="994" t="s">
        <v>384</v>
      </c>
    </row>
    <row r="17" spans="1:6">
      <c r="A17" s="993"/>
      <c r="B17" s="996"/>
      <c r="D17" s="987"/>
      <c r="E17" s="994"/>
    </row>
    <row r="18" spans="1:6">
      <c r="A18" s="993">
        <v>3</v>
      </c>
      <c r="B18" s="1017" t="s">
        <v>383</v>
      </c>
      <c r="C18" s="972"/>
      <c r="D18" s="987"/>
      <c r="E18" s="994"/>
    </row>
    <row r="19" spans="1:6">
      <c r="A19" s="993"/>
      <c r="B19" s="996" t="s">
        <v>507</v>
      </c>
      <c r="D19" s="1018" t="e">
        <f>ROUND(INDEX(Tabel4B[Afnameklanten op 26-1kV],9),2)</f>
        <v>#DIV/0!</v>
      </c>
      <c r="E19" s="994" t="s">
        <v>382</v>
      </c>
    </row>
    <row r="20" spans="1:6">
      <c r="A20" s="993"/>
      <c r="B20" s="996"/>
      <c r="D20" s="987"/>
      <c r="E20" s="994"/>
    </row>
    <row r="21" spans="1:6">
      <c r="A21" s="993">
        <v>4</v>
      </c>
      <c r="B21" s="1017" t="s">
        <v>640</v>
      </c>
      <c r="C21" s="972"/>
      <c r="D21" s="1015" t="e">
        <f>ROUND(INDEX(Tabel4B[Afnameklanten op 26-1kV],15),7)</f>
        <v>#VALUE!</v>
      </c>
      <c r="E21" s="994" t="s">
        <v>379</v>
      </c>
    </row>
    <row r="22" spans="1:6">
      <c r="A22" s="993"/>
      <c r="B22" s="1017"/>
      <c r="C22" s="972"/>
      <c r="D22" s="987"/>
      <c r="E22" s="994"/>
    </row>
    <row r="23" spans="1:6">
      <c r="A23" s="993">
        <v>5</v>
      </c>
      <c r="B23" s="1017" t="s">
        <v>381</v>
      </c>
      <c r="C23" s="972"/>
      <c r="D23" s="1015" t="e">
        <f>ROUND(INDEX(Tabel4B[Afnameklanten op 26-1kV],17),7)</f>
        <v>#VALUE!</v>
      </c>
      <c r="E23" s="994" t="s">
        <v>379</v>
      </c>
      <c r="F23" s="997"/>
    </row>
    <row r="24" spans="1:6">
      <c r="A24" s="993"/>
      <c r="B24" s="1017"/>
      <c r="C24" s="972"/>
      <c r="D24" s="987"/>
      <c r="E24" s="994"/>
      <c r="F24" s="997"/>
    </row>
    <row r="25" spans="1:6">
      <c r="A25" s="993">
        <v>6</v>
      </c>
      <c r="B25" s="1017" t="s">
        <v>555</v>
      </c>
      <c r="C25" s="972"/>
      <c r="D25" s="1015" t="e">
        <f>ROUND(INDEX(Tabel4B[Afnameklanten op 26-1kV],18),7)</f>
        <v>#DIV/0!</v>
      </c>
      <c r="E25" s="994" t="s">
        <v>379</v>
      </c>
    </row>
    <row r="26" spans="1:6">
      <c r="A26" s="993"/>
      <c r="B26" s="1017"/>
      <c r="C26" s="972"/>
      <c r="D26" s="987"/>
      <c r="E26" s="994"/>
    </row>
    <row r="27" spans="1:6" ht="15" thickBot="1">
      <c r="A27" s="1002"/>
      <c r="B27" s="1019" t="s">
        <v>380</v>
      </c>
      <c r="C27" s="1004"/>
      <c r="D27" s="1020">
        <f>'Max Afname MS'!$N$15</f>
        <v>0</v>
      </c>
      <c r="E27" s="1021" t="s">
        <v>379</v>
      </c>
    </row>
    <row r="28" spans="1:6" ht="15" thickBot="1">
      <c r="A28" s="1357"/>
      <c r="B28" s="1239"/>
      <c r="C28" s="634"/>
      <c r="D28" s="1239"/>
      <c r="E28" s="1245"/>
    </row>
    <row r="29" spans="1:6" ht="15" thickBot="1">
      <c r="A29" s="1388"/>
      <c r="B29" s="1387" t="s">
        <v>556</v>
      </c>
      <c r="C29" s="1466"/>
      <c r="D29" s="1467" t="e">
        <f>ROUND('T2'!$N$98,7)</f>
        <v>#VALUE!</v>
      </c>
      <c r="E29" s="1465"/>
    </row>
    <row r="30" spans="1:6">
      <c r="A30" s="1358"/>
      <c r="B30" s="1360"/>
      <c r="C30" s="1361"/>
      <c r="D30" s="1248"/>
      <c r="E30" s="1359"/>
    </row>
    <row r="31" spans="1:6" ht="30.75" customHeight="1" thickBot="1">
      <c r="A31" s="1358"/>
      <c r="B31" s="1950" t="s">
        <v>550</v>
      </c>
      <c r="C31" s="1950"/>
      <c r="D31" s="1950"/>
      <c r="E31" s="1950"/>
    </row>
    <row r="32" spans="1:6">
      <c r="A32" s="1129"/>
      <c r="B32" s="1951"/>
      <c r="C32" s="1951"/>
      <c r="D32" s="1951"/>
      <c r="E32" s="1951"/>
    </row>
    <row r="33" spans="1:5">
      <c r="A33" s="1129"/>
      <c r="B33" s="1951"/>
      <c r="C33" s="1951"/>
      <c r="D33" s="1951"/>
      <c r="E33" s="1951"/>
    </row>
    <row r="34" spans="1:5">
      <c r="A34" s="1129"/>
      <c r="B34" s="1951"/>
      <c r="C34" s="1951"/>
      <c r="D34" s="1951"/>
      <c r="E34" s="1951"/>
    </row>
    <row r="35" spans="1:5">
      <c r="A35" s="1129"/>
      <c r="B35" s="1951"/>
      <c r="C35" s="1951"/>
      <c r="D35" s="1951"/>
      <c r="E35" s="1951"/>
    </row>
    <row r="36" spans="1:5">
      <c r="A36" s="1129"/>
      <c r="B36" s="1951"/>
      <c r="C36" s="1951"/>
      <c r="D36" s="1951"/>
      <c r="E36" s="1951"/>
    </row>
    <row r="37" spans="1:5">
      <c r="A37" s="1129"/>
      <c r="B37" s="1951"/>
      <c r="C37" s="1951"/>
      <c r="D37" s="1951"/>
      <c r="E37" s="1951"/>
    </row>
    <row r="38" spans="1:5">
      <c r="A38" s="1129"/>
      <c r="B38" s="1951"/>
      <c r="C38" s="1951"/>
      <c r="D38" s="1951"/>
      <c r="E38" s="1951"/>
    </row>
    <row r="39" spans="1:5">
      <c r="A39" s="1129"/>
      <c r="B39" s="1951"/>
      <c r="C39" s="1951"/>
      <c r="D39" s="1951"/>
      <c r="E39" s="1951"/>
    </row>
    <row r="40" spans="1:5">
      <c r="A40" s="1129"/>
      <c r="B40" s="1951"/>
      <c r="C40" s="1951"/>
      <c r="D40" s="1951"/>
      <c r="E40" s="1951"/>
    </row>
    <row r="41" spans="1:5">
      <c r="A41" s="1129"/>
      <c r="B41" s="1951"/>
      <c r="C41" s="1951"/>
      <c r="D41" s="1951"/>
      <c r="E41" s="1951"/>
    </row>
    <row r="42" spans="1:5">
      <c r="A42" s="1129"/>
      <c r="B42" s="1951"/>
      <c r="C42" s="1951"/>
      <c r="D42" s="1951"/>
      <c r="E42" s="1951"/>
    </row>
    <row r="43" spans="1:5">
      <c r="A43" s="1129"/>
      <c r="B43" s="1951"/>
      <c r="C43" s="1951"/>
      <c r="D43" s="1951"/>
      <c r="E43" s="1951"/>
    </row>
    <row r="44" spans="1:5">
      <c r="A44" s="1129"/>
      <c r="B44" s="1951"/>
      <c r="C44" s="1951"/>
      <c r="D44" s="1951"/>
      <c r="E44" s="1951"/>
    </row>
    <row r="45" spans="1:5">
      <c r="A45" s="1129"/>
      <c r="B45" s="1951"/>
      <c r="C45" s="1951"/>
      <c r="D45" s="1951"/>
      <c r="E45" s="1951"/>
    </row>
    <row r="46" spans="1:5">
      <c r="A46" s="1129"/>
      <c r="B46" s="1951"/>
      <c r="C46" s="1951"/>
      <c r="D46" s="1951"/>
      <c r="E46" s="1951"/>
    </row>
    <row r="47" spans="1:5">
      <c r="A47" s="1129"/>
      <c r="B47" s="1951"/>
      <c r="C47" s="1951"/>
      <c r="D47" s="1951"/>
      <c r="E47" s="1951"/>
    </row>
    <row r="48" spans="1:5">
      <c r="A48" s="1129"/>
      <c r="B48" s="1951"/>
      <c r="C48" s="1951"/>
      <c r="D48" s="1951"/>
      <c r="E48" s="1951"/>
    </row>
    <row r="49" spans="1:6">
      <c r="A49" s="1132"/>
      <c r="B49" s="1951"/>
      <c r="C49" s="1951"/>
      <c r="D49" s="1951"/>
      <c r="E49" s="1951"/>
    </row>
    <row r="50" spans="1:6">
      <c r="A50" s="1132"/>
      <c r="B50" s="1951"/>
      <c r="C50" s="1951"/>
      <c r="D50" s="1951"/>
      <c r="E50" s="1951"/>
    </row>
    <row r="51" spans="1:6">
      <c r="A51" s="1132"/>
      <c r="B51" s="1951"/>
      <c r="C51" s="1951"/>
      <c r="D51" s="1951"/>
      <c r="E51" s="1951"/>
    </row>
    <row r="54" spans="1:6">
      <c r="B54" s="974"/>
      <c r="C54" s="972"/>
    </row>
    <row r="57" spans="1:6">
      <c r="B57" s="974"/>
      <c r="C57" s="972"/>
    </row>
    <row r="61" spans="1:6">
      <c r="B61" s="974"/>
      <c r="C61" s="972"/>
    </row>
    <row r="64" spans="1:6" s="972" customFormat="1">
      <c r="A64" s="982"/>
      <c r="B64" s="6"/>
      <c r="C64" s="1"/>
      <c r="D64" s="973"/>
      <c r="E64" s="975"/>
      <c r="F64" s="1"/>
    </row>
    <row r="65" spans="2:6">
      <c r="B65" s="974"/>
      <c r="C65" s="972"/>
      <c r="D65" s="971"/>
      <c r="E65" s="982"/>
      <c r="F65" s="972"/>
    </row>
    <row r="68" spans="2:6">
      <c r="B68" s="974"/>
      <c r="C68" s="972"/>
    </row>
    <row r="71" spans="2:6">
      <c r="B71" s="974"/>
      <c r="C71" s="972"/>
    </row>
    <row r="73" spans="2:6">
      <c r="B73" s="974"/>
      <c r="C73" s="972"/>
    </row>
    <row r="78" spans="2:6">
      <c r="B78" s="974"/>
      <c r="C78" s="972"/>
    </row>
    <row r="80" spans="2:6">
      <c r="B80" s="974"/>
      <c r="C80" s="972"/>
    </row>
    <row r="83" spans="2:3">
      <c r="B83" s="974"/>
      <c r="C83" s="972"/>
    </row>
    <row r="86" spans="2:3">
      <c r="B86" s="974"/>
      <c r="C86" s="972"/>
    </row>
    <row r="89" spans="2:3">
      <c r="B89" s="974"/>
      <c r="C89" s="972"/>
    </row>
    <row r="91" spans="2:3">
      <c r="B91" s="974"/>
      <c r="C91" s="972"/>
    </row>
    <row r="94" spans="2:3">
      <c r="B94" s="974"/>
      <c r="C94" s="972"/>
    </row>
  </sheetData>
  <sheetProtection algorithmName="SHA-512" hashValue="81Je2oFJb/OMPNiMF/hM4689hZmPpYHiDbNGPmLEH+zUPSi+odVM5HDcA61dqo3JBPLteRp9SDtjPPWMocrfHg==" saltValue="lgOi2ng2kvNLAHr4KNcWSQ==" spinCount="100000" sheet="1" objects="1" scenarios="1"/>
  <mergeCells count="23">
    <mergeCell ref="B38:E38"/>
    <mergeCell ref="B39:E39"/>
    <mergeCell ref="A1:E1"/>
    <mergeCell ref="B31:E31"/>
    <mergeCell ref="B32:E32"/>
    <mergeCell ref="B33:E33"/>
    <mergeCell ref="B34:E34"/>
    <mergeCell ref="B50:E50"/>
    <mergeCell ref="B51:E51"/>
    <mergeCell ref="B11:B12"/>
    <mergeCell ref="B45:E45"/>
    <mergeCell ref="B46:E46"/>
    <mergeCell ref="B47:E47"/>
    <mergeCell ref="B48:E48"/>
    <mergeCell ref="B49:E49"/>
    <mergeCell ref="B40:E40"/>
    <mergeCell ref="B41:E41"/>
    <mergeCell ref="B42:E42"/>
    <mergeCell ref="B43:E43"/>
    <mergeCell ref="B44:E44"/>
    <mergeCell ref="B35:E35"/>
    <mergeCell ref="B36:E36"/>
    <mergeCell ref="B37:E37"/>
  </mergeCells>
  <pageMargins left="0.70866141732283472" right="0.70866141732283472" top="0.74803149606299213" bottom="0.74803149606299213" header="0.31496062992125984" footer="0.31496062992125984"/>
  <pageSetup paperSize="9" scale="5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8034D-C0E1-4407-A2E4-3E3C77C9C3D3}">
  <sheetPr published="0">
    <pageSetUpPr fitToPage="1"/>
  </sheetPr>
  <dimension ref="A1:Q53"/>
  <sheetViews>
    <sheetView showGridLines="0" zoomScaleNormal="100" workbookViewId="0">
      <selection sqref="A1:E1"/>
    </sheetView>
  </sheetViews>
  <sheetFormatPr defaultColWidth="9.1796875" defaultRowHeight="14.5"/>
  <cols>
    <col min="1" max="1" width="3.453125" style="982" customWidth="1"/>
    <col min="2" max="2" width="108.81640625" style="6" customWidth="1"/>
    <col min="3" max="3" width="2.54296875" style="1" customWidth="1"/>
    <col min="4" max="4" width="15.54296875" style="973" customWidth="1"/>
    <col min="5" max="5" width="15.54296875" style="975" customWidth="1"/>
    <col min="6" max="16384" width="9.1796875" style="1"/>
  </cols>
  <sheetData>
    <row r="1" spans="1:17" ht="16" thickBot="1">
      <c r="A1" s="1960" t="str">
        <f>DNB&amp;" - ELEKTRICITEIT - Tarieflijst periodieke distributienettarieven "&amp;JAAR&amp;" - Afname"</f>
        <v>Naam distributienetbeheerder - ELEKTRICITEIT - Tarieflijst periodieke distributienettarieven  - Afname</v>
      </c>
      <c r="B1" s="1952"/>
      <c r="C1" s="1952"/>
      <c r="D1" s="1952"/>
      <c r="E1" s="1953"/>
      <c r="F1" s="981"/>
      <c r="G1" s="981"/>
      <c r="H1" s="981"/>
      <c r="I1" s="981"/>
      <c r="J1" s="981"/>
      <c r="K1" s="981"/>
      <c r="L1" s="981"/>
      <c r="M1" s="981"/>
      <c r="N1" s="981"/>
      <c r="O1" s="981"/>
      <c r="P1" s="981"/>
      <c r="Q1" s="981"/>
    </row>
    <row r="2" spans="1:17" ht="15" thickBot="1"/>
    <row r="3" spans="1:17" ht="15" thickBot="1">
      <c r="A3" s="1022" t="s">
        <v>411</v>
      </c>
      <c r="B3" s="556"/>
      <c r="C3" s="983"/>
      <c r="D3" s="1027" t="s">
        <v>396</v>
      </c>
      <c r="E3" s="985" t="s">
        <v>395</v>
      </c>
    </row>
    <row r="4" spans="1:17">
      <c r="A4" s="976" t="s">
        <v>410</v>
      </c>
      <c r="C4" s="986"/>
      <c r="D4" s="987"/>
    </row>
    <row r="5" spans="1:17" ht="15" thickBot="1">
      <c r="B5" s="974"/>
      <c r="C5" s="972"/>
      <c r="D5" s="987"/>
    </row>
    <row r="6" spans="1:17">
      <c r="A6" s="988">
        <v>1</v>
      </c>
      <c r="B6" s="1028" t="s">
        <v>554</v>
      </c>
      <c r="C6" s="1029"/>
      <c r="D6" s="1024"/>
      <c r="E6" s="1025"/>
    </row>
    <row r="7" spans="1:17">
      <c r="A7" s="1355" t="s">
        <v>393</v>
      </c>
      <c r="B7" s="1356" t="s">
        <v>392</v>
      </c>
      <c r="C7" s="978"/>
      <c r="D7" s="1015" t="e">
        <f>ROUND(INDEX(Tabel4B[Afnameklanten op TRLS],1),7)</f>
        <v>#VALUE!</v>
      </c>
      <c r="E7" s="994" t="s">
        <v>521</v>
      </c>
      <c r="F7" s="997"/>
    </row>
    <row r="8" spans="1:17">
      <c r="A8" s="993"/>
      <c r="B8" s="1128" t="s">
        <v>523</v>
      </c>
      <c r="C8" s="978"/>
      <c r="D8" s="1130" t="e">
        <f>ROUND($D$7*12,7)</f>
        <v>#VALUE!</v>
      </c>
      <c r="E8" s="1131" t="s">
        <v>391</v>
      </c>
      <c r="F8" s="997"/>
    </row>
    <row r="9" spans="1:17">
      <c r="A9" s="1355" t="s">
        <v>390</v>
      </c>
      <c r="B9" s="1356" t="s">
        <v>389</v>
      </c>
      <c r="C9" s="978"/>
      <c r="D9" s="1015" t="e">
        <f>ROUND(INDEX(Tabel4B[Afnameklanten op TRLS],2),7)</f>
        <v>#VALUE!</v>
      </c>
      <c r="E9" s="994" t="s">
        <v>387</v>
      </c>
      <c r="F9" s="997"/>
    </row>
    <row r="10" spans="1:17">
      <c r="A10" s="1355"/>
      <c r="B10" s="1128" t="s">
        <v>523</v>
      </c>
      <c r="C10" s="978"/>
      <c r="D10" s="1130" t="e">
        <f>ROUND($D$9*12,7)</f>
        <v>#VALUE!</v>
      </c>
      <c r="E10" s="1131" t="s">
        <v>391</v>
      </c>
      <c r="F10" s="997"/>
    </row>
    <row r="11" spans="1:17">
      <c r="A11" s="1355" t="s">
        <v>388</v>
      </c>
      <c r="B11" s="1956" t="s">
        <v>639</v>
      </c>
      <c r="C11" s="1030"/>
      <c r="D11" s="1015" t="e">
        <f>ROUND(INDEX(Tabel4B[Afnameklanten op TRLS],3),7)</f>
        <v>#VALUE!</v>
      </c>
      <c r="E11" s="994" t="s">
        <v>387</v>
      </c>
      <c r="F11" s="997"/>
    </row>
    <row r="12" spans="1:17" ht="30" customHeight="1">
      <c r="A12" s="1355"/>
      <c r="B12" s="1956"/>
      <c r="C12" s="1030"/>
      <c r="D12" s="1130" t="e">
        <f>ROUND($D$11*12,7)</f>
        <v>#VALUE!</v>
      </c>
      <c r="E12" s="1131" t="s">
        <v>391</v>
      </c>
      <c r="F12" s="997"/>
    </row>
    <row r="13" spans="1:17">
      <c r="A13" s="993"/>
      <c r="B13" s="565"/>
      <c r="C13" s="1030"/>
      <c r="D13" s="987"/>
      <c r="E13" s="994"/>
      <c r="F13" s="997"/>
    </row>
    <row r="14" spans="1:17">
      <c r="A14" s="993">
        <v>2</v>
      </c>
      <c r="B14" s="1023" t="s">
        <v>386</v>
      </c>
      <c r="C14" s="1031"/>
      <c r="D14" s="987"/>
      <c r="E14" s="994"/>
    </row>
    <row r="15" spans="1:17" ht="15" customHeight="1">
      <c r="A15" s="993"/>
      <c r="B15" s="565" t="s">
        <v>385</v>
      </c>
      <c r="C15" s="978"/>
      <c r="D15" s="1133">
        <v>0.48399999999999999</v>
      </c>
      <c r="E15" s="994"/>
    </row>
    <row r="16" spans="1:17" ht="26.5">
      <c r="A16" s="993"/>
      <c r="B16" s="565" t="s">
        <v>642</v>
      </c>
      <c r="C16" s="1032"/>
      <c r="D16" s="1015" t="e">
        <f>ROUND(INDEX(Tabel4B[Afnameklanten op TRLS],8),7)</f>
        <v>#VALUE!</v>
      </c>
      <c r="E16" s="994" t="s">
        <v>534</v>
      </c>
    </row>
    <row r="17" spans="1:6">
      <c r="A17" s="993"/>
      <c r="B17" s="563"/>
      <c r="C17" s="978"/>
      <c r="D17" s="987"/>
      <c r="E17" s="994"/>
    </row>
    <row r="18" spans="1:6">
      <c r="A18" s="993">
        <v>3</v>
      </c>
      <c r="B18" s="1023" t="s">
        <v>383</v>
      </c>
      <c r="C18" s="1031"/>
      <c r="D18" s="987"/>
      <c r="E18" s="994"/>
    </row>
    <row r="19" spans="1:6">
      <c r="A19" s="993"/>
      <c r="B19" s="563" t="s">
        <v>507</v>
      </c>
      <c r="C19" s="978"/>
      <c r="D19" s="1018" t="e">
        <f>ROUND(INDEX(Tabel4B[Afnameklanten op TRLS],9),2)</f>
        <v>#DIV/0!</v>
      </c>
      <c r="E19" s="994" t="s">
        <v>382</v>
      </c>
    </row>
    <row r="20" spans="1:6">
      <c r="A20" s="993"/>
      <c r="B20" s="563"/>
      <c r="C20" s="978"/>
      <c r="D20" s="1018"/>
      <c r="E20" s="994"/>
    </row>
    <row r="21" spans="1:6">
      <c r="A21" s="993">
        <v>4</v>
      </c>
      <c r="B21" s="1023" t="s">
        <v>640</v>
      </c>
      <c r="C21" s="1031"/>
      <c r="D21" s="987"/>
      <c r="E21" s="994"/>
    </row>
    <row r="22" spans="1:6">
      <c r="A22" s="993"/>
      <c r="B22" s="563" t="s">
        <v>406</v>
      </c>
      <c r="C22" s="978"/>
      <c r="D22" s="1015" t="e">
        <f>ROUND(INDEX(Tabel4B[Afnameklanten op TRLS],15),7)</f>
        <v>#VALUE!</v>
      </c>
      <c r="E22" s="994" t="s">
        <v>379</v>
      </c>
    </row>
    <row r="23" spans="1:6">
      <c r="A23" s="993"/>
      <c r="B23" s="563" t="s">
        <v>405</v>
      </c>
      <c r="C23" s="978"/>
      <c r="D23" s="1015" t="e">
        <f>ROUND(INDEX(Tabel4B[Afnameklanten op TRLS],16),7)</f>
        <v>#VALUE!</v>
      </c>
      <c r="E23" s="994" t="s">
        <v>379</v>
      </c>
    </row>
    <row r="24" spans="1:6">
      <c r="A24" s="993"/>
      <c r="B24" s="1023"/>
      <c r="C24" s="1031"/>
      <c r="D24" s="987"/>
      <c r="E24" s="994"/>
    </row>
    <row r="25" spans="1:6">
      <c r="A25" s="993">
        <v>5</v>
      </c>
      <c r="B25" s="1023" t="s">
        <v>381</v>
      </c>
      <c r="C25" s="1031"/>
      <c r="D25" s="1015" t="e">
        <f>ROUND(INDEX(Tabel4B[Afnameklanten op TRLS],17),7)</f>
        <v>#VALUE!</v>
      </c>
      <c r="E25" s="994" t="s">
        <v>379</v>
      </c>
      <c r="F25" s="997"/>
    </row>
    <row r="26" spans="1:6">
      <c r="A26" s="993"/>
      <c r="B26" s="1023"/>
      <c r="C26" s="1031"/>
      <c r="D26" s="987"/>
      <c r="E26" s="994"/>
      <c r="F26" s="997"/>
    </row>
    <row r="27" spans="1:6">
      <c r="A27" s="993">
        <v>6</v>
      </c>
      <c r="B27" s="1023" t="s">
        <v>643</v>
      </c>
      <c r="C27" s="1031"/>
      <c r="D27" s="1015" t="e">
        <f>ROUND(INDEX(Tabel4B[Afnameklanten op TRLS],18),7)</f>
        <v>#DIV/0!</v>
      </c>
      <c r="E27" s="994" t="s">
        <v>379</v>
      </c>
    </row>
    <row r="28" spans="1:6">
      <c r="A28" s="993"/>
      <c r="B28" s="1023"/>
      <c r="C28" s="1031"/>
      <c r="D28" s="987"/>
      <c r="E28" s="994"/>
    </row>
    <row r="29" spans="1:6" ht="15" thickBot="1">
      <c r="A29" s="1002"/>
      <c r="B29" s="1033" t="s">
        <v>380</v>
      </c>
      <c r="C29" s="1034"/>
      <c r="D29" s="1020">
        <f>'Max Afname TRLS'!$N$15</f>
        <v>0</v>
      </c>
      <c r="E29" s="1021" t="s">
        <v>379</v>
      </c>
    </row>
    <row r="30" spans="1:6" ht="15" thickBot="1">
      <c r="A30" s="1357"/>
      <c r="B30" s="1239"/>
      <c r="C30" s="634"/>
      <c r="D30" s="1239"/>
      <c r="E30" s="1245"/>
    </row>
    <row r="31" spans="1:6" ht="15" thickBot="1">
      <c r="A31" s="1388"/>
      <c r="B31" s="1387" t="s">
        <v>556</v>
      </c>
      <c r="C31" s="1466"/>
      <c r="D31" s="1467" t="e">
        <f>ROUND('T2'!$O$98,7)</f>
        <v>#VALUE!</v>
      </c>
      <c r="E31" s="1465"/>
    </row>
    <row r="32" spans="1:6">
      <c r="A32" s="1358"/>
      <c r="B32" s="1360"/>
      <c r="C32" s="1361"/>
      <c r="D32" s="1248"/>
      <c r="E32" s="1359"/>
    </row>
    <row r="33" spans="1:5" ht="30.75" customHeight="1" thickBot="1">
      <c r="A33" s="1358"/>
      <c r="B33" s="1950" t="s">
        <v>550</v>
      </c>
      <c r="C33" s="1950"/>
      <c r="D33" s="1950"/>
      <c r="E33" s="1950"/>
    </row>
    <row r="34" spans="1:5">
      <c r="A34" s="1129"/>
      <c r="B34" s="1951"/>
      <c r="C34" s="1951"/>
      <c r="D34" s="1951"/>
      <c r="E34" s="1951"/>
    </row>
    <row r="35" spans="1:5">
      <c r="A35" s="1129"/>
      <c r="B35" s="1951"/>
      <c r="C35" s="1951"/>
      <c r="D35" s="1951"/>
      <c r="E35" s="1951"/>
    </row>
    <row r="36" spans="1:5">
      <c r="A36" s="1129"/>
      <c r="B36" s="1951"/>
      <c r="C36" s="1951"/>
      <c r="D36" s="1951"/>
      <c r="E36" s="1951"/>
    </row>
    <row r="37" spans="1:5">
      <c r="A37" s="1129"/>
      <c r="B37" s="1951"/>
      <c r="C37" s="1951"/>
      <c r="D37" s="1951"/>
      <c r="E37" s="1951"/>
    </row>
    <row r="38" spans="1:5">
      <c r="A38" s="1129"/>
      <c r="B38" s="1951"/>
      <c r="C38" s="1951"/>
      <c r="D38" s="1951"/>
      <c r="E38" s="1951"/>
    </row>
    <row r="39" spans="1:5">
      <c r="A39" s="1129"/>
      <c r="B39" s="1951"/>
      <c r="C39" s="1951"/>
      <c r="D39" s="1951"/>
      <c r="E39" s="1951"/>
    </row>
    <row r="40" spans="1:5">
      <c r="A40" s="1129"/>
      <c r="B40" s="1951"/>
      <c r="C40" s="1951"/>
      <c r="D40" s="1951"/>
      <c r="E40" s="1951"/>
    </row>
    <row r="41" spans="1:5">
      <c r="A41" s="1129"/>
      <c r="B41" s="1951"/>
      <c r="C41" s="1951"/>
      <c r="D41" s="1951"/>
      <c r="E41" s="1951"/>
    </row>
    <row r="42" spans="1:5">
      <c r="A42" s="1129"/>
      <c r="B42" s="1951"/>
      <c r="C42" s="1951"/>
      <c r="D42" s="1951"/>
      <c r="E42" s="1951"/>
    </row>
    <row r="43" spans="1:5">
      <c r="A43" s="1129"/>
      <c r="B43" s="1951"/>
      <c r="C43" s="1951"/>
      <c r="D43" s="1951"/>
      <c r="E43" s="1951"/>
    </row>
    <row r="44" spans="1:5">
      <c r="A44" s="1129"/>
      <c r="B44" s="1951"/>
      <c r="C44" s="1951"/>
      <c r="D44" s="1951"/>
      <c r="E44" s="1951"/>
    </row>
    <row r="45" spans="1:5">
      <c r="A45" s="1129"/>
      <c r="B45" s="1951"/>
      <c r="C45" s="1951"/>
      <c r="D45" s="1951"/>
      <c r="E45" s="1951"/>
    </row>
    <row r="46" spans="1:5">
      <c r="A46" s="1129"/>
      <c r="B46" s="1951"/>
      <c r="C46" s="1951"/>
      <c r="D46" s="1951"/>
      <c r="E46" s="1951"/>
    </row>
    <row r="47" spans="1:5">
      <c r="A47" s="1129"/>
      <c r="B47" s="1951"/>
      <c r="C47" s="1951"/>
      <c r="D47" s="1951"/>
      <c r="E47" s="1951"/>
    </row>
    <row r="48" spans="1:5">
      <c r="A48" s="1129"/>
      <c r="B48" s="1951"/>
      <c r="C48" s="1951"/>
      <c r="D48" s="1951"/>
      <c r="E48" s="1951"/>
    </row>
    <row r="49" spans="1:5">
      <c r="A49" s="1129"/>
      <c r="B49" s="1951"/>
      <c r="C49" s="1951"/>
      <c r="D49" s="1951"/>
      <c r="E49" s="1951"/>
    </row>
    <row r="50" spans="1:5">
      <c r="A50" s="1129"/>
      <c r="B50" s="1951"/>
      <c r="C50" s="1951"/>
      <c r="D50" s="1951"/>
      <c r="E50" s="1951"/>
    </row>
    <row r="51" spans="1:5">
      <c r="A51" s="1132"/>
      <c r="B51" s="1951"/>
      <c r="C51" s="1951"/>
      <c r="D51" s="1951"/>
      <c r="E51" s="1951"/>
    </row>
    <row r="52" spans="1:5">
      <c r="A52" s="1132"/>
      <c r="B52" s="1951"/>
      <c r="C52" s="1951"/>
      <c r="D52" s="1951"/>
      <c r="E52" s="1951"/>
    </row>
    <row r="53" spans="1:5">
      <c r="A53" s="1132"/>
      <c r="B53" s="1951"/>
      <c r="C53" s="1951"/>
      <c r="D53" s="1951"/>
      <c r="E53" s="1951"/>
    </row>
  </sheetData>
  <sheetProtection algorithmName="SHA-512" hashValue="gCgND2KVVfbbZc2we4Ut/PXVSEVjnAPVwPRGuqavMLmfqxwJRSnw0pvddrZXYipjSnVXL4Nth2F84m5PVSn1/w==" saltValue="QzNmE4/uoeiuJQxZy67aRQ==" spinCount="100000" sheet="1" objects="1" scenarios="1"/>
  <mergeCells count="23">
    <mergeCell ref="A1:E1"/>
    <mergeCell ref="B11:B12"/>
    <mergeCell ref="B33:E33"/>
    <mergeCell ref="B34:E34"/>
    <mergeCell ref="B35:E35"/>
    <mergeCell ref="B36:E36"/>
    <mergeCell ref="B37:E37"/>
    <mergeCell ref="B38:E38"/>
    <mergeCell ref="B39:E39"/>
    <mergeCell ref="B40:E40"/>
    <mergeCell ref="B41:E41"/>
    <mergeCell ref="B42:E42"/>
    <mergeCell ref="B43:E43"/>
    <mergeCell ref="B44:E44"/>
    <mergeCell ref="B45:E45"/>
    <mergeCell ref="B51:E51"/>
    <mergeCell ref="B52:E52"/>
    <mergeCell ref="B53:E53"/>
    <mergeCell ref="B46:E46"/>
    <mergeCell ref="B47:E47"/>
    <mergeCell ref="B48:E48"/>
    <mergeCell ref="B49:E49"/>
    <mergeCell ref="B50:E50"/>
  </mergeCells>
  <pageMargins left="0.70866141732283472" right="0.70866141732283472" top="0.74803149606299213" bottom="0.74803149606299213" header="0.31496062992125984" footer="0.31496062992125984"/>
  <pageSetup paperSize="9" scale="77" fitToWidth="2"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51384-EEC6-4ED7-BA35-85EE1052D038}">
  <sheetPr published="0">
    <pageSetUpPr fitToPage="1"/>
  </sheetPr>
  <dimension ref="A1:Q100"/>
  <sheetViews>
    <sheetView showGridLines="0" zoomScaleNormal="100" workbookViewId="0">
      <selection sqref="A1:E1"/>
    </sheetView>
  </sheetViews>
  <sheetFormatPr defaultColWidth="9.1796875" defaultRowHeight="14.5"/>
  <cols>
    <col min="1" max="1" width="3.453125" style="982" customWidth="1"/>
    <col min="2" max="2" width="108.81640625" style="1039" customWidth="1"/>
    <col min="3" max="3" width="2.54296875" style="1" customWidth="1"/>
    <col min="4" max="4" width="15.54296875" style="973" customWidth="1"/>
    <col min="5" max="5" width="15.54296875" style="975" customWidth="1"/>
    <col min="6" max="9" width="9.1796875" style="1"/>
    <col min="10" max="10" width="10.54296875" style="1" bestFit="1" customWidth="1"/>
    <col min="11" max="16384" width="9.1796875" style="1"/>
  </cols>
  <sheetData>
    <row r="1" spans="1:17" ht="15.4" customHeight="1" thickBot="1">
      <c r="A1" s="1966" t="str">
        <f>DNB&amp;" - ELEKTRICITEIT - Tarieflijst periodieke distributienettarieven "&amp;JAAR&amp;" - Afname"</f>
        <v>Naam distributienetbeheerder - ELEKTRICITEIT - Tarieflijst periodieke distributienettarieven  - Afname</v>
      </c>
      <c r="B1" s="1967"/>
      <c r="C1" s="1967"/>
      <c r="D1" s="1967"/>
      <c r="E1" s="1968"/>
      <c r="F1" s="981"/>
      <c r="G1" s="981"/>
      <c r="H1" s="981"/>
      <c r="I1" s="981"/>
      <c r="J1" s="981"/>
      <c r="K1" s="981"/>
      <c r="L1" s="981"/>
      <c r="M1" s="981"/>
      <c r="N1" s="981"/>
      <c r="O1" s="981"/>
      <c r="P1" s="981"/>
      <c r="Q1" s="981"/>
    </row>
    <row r="2" spans="1:17" ht="15" thickBot="1"/>
    <row r="3" spans="1:17" ht="15" thickBot="1">
      <c r="A3" s="1964" t="s">
        <v>416</v>
      </c>
      <c r="B3" s="1965"/>
      <c r="C3" s="983"/>
      <c r="D3" s="984"/>
      <c r="E3" s="1011"/>
    </row>
    <row r="4" spans="1:17">
      <c r="A4" s="1013" t="s">
        <v>415</v>
      </c>
      <c r="C4" s="986"/>
      <c r="D4" s="987"/>
    </row>
    <row r="5" spans="1:17" ht="15" thickBot="1">
      <c r="B5" s="1040"/>
      <c r="C5" s="972"/>
      <c r="D5" s="987"/>
    </row>
    <row r="6" spans="1:17" ht="15" thickBot="1">
      <c r="A6" s="1041" t="s">
        <v>517</v>
      </c>
      <c r="B6" s="1042"/>
      <c r="C6" s="556"/>
      <c r="D6" s="1043" t="s">
        <v>396</v>
      </c>
      <c r="E6" s="1044" t="s">
        <v>395</v>
      </c>
    </row>
    <row r="7" spans="1:17">
      <c r="A7" s="988">
        <v>1</v>
      </c>
      <c r="B7" s="1045" t="s">
        <v>554</v>
      </c>
      <c r="C7" s="990"/>
      <c r="D7" s="1024"/>
      <c r="E7" s="1025"/>
    </row>
    <row r="8" spans="1:17" ht="15" customHeight="1">
      <c r="A8" s="1468" t="s">
        <v>393</v>
      </c>
      <c r="B8" s="998" t="s">
        <v>645</v>
      </c>
      <c r="D8" s="1015" t="e">
        <f>ROUND(INDEX(Tabel4B[Afnameklanten op LS met piekmeting],4),7)</f>
        <v>#DIV/0!</v>
      </c>
      <c r="E8" s="994" t="s">
        <v>408</v>
      </c>
      <c r="F8" s="997"/>
    </row>
    <row r="9" spans="1:17" ht="32.25" customHeight="1">
      <c r="A9" s="1054"/>
      <c r="B9" s="1469" t="s">
        <v>646</v>
      </c>
      <c r="D9" s="1130" t="e">
        <f>ROUND($D$8/12,7)</f>
        <v>#DIV/0!</v>
      </c>
      <c r="E9" s="1131" t="s">
        <v>387</v>
      </c>
      <c r="F9" s="997"/>
    </row>
    <row r="10" spans="1:17">
      <c r="A10" s="1468" t="s">
        <v>390</v>
      </c>
      <c r="B10" s="994" t="s">
        <v>406</v>
      </c>
      <c r="D10" s="1015" t="e">
        <f>ROUND(INDEX(Tabel4B[Afnameklanten op LS met piekmeting],6),7)</f>
        <v>#DIV/0!</v>
      </c>
      <c r="E10" s="994" t="s">
        <v>379</v>
      </c>
      <c r="F10" s="997"/>
    </row>
    <row r="11" spans="1:17">
      <c r="A11" s="993"/>
      <c r="B11" s="998"/>
      <c r="D11" s="987"/>
      <c r="E11" s="994"/>
    </row>
    <row r="12" spans="1:17">
      <c r="A12" s="993">
        <v>2</v>
      </c>
      <c r="B12" s="1046" t="s">
        <v>383</v>
      </c>
      <c r="C12" s="972"/>
      <c r="D12" s="987"/>
      <c r="E12" s="994"/>
    </row>
    <row r="13" spans="1:17">
      <c r="A13" s="993"/>
      <c r="B13" s="996" t="s">
        <v>508</v>
      </c>
      <c r="D13" s="1018" t="e">
        <f>ROUND(INDEX(Tabel4B[Afnameklanten op LS met piekmeting],12),2)</f>
        <v>#DIV/0!</v>
      </c>
      <c r="E13" s="994" t="s">
        <v>382</v>
      </c>
    </row>
    <row r="14" spans="1:17">
      <c r="A14" s="993"/>
      <c r="B14" s="996" t="s">
        <v>509</v>
      </c>
      <c r="D14" s="1018" t="e">
        <f>ROUND(INDEX(Tabel4B[Afnameklanten op LS met piekmeting],11),2)</f>
        <v>#DIV/0!</v>
      </c>
      <c r="E14" s="994" t="s">
        <v>382</v>
      </c>
    </row>
    <row r="15" spans="1:17">
      <c r="A15" s="993"/>
      <c r="B15" s="998"/>
      <c r="D15" s="987"/>
      <c r="E15" s="994"/>
    </row>
    <row r="16" spans="1:17">
      <c r="A16" s="993">
        <v>3</v>
      </c>
      <c r="B16" s="1046" t="s">
        <v>640</v>
      </c>
      <c r="C16" s="972"/>
      <c r="D16" s="987"/>
      <c r="E16" s="994"/>
    </row>
    <row r="17" spans="1:6">
      <c r="A17" s="993"/>
      <c r="B17" s="998" t="s">
        <v>406</v>
      </c>
      <c r="C17" s="972"/>
      <c r="D17" s="1015" t="e">
        <f>ROUND(INDEX(Tabel4B[Afnameklanten op LS met piekmeting],15),7)</f>
        <v>#VALUE!</v>
      </c>
      <c r="E17" s="994" t="s">
        <v>379</v>
      </c>
    </row>
    <row r="18" spans="1:6">
      <c r="A18" s="993"/>
      <c r="B18" s="998" t="s">
        <v>405</v>
      </c>
      <c r="C18" s="972"/>
      <c r="D18" s="1015" t="e">
        <f>ROUND(INDEX(Tabel4B[Afnameklanten op LS met piekmeting],16),7)</f>
        <v>#VALUE!</v>
      </c>
      <c r="E18" s="994" t="s">
        <v>379</v>
      </c>
    </row>
    <row r="19" spans="1:6">
      <c r="A19" s="993"/>
      <c r="B19" s="1046"/>
      <c r="C19" s="972"/>
      <c r="D19" s="987"/>
      <c r="E19" s="994"/>
    </row>
    <row r="20" spans="1:6">
      <c r="A20" s="993">
        <v>4</v>
      </c>
      <c r="B20" s="1046" t="s">
        <v>381</v>
      </c>
      <c r="C20" s="972"/>
      <c r="D20" s="1015" t="e">
        <f>ROUND(INDEX(Tabel4B[Afnameklanten op LS met piekmeting],17),7)</f>
        <v>#VALUE!</v>
      </c>
      <c r="E20" s="994" t="s">
        <v>379</v>
      </c>
      <c r="F20" s="997"/>
    </row>
    <row r="21" spans="1:6">
      <c r="A21" s="993"/>
      <c r="B21" s="1046"/>
      <c r="C21" s="972"/>
      <c r="D21" s="987"/>
      <c r="E21" s="994"/>
      <c r="F21" s="997"/>
    </row>
    <row r="22" spans="1:6">
      <c r="A22" s="993">
        <v>5</v>
      </c>
      <c r="B22" s="1046" t="s">
        <v>643</v>
      </c>
      <c r="C22" s="972"/>
      <c r="D22" s="1015" t="e">
        <f>ROUND(INDEX(Tabel4B[Afnameklanten op LS met piekmeting],18),7)</f>
        <v>#DIV/0!</v>
      </c>
      <c r="E22" s="994" t="s">
        <v>379</v>
      </c>
    </row>
    <row r="23" spans="1:6">
      <c r="A23" s="993"/>
      <c r="B23" s="1046"/>
      <c r="C23" s="972"/>
      <c r="D23" s="987"/>
      <c r="E23" s="994"/>
    </row>
    <row r="24" spans="1:6" ht="15" thickBot="1">
      <c r="A24" s="1002"/>
      <c r="B24" s="1003" t="s">
        <v>414</v>
      </c>
      <c r="C24" s="1004"/>
      <c r="D24" s="1020">
        <f>'Max Afname LS'!$K$14</f>
        <v>0</v>
      </c>
      <c r="E24" s="1021" t="s">
        <v>379</v>
      </c>
    </row>
    <row r="25" spans="1:6" ht="15" thickBot="1">
      <c r="B25" s="562"/>
    </row>
    <row r="26" spans="1:6" ht="15" thickBot="1">
      <c r="A26" s="1022" t="s">
        <v>438</v>
      </c>
      <c r="B26" s="1042"/>
      <c r="C26" s="556"/>
      <c r="D26" s="1043" t="s">
        <v>396</v>
      </c>
      <c r="E26" s="1044" t="s">
        <v>395</v>
      </c>
    </row>
    <row r="27" spans="1:6">
      <c r="A27" s="988">
        <v>1</v>
      </c>
      <c r="B27" s="1045" t="s">
        <v>554</v>
      </c>
      <c r="C27" s="990"/>
      <c r="D27" s="1024"/>
      <c r="E27" s="1025"/>
    </row>
    <row r="28" spans="1:6" ht="15" customHeight="1">
      <c r="A28" s="1355" t="s">
        <v>393</v>
      </c>
      <c r="B28" s="998" t="s">
        <v>413</v>
      </c>
      <c r="C28" s="161"/>
      <c r="D28" s="1038" t="e">
        <f>ROUND(INDEX(Tabel4B[Afnameklanten op LS met klassieke meter],5),2)</f>
        <v>#DIV/0!</v>
      </c>
      <c r="E28" s="994" t="s">
        <v>412</v>
      </c>
      <c r="F28" s="997"/>
    </row>
    <row r="29" spans="1:6" ht="15" customHeight="1">
      <c r="A29" s="1355" t="s">
        <v>390</v>
      </c>
      <c r="B29" s="998" t="s">
        <v>406</v>
      </c>
      <c r="C29" s="161"/>
      <c r="D29" s="1037" t="e">
        <f>ROUND(INDEX(Tabel4B[Afnameklanten op LS met klassieke meter],6),7)</f>
        <v>#DIV/0!</v>
      </c>
      <c r="E29" s="994" t="s">
        <v>379</v>
      </c>
      <c r="F29" s="997"/>
    </row>
    <row r="30" spans="1:6">
      <c r="A30" s="993"/>
      <c r="B30" s="998"/>
      <c r="C30" s="161"/>
      <c r="D30" s="1035"/>
      <c r="E30" s="994"/>
    </row>
    <row r="31" spans="1:6">
      <c r="A31" s="993">
        <v>2</v>
      </c>
      <c r="B31" s="1046" t="s">
        <v>383</v>
      </c>
      <c r="C31" s="1036"/>
      <c r="D31" s="1035"/>
      <c r="E31" s="994"/>
    </row>
    <row r="32" spans="1:6">
      <c r="A32" s="993"/>
      <c r="B32" s="998" t="s">
        <v>509</v>
      </c>
      <c r="C32" s="161"/>
      <c r="D32" s="1038" t="e">
        <f>ROUND(INDEX(Tabel4B[Afnameklanten op LS met klassieke meter],13),2)</f>
        <v>#DIV/0!</v>
      </c>
      <c r="E32" s="994" t="s">
        <v>382</v>
      </c>
    </row>
    <row r="33" spans="1:6">
      <c r="A33" s="993"/>
      <c r="B33" s="998"/>
      <c r="C33" s="161"/>
      <c r="D33" s="1035"/>
      <c r="E33" s="994"/>
    </row>
    <row r="34" spans="1:6">
      <c r="A34" s="993">
        <v>3</v>
      </c>
      <c r="B34" s="1046" t="s">
        <v>640</v>
      </c>
      <c r="C34" s="1036"/>
      <c r="D34" s="1035"/>
      <c r="E34" s="994"/>
    </row>
    <row r="35" spans="1:6">
      <c r="A35" s="993"/>
      <c r="B35" s="998" t="s">
        <v>406</v>
      </c>
      <c r="C35" s="1036"/>
      <c r="D35" s="1037" t="e">
        <f>ROUND(INDEX(Tabel4B[Afnameklanten op LS met klassieke meter],15),7)</f>
        <v>#VALUE!</v>
      </c>
      <c r="E35" s="994" t="s">
        <v>379</v>
      </c>
    </row>
    <row r="36" spans="1:6">
      <c r="A36" s="993"/>
      <c r="B36" s="998" t="s">
        <v>405</v>
      </c>
      <c r="C36" s="1036"/>
      <c r="D36" s="1037" t="e">
        <f>ROUND(INDEX(Tabel4B[Afnameklanten op LS met klassieke meter],16),7)</f>
        <v>#VALUE!</v>
      </c>
      <c r="E36" s="994" t="s">
        <v>379</v>
      </c>
    </row>
    <row r="37" spans="1:6">
      <c r="A37" s="993"/>
      <c r="B37" s="1046"/>
      <c r="C37" s="1036"/>
      <c r="D37" s="1035"/>
      <c r="E37" s="994"/>
    </row>
    <row r="38" spans="1:6">
      <c r="A38" s="993">
        <v>4</v>
      </c>
      <c r="B38" s="1046" t="s">
        <v>381</v>
      </c>
      <c r="C38" s="1036"/>
      <c r="D38" s="1037" t="e">
        <f>ROUND(INDEX(Tabel4B[Afnameklanten op LS met klassieke meter],17),7)</f>
        <v>#VALUE!</v>
      </c>
      <c r="E38" s="994" t="s">
        <v>379</v>
      </c>
      <c r="F38" s="997"/>
    </row>
    <row r="39" spans="1:6">
      <c r="A39" s="993"/>
      <c r="B39" s="1046"/>
      <c r="C39" s="1036"/>
      <c r="D39" s="1035"/>
      <c r="E39" s="994"/>
      <c r="F39" s="997"/>
    </row>
    <row r="40" spans="1:6" ht="15" thickBot="1">
      <c r="A40" s="1470">
        <v>5</v>
      </c>
      <c r="B40" s="1471" t="s">
        <v>643</v>
      </c>
      <c r="C40" s="1472"/>
      <c r="D40" s="1473" t="e">
        <f>ROUND(INDEX(Tabel4B[Afnameklanten op LS met klassieke meter],18),7)</f>
        <v>#DIV/0!</v>
      </c>
      <c r="E40" s="1474" t="s">
        <v>379</v>
      </c>
    </row>
    <row r="41" spans="1:6" ht="15" thickBot="1">
      <c r="B41" s="562"/>
    </row>
    <row r="42" spans="1:6" ht="15" thickBot="1">
      <c r="A42" s="1022" t="s">
        <v>437</v>
      </c>
      <c r="B42" s="1047"/>
      <c r="C42" s="1009"/>
      <c r="D42" s="1043" t="s">
        <v>396</v>
      </c>
      <c r="E42" s="1044" t="s">
        <v>395</v>
      </c>
    </row>
    <row r="43" spans="1:6">
      <c r="A43" s="988">
        <v>1</v>
      </c>
      <c r="B43" s="1048" t="s">
        <v>653</v>
      </c>
      <c r="C43" s="270"/>
      <c r="D43" s="1024"/>
      <c r="E43" s="1025"/>
      <c r="F43" s="997"/>
    </row>
    <row r="44" spans="1:6" ht="15" customHeight="1">
      <c r="A44" s="1355" t="s">
        <v>393</v>
      </c>
      <c r="B44" s="998" t="s">
        <v>516</v>
      </c>
      <c r="C44" s="161"/>
      <c r="D44" s="1038" t="e">
        <f>ROUND(INDEX(Tabel4B[Afnameklanten op LS met klassieke meter],5),2)</f>
        <v>#DIV/0!</v>
      </c>
      <c r="E44" s="994" t="s">
        <v>412</v>
      </c>
      <c r="F44" s="997"/>
    </row>
    <row r="45" spans="1:6" ht="15" customHeight="1">
      <c r="A45" s="1355" t="s">
        <v>390</v>
      </c>
      <c r="B45" s="998" t="s">
        <v>406</v>
      </c>
      <c r="C45" s="161"/>
      <c r="D45" s="1037" t="e">
        <f>ROUND(INDEX(Tabel4B[Afnameklanten op LS met klassieke meter],6),7)</f>
        <v>#DIV/0!</v>
      </c>
      <c r="E45" s="994" t="s">
        <v>409</v>
      </c>
      <c r="F45" s="997"/>
    </row>
    <row r="46" spans="1:6">
      <c r="A46" s="993"/>
      <c r="B46" s="1049"/>
      <c r="C46" s="999"/>
      <c r="D46" s="987"/>
      <c r="E46" s="994"/>
      <c r="F46" s="997"/>
    </row>
    <row r="47" spans="1:6">
      <c r="A47" s="993">
        <v>2</v>
      </c>
      <c r="B47" s="1050" t="s">
        <v>383</v>
      </c>
      <c r="C47" s="972"/>
      <c r="D47" s="987"/>
      <c r="E47" s="994"/>
    </row>
    <row r="48" spans="1:6">
      <c r="A48" s="993"/>
      <c r="B48" s="996" t="s">
        <v>509</v>
      </c>
      <c r="D48" s="1038" t="e">
        <f>ROUND(INDEX(Tabel4B[Afnameklanten op LS (∑)],11),2)</f>
        <v>#DIV/0!</v>
      </c>
      <c r="E48" s="994" t="s">
        <v>382</v>
      </c>
    </row>
    <row r="49" spans="1:6">
      <c r="A49" s="993"/>
      <c r="B49" s="998"/>
      <c r="D49" s="987"/>
      <c r="E49" s="994"/>
    </row>
    <row r="50" spans="1:6">
      <c r="A50" s="993">
        <v>3</v>
      </c>
      <c r="B50" s="1050" t="s">
        <v>640</v>
      </c>
      <c r="C50" s="972"/>
      <c r="D50" s="987"/>
      <c r="E50" s="994"/>
    </row>
    <row r="51" spans="1:6" ht="16.5">
      <c r="A51" s="993"/>
      <c r="B51" s="998" t="s">
        <v>406</v>
      </c>
      <c r="C51" s="972"/>
      <c r="D51" s="1015" t="e">
        <f>ROUND(INDEX(Tabel4B[Afnameklanten op LS met klassieke meter],15),7)</f>
        <v>#VALUE!</v>
      </c>
      <c r="E51" s="994" t="s">
        <v>409</v>
      </c>
    </row>
    <row r="52" spans="1:6">
      <c r="A52" s="993"/>
      <c r="B52" s="998" t="s">
        <v>405</v>
      </c>
      <c r="C52" s="972"/>
      <c r="D52" s="1015" t="e">
        <f>ROUND(INDEX(Tabel4B[Afnameklanten op LS met klassieke meter],16),7)</f>
        <v>#VALUE!</v>
      </c>
      <c r="E52" s="994" t="s">
        <v>379</v>
      </c>
    </row>
    <row r="53" spans="1:6">
      <c r="A53" s="993"/>
      <c r="B53" s="998"/>
      <c r="C53" s="972"/>
      <c r="D53" s="987"/>
      <c r="E53" s="994"/>
    </row>
    <row r="54" spans="1:6" ht="16.5">
      <c r="A54" s="993">
        <v>4</v>
      </c>
      <c r="B54" s="1050" t="s">
        <v>381</v>
      </c>
      <c r="C54" s="972"/>
      <c r="D54" s="1015" t="e">
        <f>ROUND(INDEX(Tabel4B[Afnameklanten op LS met klassieke meter],17),7)</f>
        <v>#VALUE!</v>
      </c>
      <c r="E54" s="994" t="s">
        <v>409</v>
      </c>
      <c r="F54" s="997"/>
    </row>
    <row r="55" spans="1:6">
      <c r="A55" s="993"/>
      <c r="B55" s="1050"/>
      <c r="C55" s="972"/>
      <c r="D55" s="987"/>
      <c r="E55" s="994"/>
      <c r="F55" s="997"/>
    </row>
    <row r="56" spans="1:6" ht="16.5">
      <c r="A56" s="993">
        <v>5</v>
      </c>
      <c r="B56" s="1050" t="s">
        <v>647</v>
      </c>
      <c r="C56" s="972"/>
      <c r="D56" s="1015" t="e">
        <f>ROUND(INDEX(Tabel4B[Afnameklanten op LS met klassieke meter],18),7)</f>
        <v>#DIV/0!</v>
      </c>
      <c r="E56" s="994" t="s">
        <v>409</v>
      </c>
    </row>
    <row r="57" spans="1:6">
      <c r="A57" s="993"/>
      <c r="B57" s="1050"/>
      <c r="C57" s="972"/>
      <c r="D57" s="987"/>
      <c r="E57" s="994"/>
    </row>
    <row r="58" spans="1:6" ht="15" thickBot="1">
      <c r="A58" s="1002">
        <v>6</v>
      </c>
      <c r="B58" s="1051" t="s">
        <v>553</v>
      </c>
      <c r="C58" s="1004"/>
      <c r="D58" s="1473">
        <f>ROUND(INDEX(Tabel4B[Afnameklanten op LS met klassieke meter],19),7)</f>
        <v>0</v>
      </c>
      <c r="E58" s="1021" t="s">
        <v>408</v>
      </c>
    </row>
    <row r="59" spans="1:6" ht="15" thickBot="1">
      <c r="A59" s="1357"/>
      <c r="B59" s="1239"/>
      <c r="C59" s="634"/>
      <c r="D59" s="1239"/>
      <c r="E59" s="1245"/>
    </row>
    <row r="60" spans="1:6">
      <c r="A60" s="1453"/>
      <c r="B60" s="1476" t="s">
        <v>556</v>
      </c>
      <c r="C60" s="1477"/>
      <c r="D60" s="1478"/>
      <c r="E60" s="1479"/>
    </row>
    <row r="61" spans="1:6">
      <c r="A61" s="1408"/>
      <c r="B61" s="1485" t="s">
        <v>650</v>
      </c>
      <c r="C61" s="1480"/>
      <c r="D61" s="1475" t="e">
        <f>ROUND('T2'!$Q$98,7)</f>
        <v>#DIV/0!</v>
      </c>
      <c r="E61" s="1481"/>
    </row>
    <row r="62" spans="1:6">
      <c r="A62" s="1408"/>
      <c r="B62" s="1485" t="s">
        <v>651</v>
      </c>
      <c r="C62" s="1480"/>
      <c r="D62" s="1475" t="e">
        <f>ROUND('T2'!$R$98,7)</f>
        <v>#DIV/0!</v>
      </c>
      <c r="E62" s="1481"/>
    </row>
    <row r="63" spans="1:6" ht="15" thickBot="1">
      <c r="A63" s="1399"/>
      <c r="B63" s="1486" t="s">
        <v>652</v>
      </c>
      <c r="C63" s="1482"/>
      <c r="D63" s="1483" t="e">
        <f>ROUND('T2'!$R$98,7)</f>
        <v>#DIV/0!</v>
      </c>
      <c r="E63" s="1484"/>
    </row>
    <row r="64" spans="1:6" ht="15" thickBot="1">
      <c r="A64" s="1358"/>
      <c r="B64" s="1360"/>
      <c r="C64" s="1361"/>
      <c r="D64" s="1248"/>
      <c r="E64" s="1359"/>
    </row>
    <row r="65" spans="1:5" ht="15.75" customHeight="1" thickBot="1">
      <c r="A65" s="1498"/>
      <c r="B65" s="1961" t="s">
        <v>654</v>
      </c>
      <c r="C65" s="1962"/>
      <c r="D65" s="1962"/>
      <c r="E65" s="1963"/>
    </row>
    <row r="66" spans="1:5" ht="29.5" thickBot="1">
      <c r="A66" s="1498"/>
      <c r="B66" s="1495" t="s">
        <v>547</v>
      </c>
      <c r="C66" s="1489"/>
      <c r="D66" s="1490" t="s">
        <v>548</v>
      </c>
      <c r="E66" s="1375" t="s">
        <v>549</v>
      </c>
    </row>
    <row r="67" spans="1:5">
      <c r="A67" s="1499"/>
      <c r="B67" s="1496" t="s">
        <v>535</v>
      </c>
      <c r="C67" s="1491"/>
      <c r="D67" s="1492">
        <v>3.6834499999999999E-2</v>
      </c>
      <c r="E67" s="1369">
        <f t="shared" ref="E67:E78" si="0">ROUND($P82*$D$58,7)</f>
        <v>0</v>
      </c>
    </row>
    <row r="68" spans="1:5">
      <c r="A68" s="1500"/>
      <c r="B68" s="1496" t="s">
        <v>536</v>
      </c>
      <c r="C68" s="1487"/>
      <c r="D68" s="1488">
        <v>4.5458499999999999E-2</v>
      </c>
      <c r="E68" s="1369">
        <f t="shared" si="0"/>
        <v>0</v>
      </c>
    </row>
    <row r="69" spans="1:5">
      <c r="A69" s="1500"/>
      <c r="B69" s="1496" t="s">
        <v>537</v>
      </c>
      <c r="C69" s="1487"/>
      <c r="D69" s="1488">
        <v>7.8414400000000009E-2</v>
      </c>
      <c r="E69" s="1369">
        <f t="shared" si="0"/>
        <v>0</v>
      </c>
    </row>
    <row r="70" spans="1:5">
      <c r="A70" s="1500"/>
      <c r="B70" s="1496" t="s">
        <v>538</v>
      </c>
      <c r="C70" s="1487"/>
      <c r="D70" s="1488">
        <v>0.1067994</v>
      </c>
      <c r="E70" s="1369">
        <f t="shared" si="0"/>
        <v>0</v>
      </c>
    </row>
    <row r="71" spans="1:5">
      <c r="A71" s="1500"/>
      <c r="B71" s="1496" t="s">
        <v>539</v>
      </c>
      <c r="C71" s="1487"/>
      <c r="D71" s="1488">
        <v>0.12364839999999999</v>
      </c>
      <c r="E71" s="1369">
        <f t="shared" si="0"/>
        <v>0</v>
      </c>
    </row>
    <row r="72" spans="1:5">
      <c r="A72" s="1500"/>
      <c r="B72" s="1496" t="s">
        <v>540</v>
      </c>
      <c r="C72" s="1487"/>
      <c r="D72" s="1488">
        <v>0.12425950000000001</v>
      </c>
      <c r="E72" s="1369">
        <f t="shared" si="0"/>
        <v>0</v>
      </c>
    </row>
    <row r="73" spans="1:5">
      <c r="A73" s="1500"/>
      <c r="B73" s="1496" t="s">
        <v>541</v>
      </c>
      <c r="C73" s="1487"/>
      <c r="D73" s="1488">
        <v>0.12672890000000001</v>
      </c>
      <c r="E73" s="1369">
        <f t="shared" si="0"/>
        <v>0</v>
      </c>
    </row>
    <row r="74" spans="1:5">
      <c r="A74" s="1500"/>
      <c r="B74" s="1496" t="s">
        <v>542</v>
      </c>
      <c r="C74" s="1487"/>
      <c r="D74" s="1488">
        <v>0.1200005</v>
      </c>
      <c r="E74" s="1369">
        <f t="shared" si="0"/>
        <v>0</v>
      </c>
    </row>
    <row r="75" spans="1:5">
      <c r="A75" s="1500"/>
      <c r="B75" s="1496" t="s">
        <v>543</v>
      </c>
      <c r="C75" s="1487"/>
      <c r="D75" s="1488">
        <v>9.6317199999999992E-2</v>
      </c>
      <c r="E75" s="1369">
        <f t="shared" si="0"/>
        <v>0</v>
      </c>
    </row>
    <row r="76" spans="1:5">
      <c r="A76" s="1500"/>
      <c r="B76" s="1496" t="s">
        <v>544</v>
      </c>
      <c r="C76" s="1487"/>
      <c r="D76" s="1488">
        <v>7.0233100000000007E-2</v>
      </c>
      <c r="E76" s="1369">
        <f t="shared" si="0"/>
        <v>0</v>
      </c>
    </row>
    <row r="77" spans="1:5">
      <c r="A77" s="1500"/>
      <c r="B77" s="1496" t="s">
        <v>545</v>
      </c>
      <c r="C77" s="1487"/>
      <c r="D77" s="1488">
        <v>4.1012399999999997E-2</v>
      </c>
      <c r="E77" s="1369">
        <f t="shared" si="0"/>
        <v>0</v>
      </c>
    </row>
    <row r="78" spans="1:5" ht="15" thickBot="1">
      <c r="A78" s="1501"/>
      <c r="B78" s="1497" t="s">
        <v>546</v>
      </c>
      <c r="C78" s="1493"/>
      <c r="D78" s="1494">
        <v>3.0293199999999999E-2</v>
      </c>
      <c r="E78" s="1366">
        <f t="shared" si="0"/>
        <v>0</v>
      </c>
    </row>
    <row r="79" spans="1:5">
      <c r="A79" s="1358"/>
      <c r="B79" s="1360"/>
      <c r="C79" s="1361"/>
      <c r="D79" s="1248"/>
      <c r="E79" s="1359"/>
    </row>
    <row r="80" spans="1:5" ht="30.75" customHeight="1" thickBot="1">
      <c r="A80" s="1358"/>
      <c r="B80" s="1950" t="s">
        <v>550</v>
      </c>
      <c r="C80" s="1950"/>
      <c r="D80" s="1950"/>
      <c r="E80" s="1950"/>
    </row>
    <row r="81" spans="1:5">
      <c r="A81" s="1129"/>
      <c r="B81" s="1969"/>
      <c r="C81" s="1969"/>
      <c r="D81" s="1969"/>
      <c r="E81" s="1969"/>
    </row>
    <row r="82" spans="1:5">
      <c r="A82" s="1129"/>
      <c r="B82" s="1951"/>
      <c r="C82" s="1951"/>
      <c r="D82" s="1951"/>
      <c r="E82" s="1951"/>
    </row>
    <row r="83" spans="1:5">
      <c r="A83" s="1129"/>
      <c r="B83" s="1951"/>
      <c r="C83" s="1951"/>
      <c r="D83" s="1951"/>
      <c r="E83" s="1951"/>
    </row>
    <row r="84" spans="1:5">
      <c r="A84" s="1129"/>
      <c r="B84" s="1951"/>
      <c r="C84" s="1951"/>
      <c r="D84" s="1951"/>
      <c r="E84" s="1951"/>
    </row>
    <row r="85" spans="1:5">
      <c r="A85" s="1129"/>
      <c r="B85" s="1951"/>
      <c r="C85" s="1951"/>
      <c r="D85" s="1951"/>
      <c r="E85" s="1951"/>
    </row>
    <row r="86" spans="1:5">
      <c r="A86" s="1129"/>
      <c r="B86" s="1951"/>
      <c r="C86" s="1951"/>
      <c r="D86" s="1951"/>
      <c r="E86" s="1951"/>
    </row>
    <row r="87" spans="1:5">
      <c r="A87" s="1129"/>
      <c r="B87" s="1951"/>
      <c r="C87" s="1951"/>
      <c r="D87" s="1951"/>
      <c r="E87" s="1951"/>
    </row>
    <row r="88" spans="1:5">
      <c r="A88" s="1129"/>
      <c r="B88" s="1951"/>
      <c r="C88" s="1951"/>
      <c r="D88" s="1951"/>
      <c r="E88" s="1951"/>
    </row>
    <row r="89" spans="1:5">
      <c r="A89" s="1129"/>
      <c r="B89" s="1951"/>
      <c r="C89" s="1951"/>
      <c r="D89" s="1951"/>
      <c r="E89" s="1951"/>
    </row>
    <row r="90" spans="1:5">
      <c r="A90" s="1129"/>
      <c r="B90" s="1951"/>
      <c r="C90" s="1951"/>
      <c r="D90" s="1951"/>
      <c r="E90" s="1951"/>
    </row>
    <row r="91" spans="1:5">
      <c r="A91" s="1129"/>
      <c r="B91" s="1951"/>
      <c r="C91" s="1951"/>
      <c r="D91" s="1951"/>
      <c r="E91" s="1951"/>
    </row>
    <row r="92" spans="1:5">
      <c r="A92" s="1129"/>
      <c r="B92" s="1951"/>
      <c r="C92" s="1951"/>
      <c r="D92" s="1951"/>
      <c r="E92" s="1951"/>
    </row>
    <row r="93" spans="1:5">
      <c r="A93" s="1129"/>
      <c r="B93" s="1951"/>
      <c r="C93" s="1951"/>
      <c r="D93" s="1951"/>
      <c r="E93" s="1951"/>
    </row>
    <row r="94" spans="1:5">
      <c r="A94" s="1129"/>
      <c r="B94" s="1951"/>
      <c r="C94" s="1951"/>
      <c r="D94" s="1951"/>
      <c r="E94" s="1951"/>
    </row>
    <row r="95" spans="1:5">
      <c r="A95" s="1129"/>
      <c r="B95" s="1951"/>
      <c r="C95" s="1951"/>
      <c r="D95" s="1951"/>
      <c r="E95" s="1951"/>
    </row>
    <row r="96" spans="1:5">
      <c r="A96" s="1129"/>
      <c r="B96" s="1951"/>
      <c r="C96" s="1951"/>
      <c r="D96" s="1951"/>
      <c r="E96" s="1951"/>
    </row>
    <row r="97" spans="1:5">
      <c r="A97" s="1129"/>
      <c r="B97" s="1951"/>
      <c r="C97" s="1951"/>
      <c r="D97" s="1951"/>
      <c r="E97" s="1951"/>
    </row>
    <row r="98" spans="1:5">
      <c r="A98" s="1132"/>
      <c r="B98" s="1951"/>
      <c r="C98" s="1951"/>
      <c r="D98" s="1951"/>
      <c r="E98" s="1951"/>
    </row>
    <row r="99" spans="1:5">
      <c r="A99" s="1132"/>
      <c r="B99" s="1951"/>
      <c r="C99" s="1951"/>
      <c r="D99" s="1951"/>
      <c r="E99" s="1951"/>
    </row>
    <row r="100" spans="1:5">
      <c r="A100" s="1132"/>
      <c r="B100" s="1951"/>
      <c r="C100" s="1951"/>
      <c r="D100" s="1951"/>
      <c r="E100" s="1951"/>
    </row>
  </sheetData>
  <sheetProtection algorithmName="SHA-512" hashValue="YnxY6MKsTUxUPcNVrEz5hpPYv2r5mvpwTv62NieUQrSMHYekeLZQlyrkFreXG3H7WFzL/qqMuiWzctPlEQ58Kg==" saltValue="k1wlT6vWZo3BxjZ+adstew==" spinCount="100000" sheet="1" objects="1" scenarios="1"/>
  <mergeCells count="24">
    <mergeCell ref="B85:E85"/>
    <mergeCell ref="B86:E86"/>
    <mergeCell ref="B87:E87"/>
    <mergeCell ref="A3:B3"/>
    <mergeCell ref="A1:E1"/>
    <mergeCell ref="B80:E80"/>
    <mergeCell ref="B81:E81"/>
    <mergeCell ref="B82:E82"/>
    <mergeCell ref="B98:E98"/>
    <mergeCell ref="B99:E99"/>
    <mergeCell ref="B100:E100"/>
    <mergeCell ref="B65:E65"/>
    <mergeCell ref="B93:E93"/>
    <mergeCell ref="B94:E94"/>
    <mergeCell ref="B95:E95"/>
    <mergeCell ref="B96:E96"/>
    <mergeCell ref="B97:E97"/>
    <mergeCell ref="B88:E88"/>
    <mergeCell ref="B89:E89"/>
    <mergeCell ref="B90:E90"/>
    <mergeCell ref="B91:E91"/>
    <mergeCell ref="B92:E92"/>
    <mergeCell ref="B83:E83"/>
    <mergeCell ref="B84:E84"/>
  </mergeCells>
  <pageMargins left="0.70866141732283472" right="0.70866141732283472" top="0.74803149606299213" bottom="0.74803149606299213" header="0.31496062992125984" footer="0.31496062992125984"/>
  <pageSetup paperSize="9" scale="48" fitToWidth="2" orientation="portrait" r:id="rId1"/>
  <rowBreaks count="1" manualBreakCount="1">
    <brk id="41" max="4"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45334-11A2-4755-8256-FB94368758B7}">
  <sheetPr published="0">
    <pageSetUpPr fitToPage="1"/>
  </sheetPr>
  <dimension ref="A1:Q67"/>
  <sheetViews>
    <sheetView showGridLines="0" zoomScaleNormal="100" workbookViewId="0">
      <selection sqref="A1:E1"/>
    </sheetView>
  </sheetViews>
  <sheetFormatPr defaultColWidth="9.1796875" defaultRowHeight="14.5"/>
  <cols>
    <col min="1" max="1" width="3.54296875" style="971" bestFit="1" customWidth="1"/>
    <col min="2" max="2" width="108.81640625" style="973" customWidth="1"/>
    <col min="3" max="3" width="2.54296875" style="1" customWidth="1"/>
    <col min="4" max="4" width="15.54296875" style="973" customWidth="1"/>
    <col min="5" max="5" width="15.54296875" style="975" customWidth="1"/>
    <col min="6" max="16384" width="9.1796875" style="1"/>
  </cols>
  <sheetData>
    <row r="1" spans="1:17" ht="16" thickBot="1">
      <c r="A1" s="1960" t="str">
        <f>DNB&amp;" - ELEKTRICITEIT - Tarieflijst periodieke distributienettarieven "&amp;JAAR&amp;" - Afname"</f>
        <v>Naam distributienetbeheerder - ELEKTRICITEIT - Tarieflijst periodieke distributienettarieven  - Afname</v>
      </c>
      <c r="B1" s="1952"/>
      <c r="C1" s="1952"/>
      <c r="D1" s="1952"/>
      <c r="E1" s="1953"/>
      <c r="F1" s="981"/>
      <c r="G1" s="981"/>
      <c r="H1" s="981"/>
      <c r="I1" s="981"/>
      <c r="J1" s="981"/>
      <c r="K1" s="981"/>
      <c r="L1" s="981"/>
      <c r="M1" s="981"/>
      <c r="N1" s="981"/>
      <c r="O1" s="981"/>
      <c r="P1" s="981"/>
      <c r="Q1" s="981"/>
    </row>
    <row r="2" spans="1:17" ht="15" thickBot="1"/>
    <row r="3" spans="1:17" ht="15" thickBot="1">
      <c r="A3" s="1022" t="s">
        <v>420</v>
      </c>
      <c r="B3" s="1026"/>
      <c r="C3" s="983"/>
      <c r="D3" s="984"/>
      <c r="E3" s="1011"/>
    </row>
    <row r="4" spans="1:17">
      <c r="A4" s="976" t="s">
        <v>419</v>
      </c>
      <c r="C4" s="986"/>
      <c r="D4" s="987"/>
    </row>
    <row r="5" spans="1:17" ht="15" thickBot="1">
      <c r="C5" s="972"/>
      <c r="D5" s="987"/>
    </row>
    <row r="6" spans="1:17" ht="15" thickBot="1">
      <c r="A6" s="1052" t="s">
        <v>418</v>
      </c>
      <c r="B6" s="1052"/>
      <c r="C6" s="1009"/>
      <c r="D6" s="1043" t="s">
        <v>396</v>
      </c>
      <c r="E6" s="1044" t="s">
        <v>395</v>
      </c>
    </row>
    <row r="7" spans="1:17">
      <c r="A7" s="988">
        <v>1</v>
      </c>
      <c r="B7" s="989" t="s">
        <v>554</v>
      </c>
      <c r="C7" s="990"/>
      <c r="D7" s="1024"/>
      <c r="E7" s="1025"/>
    </row>
    <row r="8" spans="1:17">
      <c r="A8" s="1355" t="s">
        <v>393</v>
      </c>
      <c r="B8" s="1356" t="s">
        <v>392</v>
      </c>
      <c r="D8" s="1015" t="e">
        <f>ROUND(INDEX(Tabel4B[Doorvoer op 26-1kV],1),7)</f>
        <v>#VALUE!</v>
      </c>
      <c r="E8" s="994" t="s">
        <v>521</v>
      </c>
      <c r="F8" s="997"/>
    </row>
    <row r="9" spans="1:17">
      <c r="A9" s="993"/>
      <c r="B9" s="1128" t="s">
        <v>523</v>
      </c>
      <c r="D9" s="1130" t="e">
        <f>ROUND($D$8*12,7)</f>
        <v>#VALUE!</v>
      </c>
      <c r="E9" s="1131" t="s">
        <v>391</v>
      </c>
      <c r="F9" s="997"/>
    </row>
    <row r="10" spans="1:17">
      <c r="A10" s="1355" t="s">
        <v>390</v>
      </c>
      <c r="B10" s="1356" t="s">
        <v>389</v>
      </c>
      <c r="D10" s="1015" t="e">
        <f>ROUND(INDEX(Tabel4B[Doorvoer op 26-1kV],2),7)</f>
        <v>#VALUE!</v>
      </c>
      <c r="E10" s="994" t="s">
        <v>387</v>
      </c>
      <c r="F10" s="997"/>
    </row>
    <row r="11" spans="1:17">
      <c r="A11" s="1355"/>
      <c r="B11" s="1128" t="s">
        <v>523</v>
      </c>
      <c r="D11" s="1130" t="e">
        <f>ROUND($D$10*12,7)</f>
        <v>#VALUE!</v>
      </c>
      <c r="E11" s="1131" t="s">
        <v>391</v>
      </c>
      <c r="F11" s="997"/>
    </row>
    <row r="12" spans="1:17">
      <c r="A12" s="1355" t="s">
        <v>388</v>
      </c>
      <c r="B12" s="1956" t="s">
        <v>639</v>
      </c>
      <c r="C12" s="999"/>
      <c r="D12" s="1015" t="e">
        <f>ROUND(INDEX(Tabel4B[Doorvoer op 26-1kV],3),7)</f>
        <v>#VALUE!</v>
      </c>
      <c r="E12" s="994" t="s">
        <v>387</v>
      </c>
    </row>
    <row r="13" spans="1:17" ht="30" customHeight="1">
      <c r="A13" s="1355"/>
      <c r="B13" s="1956"/>
      <c r="C13" s="999"/>
      <c r="D13" s="1130" t="e">
        <f>ROUND($D$12*12,7)</f>
        <v>#VALUE!</v>
      </c>
      <c r="E13" s="1131" t="s">
        <v>391</v>
      </c>
    </row>
    <row r="14" spans="1:17">
      <c r="A14" s="993"/>
      <c r="B14" s="998"/>
      <c r="C14" s="999"/>
      <c r="D14" s="987"/>
      <c r="E14" s="994"/>
    </row>
    <row r="15" spans="1:17">
      <c r="A15" s="993">
        <v>2</v>
      </c>
      <c r="B15" s="1000" t="s">
        <v>386</v>
      </c>
      <c r="C15" s="972"/>
      <c r="D15" s="987"/>
      <c r="E15" s="994"/>
    </row>
    <row r="16" spans="1:17">
      <c r="A16" s="993"/>
      <c r="B16" s="994" t="s">
        <v>417</v>
      </c>
      <c r="D16" s="1133">
        <v>0.48399999999999999</v>
      </c>
      <c r="E16" s="994"/>
    </row>
    <row r="17" spans="1:6" ht="26.5">
      <c r="A17" s="993"/>
      <c r="B17" s="998" t="s">
        <v>642</v>
      </c>
      <c r="C17" s="565"/>
      <c r="D17" s="1015" t="e">
        <f>ROUND(INDEX(Tabel4B[Doorvoer op 26-1kV],8),7)</f>
        <v>#VALUE!</v>
      </c>
      <c r="E17" s="994" t="s">
        <v>534</v>
      </c>
    </row>
    <row r="18" spans="1:6">
      <c r="A18" s="993"/>
      <c r="B18" s="994"/>
      <c r="D18" s="987"/>
      <c r="E18" s="994"/>
    </row>
    <row r="19" spans="1:6">
      <c r="A19" s="993">
        <v>3</v>
      </c>
      <c r="B19" s="1000" t="s">
        <v>383</v>
      </c>
      <c r="C19" s="972"/>
      <c r="D19" s="987"/>
      <c r="E19" s="994"/>
    </row>
    <row r="20" spans="1:6">
      <c r="A20" s="993"/>
      <c r="B20" s="996" t="s">
        <v>507</v>
      </c>
      <c r="D20" s="1018" t="e">
        <f>ROUND(INDEX(Tabel4B[Doorvoer op 26-1kV],9),2)</f>
        <v>#DIV/0!</v>
      </c>
      <c r="E20" s="994" t="s">
        <v>382</v>
      </c>
    </row>
    <row r="21" spans="1:6">
      <c r="A21" s="993"/>
      <c r="B21" s="994"/>
      <c r="D21" s="987"/>
      <c r="E21" s="994"/>
    </row>
    <row r="22" spans="1:6">
      <c r="A22" s="993">
        <v>4</v>
      </c>
      <c r="B22" s="1000" t="s">
        <v>640</v>
      </c>
      <c r="C22" s="972"/>
      <c r="D22" s="1015" t="e">
        <f>ROUND(INDEX(Tabel4B[Doorvoer op 26-1kV],15),7)</f>
        <v>#VALUE!</v>
      </c>
      <c r="E22" s="994" t="s">
        <v>379</v>
      </c>
    </row>
    <row r="23" spans="1:6">
      <c r="A23" s="993"/>
      <c r="B23" s="1000"/>
      <c r="C23" s="972"/>
      <c r="D23" s="987"/>
      <c r="E23" s="994"/>
      <c r="F23" s="997"/>
    </row>
    <row r="24" spans="1:6">
      <c r="A24" s="993">
        <v>5</v>
      </c>
      <c r="B24" s="1000" t="s">
        <v>381</v>
      </c>
      <c r="C24" s="972"/>
      <c r="D24" s="1015" t="e">
        <f>ROUND(INDEX(Tabel4B[Doorvoer op 26-1kV],17),7)</f>
        <v>#VALUE!</v>
      </c>
      <c r="E24" s="994" t="s">
        <v>379</v>
      </c>
      <c r="F24" s="997"/>
    </row>
    <row r="25" spans="1:6">
      <c r="A25" s="993"/>
      <c r="B25" s="1000"/>
      <c r="C25" s="972"/>
      <c r="D25" s="987"/>
      <c r="E25" s="994"/>
    </row>
    <row r="26" spans="1:6" ht="15" thickBot="1">
      <c r="A26" s="1002">
        <v>6</v>
      </c>
      <c r="B26" s="1053" t="s">
        <v>643</v>
      </c>
      <c r="C26" s="1004"/>
      <c r="D26" s="1020" t="e">
        <f>ROUND(INDEX(Tabel4B[Doorvoer op 26-1kV],18),7)</f>
        <v>#DIV/0!</v>
      </c>
      <c r="E26" s="1021" t="s">
        <v>379</v>
      </c>
    </row>
    <row r="27" spans="1:6" ht="15" thickBot="1">
      <c r="B27" s="971"/>
      <c r="C27" s="972"/>
    </row>
    <row r="28" spans="1:6" ht="15" thickBot="1">
      <c r="A28" s="1052" t="s">
        <v>644</v>
      </c>
      <c r="B28" s="1052"/>
      <c r="C28" s="1009"/>
      <c r="D28" s="1043" t="s">
        <v>396</v>
      </c>
      <c r="E28" s="1044" t="s">
        <v>395</v>
      </c>
    </row>
    <row r="29" spans="1:6">
      <c r="A29" s="1052">
        <v>1</v>
      </c>
      <c r="B29" s="989" t="s">
        <v>554</v>
      </c>
      <c r="C29" s="990"/>
      <c r="D29" s="1024"/>
      <c r="E29" s="1025"/>
    </row>
    <row r="30" spans="1:6" ht="15" customHeight="1">
      <c r="A30" s="1468" t="s">
        <v>393</v>
      </c>
      <c r="B30" s="998" t="s">
        <v>645</v>
      </c>
      <c r="D30" s="1015" t="e">
        <f>ROUND(INDEX(Tabel4B[Doorvoer op LS met piekmeting],4),7)</f>
        <v>#DIV/0!</v>
      </c>
      <c r="E30" s="994" t="s">
        <v>408</v>
      </c>
      <c r="F30" s="997"/>
    </row>
    <row r="31" spans="1:6" ht="30" customHeight="1">
      <c r="A31" s="1054"/>
      <c r="B31" s="1469" t="s">
        <v>646</v>
      </c>
      <c r="D31" s="1130" t="e">
        <f>ROUND($D$30/12,7)</f>
        <v>#DIV/0!</v>
      </c>
      <c r="E31" s="1131" t="s">
        <v>387</v>
      </c>
      <c r="F31" s="997"/>
    </row>
    <row r="32" spans="1:6">
      <c r="A32" s="1468" t="s">
        <v>390</v>
      </c>
      <c r="B32" s="994" t="s">
        <v>406</v>
      </c>
      <c r="D32" s="1015" t="e">
        <f>ROUND(INDEX(Tabel4B[Doorvoer op LS met piekmeting],6),7)</f>
        <v>#DIV/0!</v>
      </c>
      <c r="E32" s="994" t="s">
        <v>379</v>
      </c>
      <c r="F32" s="997"/>
    </row>
    <row r="33" spans="1:6">
      <c r="A33" s="1054"/>
      <c r="B33" s="994"/>
      <c r="D33" s="987"/>
      <c r="E33" s="994"/>
    </row>
    <row r="34" spans="1:6">
      <c r="A34" s="1054">
        <v>3</v>
      </c>
      <c r="B34" s="1000" t="s">
        <v>383</v>
      </c>
      <c r="C34" s="972"/>
      <c r="D34" s="987"/>
      <c r="E34" s="994"/>
    </row>
    <row r="35" spans="1:6">
      <c r="A35" s="1054"/>
      <c r="B35" s="996" t="s">
        <v>507</v>
      </c>
      <c r="D35" s="1018" t="e">
        <f>ROUND(INDEX(Tabel4B[Doorvoer op LS met piekmeting],9),2)</f>
        <v>#DIV/0!</v>
      </c>
      <c r="E35" s="994" t="s">
        <v>382</v>
      </c>
    </row>
    <row r="36" spans="1:6">
      <c r="A36" s="1054"/>
      <c r="B36" s="994"/>
      <c r="D36" s="987"/>
      <c r="E36" s="994"/>
    </row>
    <row r="37" spans="1:6">
      <c r="A37" s="1054">
        <v>4</v>
      </c>
      <c r="B37" s="1000" t="s">
        <v>640</v>
      </c>
      <c r="C37" s="972"/>
      <c r="D37" s="1015" t="e">
        <f>ROUND(INDEX(Tabel4B[Doorvoer op LS met piekmeting],15),7)</f>
        <v>#VALUE!</v>
      </c>
      <c r="E37" s="994" t="s">
        <v>379</v>
      </c>
    </row>
    <row r="38" spans="1:6">
      <c r="A38" s="1054"/>
      <c r="B38" s="1000"/>
      <c r="C38" s="972"/>
      <c r="D38" s="987"/>
      <c r="E38" s="994"/>
    </row>
    <row r="39" spans="1:6">
      <c r="A39" s="1054">
        <v>5</v>
      </c>
      <c r="B39" s="1000" t="s">
        <v>381</v>
      </c>
      <c r="C39" s="972"/>
      <c r="D39" s="1015" t="e">
        <f>ROUND(INDEX(Tabel4B[Doorvoer op LS met piekmeting],17),7)</f>
        <v>#VALUE!</v>
      </c>
      <c r="E39" s="994" t="s">
        <v>379</v>
      </c>
      <c r="F39" s="997"/>
    </row>
    <row r="40" spans="1:6">
      <c r="A40" s="1054"/>
      <c r="B40" s="1000"/>
      <c r="C40" s="972"/>
      <c r="D40" s="987"/>
      <c r="E40" s="994"/>
      <c r="F40" s="997"/>
    </row>
    <row r="41" spans="1:6" ht="15" thickBot="1">
      <c r="A41" s="1055">
        <v>6</v>
      </c>
      <c r="B41" s="1053" t="s">
        <v>643</v>
      </c>
      <c r="C41" s="1004"/>
      <c r="D41" s="1020" t="e">
        <f>ROUND(INDEX(Tabel4B[Doorvoer op LS met piekmeting],18),7)</f>
        <v>#DIV/0!</v>
      </c>
      <c r="E41" s="1021" t="s">
        <v>379</v>
      </c>
    </row>
    <row r="42" spans="1:6" ht="15" thickBot="1">
      <c r="A42" s="1357"/>
      <c r="B42" s="1239"/>
      <c r="C42" s="634"/>
      <c r="D42" s="1239"/>
      <c r="E42" s="1245"/>
    </row>
    <row r="43" spans="1:6">
      <c r="A43" s="1453"/>
      <c r="B43" s="1476" t="s">
        <v>556</v>
      </c>
      <c r="C43" s="1477"/>
      <c r="D43" s="1478"/>
      <c r="E43" s="1479"/>
    </row>
    <row r="44" spans="1:6">
      <c r="A44" s="1408"/>
      <c r="B44" s="1485" t="s">
        <v>648</v>
      </c>
      <c r="C44" s="1480"/>
      <c r="D44" s="1475" t="e">
        <f>ROUND('T2'!$N$98,7)</f>
        <v>#VALUE!</v>
      </c>
      <c r="E44" s="1481"/>
    </row>
    <row r="45" spans="1:6" ht="15" thickBot="1">
      <c r="A45" s="1399"/>
      <c r="B45" s="1486" t="s">
        <v>649</v>
      </c>
      <c r="C45" s="1482"/>
      <c r="D45" s="1483" t="e">
        <f>ROUND('T2'!$R$98,7)</f>
        <v>#DIV/0!</v>
      </c>
      <c r="E45" s="1484"/>
    </row>
    <row r="46" spans="1:6">
      <c r="A46" s="1358"/>
      <c r="B46" s="1360"/>
      <c r="C46" s="1361"/>
      <c r="D46" s="1248"/>
      <c r="E46" s="1359"/>
    </row>
    <row r="47" spans="1:6" ht="30.75" customHeight="1" thickBot="1">
      <c r="A47" s="1358"/>
      <c r="B47" s="1950" t="s">
        <v>550</v>
      </c>
      <c r="C47" s="1950"/>
      <c r="D47" s="1950"/>
      <c r="E47" s="1950"/>
    </row>
    <row r="48" spans="1:6">
      <c r="A48" s="1129"/>
      <c r="B48" s="1951"/>
      <c r="C48" s="1951"/>
      <c r="D48" s="1951"/>
      <c r="E48" s="1951"/>
    </row>
    <row r="49" spans="1:5">
      <c r="A49" s="1129"/>
      <c r="B49" s="1951"/>
      <c r="C49" s="1951"/>
      <c r="D49" s="1951"/>
      <c r="E49" s="1951"/>
    </row>
    <row r="50" spans="1:5">
      <c r="A50" s="1129"/>
      <c r="B50" s="1951"/>
      <c r="C50" s="1951"/>
      <c r="D50" s="1951"/>
      <c r="E50" s="1951"/>
    </row>
    <row r="51" spans="1:5">
      <c r="A51" s="1129"/>
      <c r="B51" s="1951"/>
      <c r="C51" s="1951"/>
      <c r="D51" s="1951"/>
      <c r="E51" s="1951"/>
    </row>
    <row r="52" spans="1:5">
      <c r="A52" s="1129"/>
      <c r="B52" s="1951"/>
      <c r="C52" s="1951"/>
      <c r="D52" s="1951"/>
      <c r="E52" s="1951"/>
    </row>
    <row r="53" spans="1:5">
      <c r="A53" s="1129"/>
      <c r="B53" s="1951"/>
      <c r="C53" s="1951"/>
      <c r="D53" s="1951"/>
      <c r="E53" s="1951"/>
    </row>
    <row r="54" spans="1:5">
      <c r="A54" s="1129"/>
      <c r="B54" s="1951"/>
      <c r="C54" s="1951"/>
      <c r="D54" s="1951"/>
      <c r="E54" s="1951"/>
    </row>
    <row r="55" spans="1:5">
      <c r="A55" s="1129"/>
      <c r="B55" s="1951"/>
      <c r="C55" s="1951"/>
      <c r="D55" s="1951"/>
      <c r="E55" s="1951"/>
    </row>
    <row r="56" spans="1:5">
      <c r="A56" s="1129"/>
      <c r="B56" s="1951"/>
      <c r="C56" s="1951"/>
      <c r="D56" s="1951"/>
      <c r="E56" s="1951"/>
    </row>
    <row r="57" spans="1:5">
      <c r="A57" s="1129"/>
      <c r="B57" s="1951"/>
      <c r="C57" s="1951"/>
      <c r="D57" s="1951"/>
      <c r="E57" s="1951"/>
    </row>
    <row r="58" spans="1:5">
      <c r="A58" s="1129"/>
      <c r="B58" s="1951"/>
      <c r="C58" s="1951"/>
      <c r="D58" s="1951"/>
      <c r="E58" s="1951"/>
    </row>
    <row r="59" spans="1:5">
      <c r="A59" s="1129"/>
      <c r="B59" s="1951"/>
      <c r="C59" s="1951"/>
      <c r="D59" s="1951"/>
      <c r="E59" s="1951"/>
    </row>
    <row r="60" spans="1:5">
      <c r="A60" s="1129"/>
      <c r="B60" s="1951"/>
      <c r="C60" s="1951"/>
      <c r="D60" s="1951"/>
      <c r="E60" s="1951"/>
    </row>
    <row r="61" spans="1:5">
      <c r="A61" s="1129"/>
      <c r="B61" s="1951"/>
      <c r="C61" s="1951"/>
      <c r="D61" s="1951"/>
      <c r="E61" s="1951"/>
    </row>
    <row r="62" spans="1:5">
      <c r="A62" s="1129"/>
      <c r="B62" s="1951"/>
      <c r="C62" s="1951"/>
      <c r="D62" s="1951"/>
      <c r="E62" s="1951"/>
    </row>
    <row r="63" spans="1:5">
      <c r="A63" s="1129"/>
      <c r="B63" s="1951"/>
      <c r="C63" s="1951"/>
      <c r="D63" s="1951"/>
      <c r="E63" s="1951"/>
    </row>
    <row r="64" spans="1:5">
      <c r="A64" s="1129"/>
      <c r="B64" s="1951"/>
      <c r="C64" s="1951"/>
      <c r="D64" s="1951"/>
      <c r="E64" s="1951"/>
    </row>
    <row r="65" spans="1:5">
      <c r="A65" s="1132"/>
      <c r="B65" s="1951"/>
      <c r="C65" s="1951"/>
      <c r="D65" s="1951"/>
      <c r="E65" s="1951"/>
    </row>
    <row r="66" spans="1:5">
      <c r="A66" s="1132"/>
      <c r="B66" s="1951"/>
      <c r="C66" s="1951"/>
      <c r="D66" s="1951"/>
      <c r="E66" s="1951"/>
    </row>
    <row r="67" spans="1:5">
      <c r="A67" s="1132"/>
      <c r="B67" s="1951"/>
      <c r="C67" s="1951"/>
      <c r="D67" s="1951"/>
      <c r="E67" s="1951"/>
    </row>
  </sheetData>
  <sheetProtection algorithmName="SHA-512" hashValue="qMKgY49nbxwbLv8EkplrwhasvK/nUESRNPC0McHDkeD4Jxs1EKLbzyQAejbuL99xeixUaHRU/qThzcu0ocAwvA==" saltValue="8vwE4ku89raQo3cLVYTNiQ==" spinCount="100000" sheet="1" objects="1" scenarios="1"/>
  <mergeCells count="23">
    <mergeCell ref="B66:E66"/>
    <mergeCell ref="B67:E67"/>
    <mergeCell ref="A1:E1"/>
    <mergeCell ref="B12:B13"/>
    <mergeCell ref="B60:E60"/>
    <mergeCell ref="B61:E61"/>
    <mergeCell ref="B62:E62"/>
    <mergeCell ref="B47:E47"/>
    <mergeCell ref="B48:E48"/>
    <mergeCell ref="B49:E49"/>
    <mergeCell ref="B50:E50"/>
    <mergeCell ref="B51:E51"/>
    <mergeCell ref="B52:E52"/>
    <mergeCell ref="B53:E53"/>
    <mergeCell ref="B64:E64"/>
    <mergeCell ref="B65:E65"/>
    <mergeCell ref="B54:E54"/>
    <mergeCell ref="B55:E55"/>
    <mergeCell ref="B58:E58"/>
    <mergeCell ref="B59:E59"/>
    <mergeCell ref="B63:E63"/>
    <mergeCell ref="B56:E56"/>
    <mergeCell ref="B57:E57"/>
  </mergeCells>
  <pageMargins left="0.70866141732283472" right="0.70866141732283472" top="0.74803149606299213" bottom="0.74803149606299213" header="0.31496062992125984" footer="0.31496062992125984"/>
  <pageSetup paperSize="9" scale="5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8DDB2-36C9-4D1E-8273-9440A13DC45C}">
  <sheetPr published="0">
    <pageSetUpPr fitToPage="1"/>
  </sheetPr>
  <dimension ref="A1:Q77"/>
  <sheetViews>
    <sheetView showGridLines="0" zoomScaleNormal="100" workbookViewId="0">
      <selection sqref="A1:E1"/>
    </sheetView>
  </sheetViews>
  <sheetFormatPr defaultColWidth="9.1796875" defaultRowHeight="14.5"/>
  <cols>
    <col min="1" max="1" width="3.81640625" style="634" customWidth="1"/>
    <col min="2" max="2" width="96.453125" style="3" customWidth="1"/>
    <col min="3" max="3" width="2.54296875" style="634" customWidth="1"/>
    <col min="4" max="4" width="15.54296875" style="1239" customWidth="1"/>
    <col min="5" max="5" width="15.54296875" style="1243" customWidth="1"/>
    <col min="6" max="16384" width="9.1796875" style="634"/>
  </cols>
  <sheetData>
    <row r="1" spans="1:17" ht="16.5" customHeight="1" thickBot="1">
      <c r="A1" s="1972" t="str">
        <f>DNB&amp;" - ELEKTRICITEIT - Tarieflijst periodieke distributienettarieven "&amp;JAAR&amp;" - Injectie"</f>
        <v>Naam distributienetbeheerder - ELEKTRICITEIT - Tarieflijst periodieke distributienettarieven  - Injectie</v>
      </c>
      <c r="B1" s="1973"/>
      <c r="C1" s="1973"/>
      <c r="D1" s="1973"/>
      <c r="E1" s="1974"/>
      <c r="F1" s="1502"/>
      <c r="G1" s="1502"/>
      <c r="H1" s="1502"/>
      <c r="I1" s="1502"/>
      <c r="J1" s="1502"/>
      <c r="K1" s="1502"/>
      <c r="L1" s="1502"/>
      <c r="M1" s="1502"/>
      <c r="N1" s="1502"/>
      <c r="O1" s="1502"/>
      <c r="P1" s="1502"/>
      <c r="Q1" s="1502"/>
    </row>
    <row r="2" spans="1:17" ht="15" thickBot="1">
      <c r="D2" s="1503"/>
    </row>
    <row r="3" spans="1:17" ht="15" thickBot="1">
      <c r="A3" s="1504"/>
      <c r="B3" s="1505" t="s">
        <v>518</v>
      </c>
      <c r="C3" s="1506"/>
      <c r="D3" s="1507" t="s">
        <v>396</v>
      </c>
      <c r="E3" s="1508" t="s">
        <v>395</v>
      </c>
    </row>
    <row r="4" spans="1:17" ht="15" thickBot="1">
      <c r="B4" s="1509"/>
      <c r="C4" s="1510"/>
      <c r="D4" s="1511"/>
    </row>
    <row r="5" spans="1:17">
      <c r="A5" s="1512">
        <v>1</v>
      </c>
      <c r="B5" s="1513" t="s">
        <v>407</v>
      </c>
      <c r="C5" s="1512"/>
      <c r="D5" s="1514" t="e">
        <f>ROUND(INDEX(Tabel4B[Injectieklanten (∑)],7),7)</f>
        <v>#VALUE!</v>
      </c>
      <c r="E5" s="1515" t="s">
        <v>379</v>
      </c>
    </row>
    <row r="6" spans="1:17">
      <c r="A6" s="1244"/>
      <c r="B6" s="1253" t="s">
        <v>422</v>
      </c>
      <c r="C6" s="1516"/>
      <c r="D6" s="1517">
        <f>'Max Injectie'!$F$9</f>
        <v>0</v>
      </c>
      <c r="E6" s="1518" t="s">
        <v>379</v>
      </c>
    </row>
    <row r="7" spans="1:17">
      <c r="A7" s="1244"/>
      <c r="B7" s="1253"/>
      <c r="C7" s="1516"/>
      <c r="D7" s="1519"/>
      <c r="E7" s="1518"/>
    </row>
    <row r="8" spans="1:17">
      <c r="A8" s="1520">
        <v>2</v>
      </c>
      <c r="B8" s="1521" t="s">
        <v>345</v>
      </c>
      <c r="C8" s="1244"/>
      <c r="D8" s="1256"/>
      <c r="E8" s="1522"/>
    </row>
    <row r="9" spans="1:17" ht="15" thickBot="1">
      <c r="A9" s="1523"/>
      <c r="B9" s="1524" t="s">
        <v>421</v>
      </c>
      <c r="C9" s="1525"/>
      <c r="D9" s="1526" t="e">
        <f>ROUND(INDEX(Tabel4B[Injectieklanten (∑)],14),2)</f>
        <v>#DIV/0!</v>
      </c>
      <c r="E9" s="1527" t="s">
        <v>412</v>
      </c>
    </row>
    <row r="11" spans="1:17" ht="30.75" customHeight="1" thickBot="1">
      <c r="B11" s="1971" t="s">
        <v>550</v>
      </c>
      <c r="C11" s="1971"/>
      <c r="D11" s="1971"/>
      <c r="E11" s="1971"/>
    </row>
    <row r="12" spans="1:17">
      <c r="A12" s="1354"/>
      <c r="B12" s="1975"/>
      <c r="C12" s="1975"/>
      <c r="D12" s="1975"/>
      <c r="E12" s="1975"/>
    </row>
    <row r="13" spans="1:17">
      <c r="A13" s="1353"/>
      <c r="B13" s="1970"/>
      <c r="C13" s="1970"/>
      <c r="D13" s="1970"/>
      <c r="E13" s="1970"/>
    </row>
    <row r="14" spans="1:17">
      <c r="A14" s="1353"/>
      <c r="B14" s="1970"/>
      <c r="C14" s="1970"/>
      <c r="D14" s="1970"/>
      <c r="E14" s="1970"/>
    </row>
    <row r="15" spans="1:17">
      <c r="A15" s="1353"/>
      <c r="B15" s="1970"/>
      <c r="C15" s="1970"/>
      <c r="D15" s="1970"/>
      <c r="E15" s="1970"/>
    </row>
    <row r="16" spans="1:17">
      <c r="A16" s="1353"/>
      <c r="B16" s="1970"/>
      <c r="C16" s="1970"/>
      <c r="D16" s="1970"/>
      <c r="E16" s="1970"/>
    </row>
    <row r="17" spans="1:5">
      <c r="A17" s="1354"/>
      <c r="B17" s="1970"/>
      <c r="C17" s="1970"/>
      <c r="D17" s="1970"/>
      <c r="E17" s="1970"/>
    </row>
    <row r="18" spans="1:5">
      <c r="A18" s="1354"/>
      <c r="B18" s="1970"/>
      <c r="C18" s="1970"/>
      <c r="D18" s="1970"/>
      <c r="E18" s="1970"/>
    </row>
    <row r="19" spans="1:5">
      <c r="A19" s="1354"/>
      <c r="B19" s="1970"/>
      <c r="C19" s="1970"/>
      <c r="D19" s="1970"/>
      <c r="E19" s="1970"/>
    </row>
    <row r="20" spans="1:5">
      <c r="A20" s="1354"/>
      <c r="B20" s="1970"/>
      <c r="C20" s="1970"/>
      <c r="D20" s="1970"/>
      <c r="E20" s="1970"/>
    </row>
    <row r="21" spans="1:5">
      <c r="A21" s="1354"/>
      <c r="B21" s="1970"/>
      <c r="C21" s="1970"/>
      <c r="D21" s="1970"/>
      <c r="E21" s="1970"/>
    </row>
    <row r="22" spans="1:5">
      <c r="A22" s="1354"/>
      <c r="B22" s="1970"/>
      <c r="C22" s="1970"/>
      <c r="D22" s="1970"/>
      <c r="E22" s="1970"/>
    </row>
    <row r="23" spans="1:5">
      <c r="A23" s="1354"/>
      <c r="B23" s="1970"/>
      <c r="C23" s="1970"/>
      <c r="D23" s="1970"/>
      <c r="E23" s="1970"/>
    </row>
    <row r="24" spans="1:5">
      <c r="A24" s="1354"/>
      <c r="B24" s="1970"/>
      <c r="C24" s="1970"/>
      <c r="D24" s="1970"/>
      <c r="E24" s="1970"/>
    </row>
    <row r="25" spans="1:5">
      <c r="A25" s="1354"/>
      <c r="B25" s="1970"/>
      <c r="C25" s="1970"/>
      <c r="D25" s="1970"/>
      <c r="E25" s="1970"/>
    </row>
    <row r="26" spans="1:5">
      <c r="A26" s="1354"/>
      <c r="B26" s="1970"/>
      <c r="C26" s="1970"/>
      <c r="D26" s="1970"/>
      <c r="E26" s="1970"/>
    </row>
    <row r="27" spans="1:5">
      <c r="A27" s="1354"/>
      <c r="B27" s="1970"/>
      <c r="C27" s="1970"/>
      <c r="D27" s="1970"/>
      <c r="E27" s="1970"/>
    </row>
    <row r="28" spans="1:5">
      <c r="A28" s="1354"/>
      <c r="B28" s="1970"/>
      <c r="C28" s="1970"/>
      <c r="D28" s="1970"/>
      <c r="E28" s="1970"/>
    </row>
    <row r="29" spans="1:5">
      <c r="A29" s="1354"/>
      <c r="B29" s="1970"/>
      <c r="C29" s="1970"/>
      <c r="D29" s="1970"/>
      <c r="E29" s="1970"/>
    </row>
    <row r="30" spans="1:5">
      <c r="A30" s="1354"/>
      <c r="B30" s="1970"/>
      <c r="C30" s="1970"/>
      <c r="D30" s="1970"/>
      <c r="E30" s="1970"/>
    </row>
    <row r="31" spans="1:5">
      <c r="A31" s="1354"/>
      <c r="B31" s="1970"/>
      <c r="C31" s="1970"/>
      <c r="D31" s="1970"/>
      <c r="E31" s="1970"/>
    </row>
    <row r="37" spans="2:5">
      <c r="B37" s="1241"/>
      <c r="C37" s="1238"/>
    </row>
    <row r="40" spans="2:5">
      <c r="B40" s="1241"/>
      <c r="C40" s="1238"/>
    </row>
    <row r="44" spans="2:5">
      <c r="B44" s="1241"/>
      <c r="C44" s="1238"/>
    </row>
    <row r="48" spans="2:5" s="1238" customFormat="1">
      <c r="B48" s="1241"/>
      <c r="D48" s="1235"/>
      <c r="E48" s="1357"/>
    </row>
    <row r="51" spans="2:3">
      <c r="B51" s="1241"/>
      <c r="C51" s="1238"/>
    </row>
    <row r="54" spans="2:3">
      <c r="B54" s="1241"/>
      <c r="C54" s="1238"/>
    </row>
    <row r="56" spans="2:3">
      <c r="B56" s="1241"/>
      <c r="C56" s="1238"/>
    </row>
    <row r="61" spans="2:3">
      <c r="B61" s="1241"/>
      <c r="C61" s="1238"/>
    </row>
    <row r="63" spans="2:3">
      <c r="B63" s="1241"/>
      <c r="C63" s="1238"/>
    </row>
    <row r="66" spans="2:3">
      <c r="B66" s="1241"/>
      <c r="C66" s="1238"/>
    </row>
    <row r="69" spans="2:3">
      <c r="B69" s="1241"/>
      <c r="C69" s="1238"/>
    </row>
    <row r="72" spans="2:3">
      <c r="B72" s="1241"/>
      <c r="C72" s="1238"/>
    </row>
    <row r="74" spans="2:3">
      <c r="B74" s="1241"/>
      <c r="C74" s="1238"/>
    </row>
    <row r="77" spans="2:3">
      <c r="B77" s="1241"/>
      <c r="C77" s="1238"/>
    </row>
  </sheetData>
  <sheetProtection algorithmName="SHA-512" hashValue="9LL+IkBtI7mS9aJsSE43Tsc2DZUiBRLyy6NNH1EhtqJqqn16LcwSVeV2MCmwenOU7zyaS3fXW8XECgAhRmRZjA==" saltValue="epDhcZ/Fzw+3UzLfmL/CWQ==" spinCount="100000" sheet="1" objects="1" scenarios="1"/>
  <mergeCells count="22">
    <mergeCell ref="B11:E11"/>
    <mergeCell ref="A1:E1"/>
    <mergeCell ref="B12:E12"/>
    <mergeCell ref="B13:E13"/>
    <mergeCell ref="B14:E14"/>
    <mergeCell ref="B15:E15"/>
    <mergeCell ref="B16:E16"/>
    <mergeCell ref="B17:E17"/>
    <mergeCell ref="B18:E18"/>
    <mergeCell ref="B19:E19"/>
    <mergeCell ref="B20:E20"/>
    <mergeCell ref="B21:E21"/>
    <mergeCell ref="B22:E22"/>
    <mergeCell ref="B23:E23"/>
    <mergeCell ref="B29:E29"/>
    <mergeCell ref="B30:E30"/>
    <mergeCell ref="B31:E31"/>
    <mergeCell ref="B24:E24"/>
    <mergeCell ref="B25:E25"/>
    <mergeCell ref="B26:E26"/>
    <mergeCell ref="B27:E27"/>
    <mergeCell ref="B28:E28"/>
  </mergeCells>
  <pageMargins left="0.70866141732283472" right="0.70866141732283472" top="0.74803149606299213" bottom="0.74803149606299213" header="0.31496062992125984" footer="0.31496062992125984"/>
  <pageSetup paperSize="9" scale="65"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764C6-14A0-4B88-ADC0-0529A7F752C8}">
  <sheetPr published="0">
    <pageSetUpPr fitToPage="1"/>
  </sheetPr>
  <dimension ref="A1:V71"/>
  <sheetViews>
    <sheetView showGridLines="0" zoomScaleNormal="100" workbookViewId="0">
      <selection activeCell="B16" sqref="B16"/>
    </sheetView>
  </sheetViews>
  <sheetFormatPr defaultColWidth="9.1796875" defaultRowHeight="14.5"/>
  <cols>
    <col min="1" max="1" width="3.81640625" style="634" customWidth="1"/>
    <col min="2" max="2" width="96.453125" style="3" customWidth="1"/>
    <col min="3" max="3" width="1.54296875" style="3" customWidth="1"/>
    <col min="4" max="6" width="16" style="3" customWidth="1"/>
    <col min="7" max="7" width="21" style="3" customWidth="1"/>
    <col min="8" max="8" width="1.54296875" style="634" customWidth="1"/>
    <col min="9" max="9" width="15.54296875" style="1239" customWidth="1"/>
    <col min="10" max="10" width="1.54296875" style="1243" customWidth="1"/>
    <col min="11" max="12" width="15.54296875" style="634" customWidth="1"/>
    <col min="13" max="13" width="1.54296875" style="634" customWidth="1"/>
    <col min="14" max="14" width="15.54296875" style="634" customWidth="1"/>
    <col min="15" max="15" width="1.54296875" style="634" customWidth="1"/>
    <col min="16" max="16" width="15.54296875" style="634" customWidth="1"/>
    <col min="17" max="17" width="1.54296875" style="634" customWidth="1"/>
    <col min="18" max="18" width="15.54296875" style="634" customWidth="1"/>
    <col min="19" max="16384" width="9.1796875" style="634"/>
  </cols>
  <sheetData>
    <row r="1" spans="1:22" ht="16.5" customHeight="1" thickBot="1">
      <c r="A1" s="1972" t="str">
        <f>DNB&amp;" - ELEKTRICITEIT - Tarieflijst periodieke distributienettarieven "&amp;JAAR&amp;" - Injectie"</f>
        <v>Naam distributienetbeheerder - ELEKTRICITEIT - Tarieflijst periodieke distributienettarieven  - Injectie</v>
      </c>
      <c r="B1" s="1973"/>
      <c r="C1" s="1973"/>
      <c r="D1" s="1973"/>
      <c r="E1" s="1973"/>
      <c r="F1" s="1973"/>
      <c r="G1" s="1973"/>
      <c r="H1" s="1973"/>
      <c r="I1" s="1973"/>
      <c r="J1" s="1973"/>
      <c r="K1" s="1973"/>
      <c r="L1" s="1973"/>
      <c r="M1" s="1973"/>
      <c r="N1" s="1973"/>
      <c r="O1" s="1973"/>
      <c r="P1" s="1973"/>
      <c r="Q1" s="1973"/>
      <c r="R1" s="1974"/>
      <c r="S1" s="1502"/>
      <c r="T1" s="1502"/>
      <c r="U1" s="1502"/>
      <c r="V1" s="1502"/>
    </row>
    <row r="2" spans="1:22" ht="15" thickBot="1">
      <c r="I2" s="1503"/>
    </row>
    <row r="3" spans="1:22" ht="15" thickBot="1">
      <c r="A3" s="1256"/>
      <c r="B3" s="1530"/>
      <c r="C3" s="1530"/>
      <c r="D3" s="1559" t="s">
        <v>603</v>
      </c>
      <c r="E3" s="1560" t="s">
        <v>604</v>
      </c>
      <c r="F3" s="1560" t="s">
        <v>605</v>
      </c>
      <c r="G3" s="1561" t="s">
        <v>606</v>
      </c>
      <c r="H3" s="1529"/>
      <c r="I3" s="1462" t="s">
        <v>443</v>
      </c>
      <c r="J3" s="136"/>
      <c r="K3" s="1922" t="s">
        <v>442</v>
      </c>
      <c r="L3" s="1923"/>
      <c r="M3" s="136"/>
      <c r="N3" s="1462" t="s">
        <v>404</v>
      </c>
      <c r="O3" s="136"/>
      <c r="P3" s="1461" t="s">
        <v>441</v>
      </c>
      <c r="R3" s="1461" t="s">
        <v>416</v>
      </c>
    </row>
    <row r="4" spans="1:22" ht="15" thickBot="1">
      <c r="A4" s="1256"/>
      <c r="B4" s="1530"/>
      <c r="C4" s="1530"/>
      <c r="D4" s="1530"/>
      <c r="E4" s="1530"/>
      <c r="F4" s="1530"/>
      <c r="G4" s="1530"/>
      <c r="H4" s="1529"/>
      <c r="I4" s="1547"/>
      <c r="J4" s="136"/>
      <c r="K4" s="1548"/>
      <c r="L4" s="1548"/>
      <c r="M4" s="136"/>
      <c r="N4" s="1547"/>
      <c r="O4" s="136"/>
      <c r="P4" s="1549"/>
      <c r="R4" s="1549"/>
    </row>
    <row r="5" spans="1:22" ht="15" thickBot="1">
      <c r="A5" s="1551"/>
      <c r="B5" s="1550" t="s">
        <v>610</v>
      </c>
      <c r="C5" s="1530"/>
      <c r="D5" s="1557"/>
      <c r="E5" s="1558"/>
      <c r="F5" s="1558"/>
      <c r="G5" s="1550"/>
      <c r="H5" s="1529"/>
      <c r="I5" s="1552" t="s">
        <v>655</v>
      </c>
      <c r="J5" s="136"/>
      <c r="K5" s="1553" t="s">
        <v>656</v>
      </c>
      <c r="L5" s="1554" t="s">
        <v>657</v>
      </c>
      <c r="M5" s="136"/>
      <c r="N5" s="1552" t="s">
        <v>658</v>
      </c>
      <c r="O5" s="136"/>
      <c r="P5" s="1555" t="s">
        <v>659</v>
      </c>
      <c r="R5" s="1555" t="s">
        <v>660</v>
      </c>
    </row>
    <row r="6" spans="1:22" ht="15" thickBot="1">
      <c r="B6" s="1509"/>
      <c r="C6" s="1509"/>
      <c r="D6" s="1509"/>
      <c r="E6" s="1509"/>
      <c r="F6" s="1509"/>
      <c r="G6" s="1509"/>
      <c r="H6" s="1528"/>
      <c r="I6" s="1511"/>
    </row>
    <row r="7" spans="1:22">
      <c r="A7" s="1512">
        <v>1</v>
      </c>
      <c r="B7" s="1562" t="s">
        <v>407</v>
      </c>
      <c r="C7" s="1529"/>
      <c r="D7" s="1565">
        <v>0.21</v>
      </c>
      <c r="E7" s="1566" t="s">
        <v>557</v>
      </c>
      <c r="F7" s="1566" t="s">
        <v>661</v>
      </c>
      <c r="G7" s="1567" t="s">
        <v>662</v>
      </c>
      <c r="H7" s="1521"/>
      <c r="I7" s="1531" t="e">
        <f>ROUND(INDEX(Tabel4B[Injectieklanten (∑)],7),7)</f>
        <v>#VALUE!</v>
      </c>
      <c r="J7" s="1545"/>
      <c r="K7" s="1535" t="e">
        <f>ROUND(INDEX(Tabel4B[Injectieklanten (∑)],7),7)</f>
        <v>#VALUE!</v>
      </c>
      <c r="L7" s="1536" t="e">
        <f>ROUND(INDEX(Tabel4B[Injectieklanten (∑)],7),7)</f>
        <v>#VALUE!</v>
      </c>
      <c r="N7" s="1531" t="e">
        <f>ROUND(INDEX(Tabel4B[Injectieklanten (∑)],7),7)</f>
        <v>#VALUE!</v>
      </c>
      <c r="P7" s="1531" t="e">
        <f>ROUND(INDEX(Tabel4B[Injectieklanten (∑)],7),7)</f>
        <v>#VALUE!</v>
      </c>
      <c r="R7" s="1531" t="e">
        <f>ROUND(INDEX(Tabel4B[Injectieklanten (∑)],7),7)</f>
        <v>#VALUE!</v>
      </c>
    </row>
    <row r="8" spans="1:22">
      <c r="A8" s="1244"/>
      <c r="B8" s="1242" t="s">
        <v>422</v>
      </c>
      <c r="C8" s="1253"/>
      <c r="D8" s="1276"/>
      <c r="E8" s="1277"/>
      <c r="F8" s="1277"/>
      <c r="G8" s="1278"/>
      <c r="H8" s="1528"/>
      <c r="I8" s="1532">
        <f>'Max Injectie'!$F$9</f>
        <v>0</v>
      </c>
      <c r="J8" s="1546"/>
      <c r="K8" s="1537">
        <f>'Max Injectie'!$F$9</f>
        <v>0</v>
      </c>
      <c r="L8" s="1538">
        <f>'Max Injectie'!$F$9</f>
        <v>0</v>
      </c>
      <c r="N8" s="1532">
        <f>'Max Injectie'!$F$9</f>
        <v>0</v>
      </c>
      <c r="P8" s="1532">
        <f>'Max Injectie'!$F$9</f>
        <v>0</v>
      </c>
      <c r="R8" s="1532">
        <f>'Max Injectie'!$F$9</f>
        <v>0</v>
      </c>
    </row>
    <row r="9" spans="1:22">
      <c r="A9" s="1244"/>
      <c r="B9" s="1242"/>
      <c r="C9" s="1253"/>
      <c r="D9" s="1276"/>
      <c r="E9" s="1277"/>
      <c r="F9" s="1277"/>
      <c r="G9" s="1278"/>
      <c r="H9" s="1528"/>
      <c r="I9" s="1533"/>
      <c r="J9" s="1546"/>
      <c r="K9" s="1539"/>
      <c r="L9" s="1540"/>
      <c r="N9" s="1533"/>
      <c r="P9" s="1533"/>
      <c r="R9" s="1533"/>
    </row>
    <row r="10" spans="1:22">
      <c r="A10" s="1520">
        <v>2</v>
      </c>
      <c r="B10" s="1563" t="s">
        <v>345</v>
      </c>
      <c r="C10" s="1521"/>
      <c r="D10" s="1568"/>
      <c r="E10" s="1569"/>
      <c r="F10" s="1569"/>
      <c r="G10" s="1570"/>
      <c r="H10" s="1256"/>
      <c r="I10" s="1257"/>
      <c r="J10" s="1545"/>
      <c r="K10" s="1541"/>
      <c r="L10" s="1542"/>
      <c r="N10" s="1257"/>
      <c r="P10" s="1257"/>
      <c r="R10" s="1257"/>
    </row>
    <row r="11" spans="1:22" ht="15" thickBot="1">
      <c r="A11" s="1523"/>
      <c r="B11" s="1564" t="s">
        <v>421</v>
      </c>
      <c r="C11" s="1556"/>
      <c r="D11" s="1573">
        <v>0.21</v>
      </c>
      <c r="E11" s="1571" t="s">
        <v>557</v>
      </c>
      <c r="F11" s="1571" t="s">
        <v>572</v>
      </c>
      <c r="G11" s="1572" t="s">
        <v>663</v>
      </c>
      <c r="H11" s="1521"/>
      <c r="I11" s="1534" t="e">
        <f>ROUND(INDEX(Tabel4B[Injectieklanten (∑)],14),2)</f>
        <v>#DIV/0!</v>
      </c>
      <c r="J11" s="1545"/>
      <c r="K11" s="1543" t="e">
        <f>ROUND(INDEX(Tabel4B[Injectieklanten (∑)],14),2)</f>
        <v>#DIV/0!</v>
      </c>
      <c r="L11" s="1544" t="e">
        <f>ROUND(INDEX(Tabel4B[Injectieklanten (∑)],14),2)</f>
        <v>#DIV/0!</v>
      </c>
      <c r="N11" s="1534" t="e">
        <f>ROUND(INDEX(Tabel4B[Injectieklanten (∑)],14),2)</f>
        <v>#DIV/0!</v>
      </c>
      <c r="P11" s="1534" t="e">
        <f>ROUND(INDEX(Tabel4B[Injectieklanten (∑)],14),2)</f>
        <v>#DIV/0!</v>
      </c>
      <c r="R11" s="1534" t="e">
        <f>ROUND(INDEX(Tabel4B[Injectieklanten (∑)],14),2)</f>
        <v>#DIV/0!</v>
      </c>
    </row>
    <row r="12" spans="1:22" ht="15" thickBot="1"/>
    <row r="13" spans="1:22">
      <c r="A13" s="1340"/>
      <c r="B13" s="1574" t="s">
        <v>611</v>
      </c>
      <c r="D13" s="1334"/>
      <c r="E13" s="1581"/>
      <c r="F13" s="1581"/>
      <c r="G13" s="1335"/>
      <c r="I13" s="1577"/>
      <c r="K13" s="1340"/>
      <c r="L13" s="1341"/>
      <c r="N13" s="1303"/>
      <c r="P13" s="1303"/>
      <c r="R13" s="1303"/>
    </row>
    <row r="14" spans="1:22">
      <c r="A14" s="1342"/>
      <c r="B14" s="1575" t="s">
        <v>613</v>
      </c>
      <c r="D14" s="1336"/>
      <c r="E14" s="1582"/>
      <c r="F14" s="1582" t="s">
        <v>625</v>
      </c>
      <c r="G14" s="1337" t="s">
        <v>664</v>
      </c>
      <c r="I14" s="1578"/>
      <c r="K14" s="1342"/>
      <c r="L14" s="1343"/>
      <c r="N14" s="1304"/>
      <c r="P14" s="1304"/>
      <c r="R14" s="1304"/>
    </row>
    <row r="15" spans="1:22">
      <c r="A15" s="1342"/>
      <c r="B15" s="1575" t="s">
        <v>614</v>
      </c>
      <c r="D15" s="1336"/>
      <c r="E15" s="1582"/>
      <c r="F15" s="1582" t="s">
        <v>627</v>
      </c>
      <c r="G15" s="1337" t="s">
        <v>665</v>
      </c>
      <c r="I15" s="1578"/>
      <c r="K15" s="1342"/>
      <c r="L15" s="1343"/>
      <c r="N15" s="1304"/>
      <c r="P15" s="1304"/>
      <c r="R15" s="1304"/>
    </row>
    <row r="16" spans="1:22">
      <c r="A16" s="1342"/>
      <c r="B16" s="1575" t="s">
        <v>615</v>
      </c>
      <c r="D16" s="1336"/>
      <c r="E16" s="1582"/>
      <c r="F16" s="1582" t="s">
        <v>629</v>
      </c>
      <c r="G16" s="1337" t="s">
        <v>666</v>
      </c>
      <c r="I16" s="1578"/>
      <c r="K16" s="1342"/>
      <c r="L16" s="1343"/>
      <c r="N16" s="1304"/>
      <c r="P16" s="1304"/>
      <c r="R16" s="1304"/>
    </row>
    <row r="17" spans="1:18" ht="15" thickBot="1">
      <c r="A17" s="1344"/>
      <c r="B17" s="1576" t="s">
        <v>616</v>
      </c>
      <c r="D17" s="1338"/>
      <c r="E17" s="1583"/>
      <c r="F17" s="1583" t="s">
        <v>631</v>
      </c>
      <c r="G17" s="1339" t="s">
        <v>667</v>
      </c>
      <c r="I17" s="1579"/>
      <c r="K17" s="1344"/>
      <c r="L17" s="1345"/>
      <c r="N17" s="1580"/>
      <c r="P17" s="1580"/>
      <c r="R17" s="1580"/>
    </row>
    <row r="19" spans="1:18" ht="30.75" customHeight="1" thickBot="1">
      <c r="B19" s="1971" t="s">
        <v>550</v>
      </c>
      <c r="C19" s="1971"/>
      <c r="D19" s="1971"/>
      <c r="E19" s="1971"/>
      <c r="F19" s="1971"/>
      <c r="G19" s="1971"/>
      <c r="H19" s="1971"/>
      <c r="I19" s="1971"/>
      <c r="J19" s="1971"/>
      <c r="K19" s="1971"/>
      <c r="L19" s="1971"/>
      <c r="M19" s="1971"/>
      <c r="N19" s="1971"/>
      <c r="O19" s="1971"/>
      <c r="P19" s="1971"/>
      <c r="Q19" s="1971"/>
      <c r="R19" s="1971"/>
    </row>
    <row r="20" spans="1:18">
      <c r="A20" s="1354"/>
      <c r="B20" s="1975"/>
      <c r="C20" s="1975"/>
      <c r="D20" s="1975"/>
      <c r="E20" s="1975"/>
      <c r="F20" s="1975"/>
      <c r="G20" s="1975"/>
      <c r="H20" s="1975"/>
      <c r="I20" s="1975"/>
      <c r="J20" s="1975"/>
      <c r="K20" s="1975"/>
      <c r="L20" s="1975"/>
      <c r="M20" s="1975"/>
      <c r="N20" s="1975"/>
      <c r="O20" s="1975"/>
      <c r="P20" s="1975"/>
      <c r="Q20" s="1975"/>
      <c r="R20" s="1975"/>
    </row>
    <row r="21" spans="1:18">
      <c r="A21" s="1353"/>
      <c r="B21" s="1970"/>
      <c r="C21" s="1970"/>
      <c r="D21" s="1970"/>
      <c r="E21" s="1970"/>
      <c r="F21" s="1970"/>
      <c r="G21" s="1970"/>
      <c r="H21" s="1970"/>
      <c r="I21" s="1970"/>
      <c r="J21" s="1970"/>
      <c r="K21" s="1970"/>
      <c r="L21" s="1970"/>
      <c r="M21" s="1970"/>
      <c r="N21" s="1970"/>
      <c r="O21" s="1970"/>
      <c r="P21" s="1970"/>
      <c r="Q21" s="1970"/>
      <c r="R21" s="1970"/>
    </row>
    <row r="22" spans="1:18">
      <c r="A22" s="1353"/>
      <c r="B22" s="1970"/>
      <c r="C22" s="1970"/>
      <c r="D22" s="1970"/>
      <c r="E22" s="1970"/>
      <c r="F22" s="1970"/>
      <c r="G22" s="1970"/>
      <c r="H22" s="1970"/>
      <c r="I22" s="1970"/>
      <c r="J22" s="1970"/>
      <c r="K22" s="1970"/>
      <c r="L22" s="1970"/>
      <c r="M22" s="1970"/>
      <c r="N22" s="1970"/>
      <c r="O22" s="1970"/>
      <c r="P22" s="1970"/>
      <c r="Q22" s="1970"/>
      <c r="R22" s="1970"/>
    </row>
    <row r="23" spans="1:18">
      <c r="A23" s="1353"/>
      <c r="B23" s="1970"/>
      <c r="C23" s="1970"/>
      <c r="D23" s="1970"/>
      <c r="E23" s="1970"/>
      <c r="F23" s="1970"/>
      <c r="G23" s="1970"/>
      <c r="H23" s="1970"/>
      <c r="I23" s="1970"/>
      <c r="J23" s="1970"/>
      <c r="K23" s="1970"/>
      <c r="L23" s="1970"/>
      <c r="M23" s="1970"/>
      <c r="N23" s="1970"/>
      <c r="O23" s="1970"/>
      <c r="P23" s="1970"/>
      <c r="Q23" s="1970"/>
      <c r="R23" s="1970"/>
    </row>
    <row r="24" spans="1:18">
      <c r="A24" s="1353"/>
      <c r="B24" s="1970"/>
      <c r="C24" s="1970"/>
      <c r="D24" s="1970"/>
      <c r="E24" s="1970"/>
      <c r="F24" s="1970"/>
      <c r="G24" s="1970"/>
      <c r="H24" s="1970"/>
      <c r="I24" s="1970"/>
      <c r="J24" s="1970"/>
      <c r="K24" s="1970"/>
      <c r="L24" s="1970"/>
      <c r="M24" s="1970"/>
      <c r="N24" s="1970"/>
      <c r="O24" s="1970"/>
      <c r="P24" s="1970"/>
      <c r="Q24" s="1970"/>
      <c r="R24" s="1970"/>
    </row>
    <row r="25" spans="1:18">
      <c r="A25" s="1354"/>
      <c r="B25" s="1976"/>
      <c r="C25" s="1976"/>
      <c r="D25" s="1976"/>
      <c r="E25" s="1976"/>
      <c r="F25" s="1976"/>
      <c r="G25" s="1976"/>
      <c r="H25" s="1976"/>
      <c r="I25" s="1976"/>
      <c r="J25" s="1976"/>
      <c r="K25" s="1976"/>
      <c r="L25" s="1976"/>
      <c r="M25" s="1976"/>
      <c r="N25" s="1976"/>
      <c r="O25" s="1976"/>
      <c r="P25" s="1976"/>
      <c r="Q25" s="1976"/>
      <c r="R25" s="1976"/>
    </row>
    <row r="26" spans="1:18">
      <c r="A26" s="1123"/>
      <c r="B26" s="1976"/>
      <c r="C26" s="1976"/>
      <c r="D26" s="1976"/>
      <c r="E26" s="1976"/>
      <c r="F26" s="1976"/>
      <c r="G26" s="1976"/>
      <c r="H26" s="1976"/>
      <c r="I26" s="1976"/>
      <c r="J26" s="1976"/>
      <c r="K26" s="1976"/>
      <c r="L26" s="1976"/>
      <c r="M26" s="1976"/>
      <c r="N26" s="1976"/>
      <c r="O26" s="1976"/>
      <c r="P26" s="1976"/>
      <c r="Q26" s="1976"/>
      <c r="R26" s="1976"/>
    </row>
    <row r="27" spans="1:18">
      <c r="A27" s="1123"/>
      <c r="B27" s="1976"/>
      <c r="C27" s="1976"/>
      <c r="D27" s="1976"/>
      <c r="E27" s="1976"/>
      <c r="F27" s="1976"/>
      <c r="G27" s="1976"/>
      <c r="H27" s="1976"/>
      <c r="I27" s="1976"/>
      <c r="J27" s="1976"/>
      <c r="K27" s="1976"/>
      <c r="L27" s="1976"/>
      <c r="M27" s="1976"/>
      <c r="N27" s="1976"/>
      <c r="O27" s="1976"/>
      <c r="P27" s="1976"/>
      <c r="Q27" s="1976"/>
      <c r="R27" s="1976"/>
    </row>
    <row r="28" spans="1:18">
      <c r="A28" s="1123"/>
      <c r="B28" s="1976"/>
      <c r="C28" s="1976"/>
      <c r="D28" s="1976"/>
      <c r="E28" s="1976"/>
      <c r="F28" s="1976"/>
      <c r="G28" s="1976"/>
      <c r="H28" s="1976"/>
      <c r="I28" s="1976"/>
      <c r="J28" s="1976"/>
      <c r="K28" s="1976"/>
      <c r="L28" s="1976"/>
      <c r="M28" s="1976"/>
      <c r="N28" s="1976"/>
      <c r="O28" s="1976"/>
      <c r="P28" s="1976"/>
      <c r="Q28" s="1976"/>
      <c r="R28" s="1976"/>
    </row>
    <row r="29" spans="1:18">
      <c r="A29" s="1123"/>
      <c r="B29" s="1976"/>
      <c r="C29" s="1976"/>
      <c r="D29" s="1976"/>
      <c r="E29" s="1976"/>
      <c r="F29" s="1976"/>
      <c r="G29" s="1976"/>
      <c r="H29" s="1976"/>
      <c r="I29" s="1976"/>
      <c r="J29" s="1976"/>
      <c r="K29" s="1976"/>
      <c r="L29" s="1976"/>
      <c r="M29" s="1976"/>
      <c r="N29" s="1976"/>
      <c r="O29" s="1976"/>
      <c r="P29" s="1976"/>
      <c r="Q29" s="1976"/>
      <c r="R29" s="1976"/>
    </row>
    <row r="30" spans="1:18">
      <c r="A30" s="1123"/>
      <c r="B30" s="1976"/>
      <c r="C30" s="1976"/>
      <c r="D30" s="1976"/>
      <c r="E30" s="1976"/>
      <c r="F30" s="1976"/>
      <c r="G30" s="1976"/>
      <c r="H30" s="1976"/>
      <c r="I30" s="1976"/>
      <c r="J30" s="1976"/>
      <c r="K30" s="1976"/>
      <c r="L30" s="1976"/>
      <c r="M30" s="1976"/>
      <c r="N30" s="1976"/>
      <c r="O30" s="1976"/>
      <c r="P30" s="1976"/>
      <c r="Q30" s="1976"/>
      <c r="R30" s="1976"/>
    </row>
    <row r="31" spans="1:18">
      <c r="A31" s="1123"/>
      <c r="B31" s="1976"/>
      <c r="C31" s="1976"/>
      <c r="D31" s="1976"/>
      <c r="E31" s="1976"/>
      <c r="F31" s="1976"/>
      <c r="G31" s="1976"/>
      <c r="H31" s="1976"/>
      <c r="I31" s="1976"/>
      <c r="J31" s="1976"/>
      <c r="K31" s="1976"/>
      <c r="L31" s="1976"/>
      <c r="M31" s="1976"/>
      <c r="N31" s="1976"/>
      <c r="O31" s="1976"/>
      <c r="P31" s="1976"/>
      <c r="Q31" s="1976"/>
      <c r="R31" s="1976"/>
    </row>
    <row r="32" spans="1:18">
      <c r="A32" s="1123"/>
      <c r="B32" s="1976"/>
      <c r="C32" s="1976"/>
      <c r="D32" s="1976"/>
      <c r="E32" s="1976"/>
      <c r="F32" s="1976"/>
      <c r="G32" s="1976"/>
      <c r="H32" s="1976"/>
      <c r="I32" s="1976"/>
      <c r="J32" s="1976"/>
      <c r="K32" s="1976"/>
      <c r="L32" s="1976"/>
      <c r="M32" s="1976"/>
      <c r="N32" s="1976"/>
      <c r="O32" s="1976"/>
      <c r="P32" s="1976"/>
      <c r="Q32" s="1976"/>
      <c r="R32" s="1976"/>
    </row>
    <row r="33" spans="1:22">
      <c r="A33" s="1123"/>
      <c r="B33" s="1976"/>
      <c r="C33" s="1976"/>
      <c r="D33" s="1976"/>
      <c r="E33" s="1976"/>
      <c r="F33" s="1976"/>
      <c r="G33" s="1976"/>
      <c r="H33" s="1976"/>
      <c r="I33" s="1976"/>
      <c r="J33" s="1976"/>
      <c r="K33" s="1976"/>
      <c r="L33" s="1976"/>
      <c r="M33" s="1976"/>
      <c r="N33" s="1976"/>
      <c r="O33" s="1976"/>
      <c r="P33" s="1976"/>
      <c r="Q33" s="1976"/>
      <c r="R33" s="1976"/>
    </row>
    <row r="34" spans="1:22">
      <c r="A34" s="1123"/>
      <c r="B34" s="1976"/>
      <c r="C34" s="1976"/>
      <c r="D34" s="1976"/>
      <c r="E34" s="1976"/>
      <c r="F34" s="1976"/>
      <c r="G34" s="1976"/>
      <c r="H34" s="1976"/>
      <c r="I34" s="1976"/>
      <c r="J34" s="1976"/>
      <c r="K34" s="1976"/>
      <c r="L34" s="1976"/>
      <c r="M34" s="1976"/>
      <c r="N34" s="1976"/>
      <c r="O34" s="1976"/>
      <c r="P34" s="1976"/>
      <c r="Q34" s="1976"/>
      <c r="R34" s="1976"/>
    </row>
    <row r="35" spans="1:22">
      <c r="A35" s="1123"/>
      <c r="B35" s="1976"/>
      <c r="C35" s="1976"/>
      <c r="D35" s="1976"/>
      <c r="E35" s="1976"/>
      <c r="F35" s="1976"/>
      <c r="G35" s="1976"/>
      <c r="H35" s="1976"/>
      <c r="I35" s="1976"/>
      <c r="J35" s="1976"/>
      <c r="K35" s="1976"/>
      <c r="L35" s="1976"/>
      <c r="M35" s="1976"/>
      <c r="N35" s="1976"/>
      <c r="O35" s="1976"/>
      <c r="P35" s="1976"/>
      <c r="Q35" s="1976"/>
      <c r="R35" s="1976"/>
    </row>
    <row r="36" spans="1:22">
      <c r="A36" s="1123"/>
      <c r="B36" s="1976"/>
      <c r="C36" s="1976"/>
      <c r="D36" s="1976"/>
      <c r="E36" s="1976"/>
      <c r="F36" s="1976"/>
      <c r="G36" s="1976"/>
      <c r="H36" s="1976"/>
      <c r="I36" s="1976"/>
      <c r="J36" s="1976"/>
      <c r="K36" s="1976"/>
      <c r="L36" s="1976"/>
      <c r="M36" s="1976"/>
      <c r="N36" s="1976"/>
      <c r="O36" s="1976"/>
      <c r="P36" s="1976"/>
      <c r="Q36" s="1976"/>
      <c r="R36" s="1976"/>
    </row>
    <row r="37" spans="1:22">
      <c r="A37" s="1123"/>
      <c r="B37" s="1976"/>
      <c r="C37" s="1976"/>
      <c r="D37" s="1976"/>
      <c r="E37" s="1976"/>
      <c r="F37" s="1976"/>
      <c r="G37" s="1976"/>
      <c r="H37" s="1976"/>
      <c r="I37" s="1976"/>
      <c r="J37" s="1976"/>
      <c r="K37" s="1976"/>
      <c r="L37" s="1976"/>
      <c r="M37" s="1976"/>
      <c r="N37" s="1976"/>
      <c r="O37" s="1976"/>
      <c r="P37" s="1976"/>
      <c r="Q37" s="1976"/>
      <c r="R37" s="1976"/>
    </row>
    <row r="38" spans="1:22">
      <c r="A38" s="1123"/>
      <c r="B38" s="1976"/>
      <c r="C38" s="1976"/>
      <c r="D38" s="1976"/>
      <c r="E38" s="1976"/>
      <c r="F38" s="1976"/>
      <c r="G38" s="1976"/>
      <c r="H38" s="1976"/>
      <c r="I38" s="1976"/>
      <c r="J38" s="1976"/>
      <c r="K38" s="1976"/>
      <c r="L38" s="1976"/>
      <c r="M38" s="1976"/>
      <c r="N38" s="1976"/>
      <c r="O38" s="1976"/>
      <c r="P38" s="1976"/>
      <c r="Q38" s="1976"/>
      <c r="R38" s="1976"/>
    </row>
    <row r="39" spans="1:22">
      <c r="A39" s="1123"/>
      <c r="B39" s="1976"/>
      <c r="C39" s="1976"/>
      <c r="D39" s="1976"/>
      <c r="E39" s="1976"/>
      <c r="F39" s="1976"/>
      <c r="G39" s="1976"/>
      <c r="H39" s="1976"/>
      <c r="I39" s="1976"/>
      <c r="J39" s="1976"/>
      <c r="K39" s="1976"/>
      <c r="L39" s="1976"/>
      <c r="M39" s="1976"/>
      <c r="N39" s="1976"/>
      <c r="O39" s="1976"/>
      <c r="P39" s="1976"/>
      <c r="Q39" s="1976"/>
      <c r="R39" s="1976"/>
    </row>
    <row r="42" spans="1:22" s="1238" customFormat="1">
      <c r="B42" s="1241"/>
      <c r="C42" s="1241"/>
      <c r="D42" s="1241"/>
      <c r="E42" s="1241"/>
      <c r="F42" s="1241"/>
      <c r="G42" s="1241"/>
      <c r="I42" s="1235"/>
      <c r="J42" s="1357"/>
    </row>
    <row r="45" spans="1:22" s="1239" customFormat="1">
      <c r="A45" s="634"/>
      <c r="B45" s="1241"/>
      <c r="C45" s="1241"/>
      <c r="D45" s="1241"/>
      <c r="E45" s="1241"/>
      <c r="F45" s="1241"/>
      <c r="G45" s="1241"/>
      <c r="H45" s="1238"/>
      <c r="J45" s="1243"/>
      <c r="K45" s="634"/>
      <c r="L45" s="634"/>
      <c r="M45" s="634"/>
      <c r="N45" s="634"/>
      <c r="O45" s="634"/>
      <c r="P45" s="634"/>
      <c r="Q45" s="634"/>
      <c r="R45" s="634"/>
      <c r="S45" s="634"/>
      <c r="T45" s="634"/>
      <c r="U45" s="634"/>
      <c r="V45" s="634"/>
    </row>
    <row r="48" spans="1:22" s="1239" customFormat="1">
      <c r="A48" s="634"/>
      <c r="B48" s="1241"/>
      <c r="C48" s="1241"/>
      <c r="D48" s="1241"/>
      <c r="E48" s="1241"/>
      <c r="F48" s="1241"/>
      <c r="G48" s="1241"/>
      <c r="H48" s="1238"/>
      <c r="J48" s="1243"/>
      <c r="K48" s="634"/>
      <c r="L48" s="634"/>
      <c r="M48" s="634"/>
      <c r="N48" s="634"/>
      <c r="O48" s="634"/>
      <c r="P48" s="634"/>
      <c r="Q48" s="634"/>
      <c r="R48" s="634"/>
      <c r="S48" s="634"/>
      <c r="T48" s="634"/>
      <c r="U48" s="634"/>
      <c r="V48" s="634"/>
    </row>
    <row r="50" spans="1:22" s="1239" customFormat="1">
      <c r="A50" s="634"/>
      <c r="B50" s="1241"/>
      <c r="C50" s="1241"/>
      <c r="D50" s="1241"/>
      <c r="E50" s="1241"/>
      <c r="F50" s="1241"/>
      <c r="G50" s="1241"/>
      <c r="H50" s="1238"/>
      <c r="J50" s="1243"/>
      <c r="K50" s="634"/>
      <c r="L50" s="634"/>
      <c r="M50" s="634"/>
      <c r="N50" s="634"/>
      <c r="O50" s="634"/>
      <c r="P50" s="634"/>
      <c r="Q50" s="634"/>
      <c r="R50" s="634"/>
      <c r="S50" s="634"/>
      <c r="T50" s="634"/>
      <c r="U50" s="634"/>
      <c r="V50" s="634"/>
    </row>
    <row r="55" spans="1:22" s="1239" customFormat="1">
      <c r="A55" s="634"/>
      <c r="B55" s="1241"/>
      <c r="C55" s="1241"/>
      <c r="D55" s="1241"/>
      <c r="E55" s="1241"/>
      <c r="F55" s="1241"/>
      <c r="G55" s="1241"/>
      <c r="H55" s="1238"/>
      <c r="J55" s="1243"/>
      <c r="K55" s="634"/>
      <c r="L55" s="634"/>
      <c r="M55" s="634"/>
      <c r="N55" s="634"/>
      <c r="O55" s="634"/>
      <c r="P55" s="634"/>
      <c r="Q55" s="634"/>
      <c r="R55" s="634"/>
      <c r="S55" s="634"/>
      <c r="T55" s="634"/>
      <c r="U55" s="634"/>
      <c r="V55" s="634"/>
    </row>
    <row r="57" spans="1:22" s="1239" customFormat="1">
      <c r="A57" s="634"/>
      <c r="B57" s="1241"/>
      <c r="C57" s="1241"/>
      <c r="D57" s="1241"/>
      <c r="E57" s="1241"/>
      <c r="F57" s="1241"/>
      <c r="G57" s="1241"/>
      <c r="H57" s="1238"/>
      <c r="J57" s="1243"/>
      <c r="K57" s="634"/>
      <c r="L57" s="634"/>
      <c r="M57" s="634"/>
      <c r="N57" s="634"/>
      <c r="O57" s="634"/>
      <c r="P57" s="634"/>
      <c r="Q57" s="634"/>
      <c r="R57" s="634"/>
      <c r="S57" s="634"/>
      <c r="T57" s="634"/>
      <c r="U57" s="634"/>
      <c r="V57" s="634"/>
    </row>
    <row r="60" spans="1:22" s="1239" customFormat="1">
      <c r="A60" s="634"/>
      <c r="B60" s="1241"/>
      <c r="C60" s="1241"/>
      <c r="D60" s="1241"/>
      <c r="E60" s="1241"/>
      <c r="F60" s="1241"/>
      <c r="G60" s="1241"/>
      <c r="H60" s="1238"/>
      <c r="J60" s="1243"/>
      <c r="K60" s="634"/>
      <c r="L60" s="634"/>
      <c r="M60" s="634"/>
      <c r="N60" s="634"/>
      <c r="O60" s="634"/>
      <c r="P60" s="634"/>
      <c r="Q60" s="634"/>
      <c r="R60" s="634"/>
      <c r="S60" s="634"/>
      <c r="T60" s="634"/>
      <c r="U60" s="634"/>
      <c r="V60" s="634"/>
    </row>
    <row r="63" spans="1:22" s="1239" customFormat="1">
      <c r="A63" s="634"/>
      <c r="B63" s="1241"/>
      <c r="C63" s="1241"/>
      <c r="D63" s="1241"/>
      <c r="E63" s="1241"/>
      <c r="F63" s="1241"/>
      <c r="G63" s="1241"/>
      <c r="H63" s="1238"/>
      <c r="J63" s="1243"/>
      <c r="K63" s="634"/>
      <c r="L63" s="634"/>
      <c r="M63" s="634"/>
      <c r="N63" s="634"/>
      <c r="O63" s="634"/>
      <c r="P63" s="634"/>
      <c r="Q63" s="634"/>
      <c r="R63" s="634"/>
      <c r="S63" s="634"/>
      <c r="T63" s="634"/>
      <c r="U63" s="634"/>
      <c r="V63" s="634"/>
    </row>
    <row r="66" spans="1:22" s="1239" customFormat="1">
      <c r="A66" s="634"/>
      <c r="B66" s="1241"/>
      <c r="C66" s="1241"/>
      <c r="D66" s="1241"/>
      <c r="E66" s="1241"/>
      <c r="F66" s="1241"/>
      <c r="G66" s="1241"/>
      <c r="H66" s="1238"/>
      <c r="J66" s="1243"/>
      <c r="K66" s="634"/>
      <c r="L66" s="634"/>
      <c r="M66" s="634"/>
      <c r="N66" s="634"/>
      <c r="O66" s="634"/>
      <c r="P66" s="634"/>
      <c r="Q66" s="634"/>
      <c r="R66" s="634"/>
      <c r="S66" s="634"/>
      <c r="T66" s="634"/>
      <c r="U66" s="634"/>
      <c r="V66" s="634"/>
    </row>
    <row r="68" spans="1:22" s="1239" customFormat="1">
      <c r="A68" s="634"/>
      <c r="B68" s="1241"/>
      <c r="C68" s="1241"/>
      <c r="D68" s="1241"/>
      <c r="E68" s="1241"/>
      <c r="F68" s="1241"/>
      <c r="G68" s="1241"/>
      <c r="H68" s="1238"/>
      <c r="J68" s="1243"/>
      <c r="K68" s="634"/>
      <c r="L68" s="634"/>
      <c r="M68" s="634"/>
      <c r="N68" s="634"/>
      <c r="O68" s="634"/>
      <c r="P68" s="634"/>
      <c r="Q68" s="634"/>
      <c r="R68" s="634"/>
      <c r="S68" s="634"/>
      <c r="T68" s="634"/>
      <c r="U68" s="634"/>
      <c r="V68" s="634"/>
    </row>
    <row r="71" spans="1:22" s="1239" customFormat="1">
      <c r="A71" s="634"/>
      <c r="B71" s="1241"/>
      <c r="C71" s="1241"/>
      <c r="D71" s="1241"/>
      <c r="E71" s="1241"/>
      <c r="F71" s="1241"/>
      <c r="G71" s="1241"/>
      <c r="H71" s="1238"/>
      <c r="J71" s="1243"/>
      <c r="K71" s="634"/>
      <c r="L71" s="634"/>
      <c r="M71" s="634"/>
      <c r="N71" s="634"/>
      <c r="O71" s="634"/>
      <c r="P71" s="634"/>
      <c r="Q71" s="634"/>
      <c r="R71" s="634"/>
      <c r="S71" s="634"/>
      <c r="T71" s="634"/>
      <c r="U71" s="634"/>
      <c r="V71" s="634"/>
    </row>
  </sheetData>
  <sheetProtection algorithmName="SHA-512" hashValue="UPlJvl3RGdHnsBnzJEYz/smh1j89jhvn+XUR9PVKmuZgbuvzIJLhA0hbcvyeejJ22ViWB9RsOfv5ZmAQnJUMLw==" saltValue="/Sih8Y2QYNNxR2FDaIBtCw==" spinCount="100000" sheet="1" objects="1" scenarios="1"/>
  <mergeCells count="23">
    <mergeCell ref="B24:R24"/>
    <mergeCell ref="B25:R25"/>
    <mergeCell ref="B26:R26"/>
    <mergeCell ref="B27:R27"/>
    <mergeCell ref="B23:R23"/>
    <mergeCell ref="K3:L3"/>
    <mergeCell ref="A1:R1"/>
    <mergeCell ref="B19:R19"/>
    <mergeCell ref="B21:R21"/>
    <mergeCell ref="B22:R22"/>
    <mergeCell ref="B20:R20"/>
    <mergeCell ref="B36:R36"/>
    <mergeCell ref="B37:R37"/>
    <mergeCell ref="B38:R38"/>
    <mergeCell ref="B39:R39"/>
    <mergeCell ref="B28:R28"/>
    <mergeCell ref="B29:R29"/>
    <mergeCell ref="B30:R30"/>
    <mergeCell ref="B31:R31"/>
    <mergeCell ref="B32:R32"/>
    <mergeCell ref="B33:R33"/>
    <mergeCell ref="B34:R34"/>
    <mergeCell ref="B35:R35"/>
  </mergeCells>
  <pageMargins left="0.70866141732283472" right="0.70866141732283472" top="0.74803149606299213" bottom="0.74803149606299213" header="0.31496062992125984" footer="0.31496062992125984"/>
  <pageSetup paperSize="9" scale="48"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B7CE8-0584-4B91-AEEA-919CA7A5C573}">
  <sheetPr>
    <pageSetUpPr fitToPage="1"/>
  </sheetPr>
  <dimension ref="A1:K51"/>
  <sheetViews>
    <sheetView zoomScaleNormal="100" workbookViewId="0">
      <selection sqref="A1:K1"/>
    </sheetView>
  </sheetViews>
  <sheetFormatPr defaultColWidth="9.1796875" defaultRowHeight="12.5"/>
  <cols>
    <col min="1" max="1" width="5.7265625" style="1135" customWidth="1"/>
    <col min="2" max="2" width="75.1796875" style="1135" customWidth="1"/>
    <col min="3" max="3" width="27" style="1135" bestFit="1" customWidth="1"/>
    <col min="4" max="11" width="20.7265625" style="1135" customWidth="1"/>
    <col min="12" max="16384" width="9.1796875" style="1135"/>
  </cols>
  <sheetData>
    <row r="1" spans="1:11" ht="20.5" thickBot="1">
      <c r="A1" s="1980" t="str">
        <f>DNB&amp;" - AARDGAS - Tarieflijst periodieke distributienettarieven "&amp;JAAR&amp;" - Afname"</f>
        <v>Naam distributienetbeheerder - AARDGAS - Tarieflijst periodieke distributienettarieven  - Afname</v>
      </c>
      <c r="B1" s="1981"/>
      <c r="C1" s="1981"/>
      <c r="D1" s="1981"/>
      <c r="E1" s="1981"/>
      <c r="F1" s="1981"/>
      <c r="G1" s="1981"/>
      <c r="H1" s="1981"/>
      <c r="I1" s="1981"/>
      <c r="J1" s="1981"/>
      <c r="K1" s="1982"/>
    </row>
    <row r="2" spans="1:11">
      <c r="J2" s="1136"/>
      <c r="K2" s="1136"/>
    </row>
    <row r="3" spans="1:11" ht="15" customHeight="1" thickBot="1">
      <c r="J3" s="1137"/>
      <c r="K3" s="1137"/>
    </row>
    <row r="4" spans="1:11" ht="15" customHeight="1">
      <c r="A4" s="1983"/>
      <c r="B4" s="1984"/>
      <c r="C4" s="1985"/>
      <c r="D4" s="1989" t="s">
        <v>472</v>
      </c>
      <c r="E4" s="1990"/>
      <c r="F4" s="1990"/>
      <c r="G4" s="1990"/>
      <c r="H4" s="1989" t="s">
        <v>471</v>
      </c>
      <c r="I4" s="1990"/>
      <c r="J4" s="1989" t="s">
        <v>470</v>
      </c>
      <c r="K4" s="1995"/>
    </row>
    <row r="5" spans="1:11" ht="21" customHeight="1" thickBot="1">
      <c r="A5" s="1986"/>
      <c r="B5" s="1987"/>
      <c r="C5" s="1988"/>
      <c r="D5" s="1991"/>
      <c r="E5" s="1992"/>
      <c r="F5" s="1992"/>
      <c r="G5" s="1992"/>
      <c r="H5" s="1993"/>
      <c r="I5" s="1994"/>
      <c r="J5" s="1993"/>
      <c r="K5" s="1996"/>
    </row>
    <row r="6" spans="1:11" ht="21" customHeight="1" thickBot="1">
      <c r="A6" s="1986"/>
      <c r="B6" s="1987"/>
      <c r="C6" s="1988"/>
      <c r="D6" s="1138" t="s">
        <v>372</v>
      </c>
      <c r="E6" s="1139" t="s">
        <v>371</v>
      </c>
      <c r="F6" s="1140" t="s">
        <v>370</v>
      </c>
      <c r="G6" s="1141" t="s">
        <v>369</v>
      </c>
      <c r="H6" s="1138" t="s">
        <v>368</v>
      </c>
      <c r="I6" s="1142" t="s">
        <v>356</v>
      </c>
      <c r="J6" s="1143" t="s">
        <v>469</v>
      </c>
      <c r="K6" s="1144" t="s">
        <v>366</v>
      </c>
    </row>
    <row r="7" spans="1:11" ht="21" customHeight="1" thickBot="1">
      <c r="A7" s="1986"/>
      <c r="B7" s="1987"/>
      <c r="C7" s="1988"/>
      <c r="D7" s="1993" t="s">
        <v>468</v>
      </c>
      <c r="E7" s="1994"/>
      <c r="F7" s="1994"/>
      <c r="G7" s="1994"/>
      <c r="H7" s="1993" t="s">
        <v>468</v>
      </c>
      <c r="I7" s="1994"/>
      <c r="J7" s="1993" t="s">
        <v>467</v>
      </c>
      <c r="K7" s="1996"/>
    </row>
    <row r="8" spans="1:11" ht="18" customHeight="1">
      <c r="A8" s="1986"/>
      <c r="B8" s="1987"/>
      <c r="C8" s="1988"/>
      <c r="D8" s="1145" t="s">
        <v>466</v>
      </c>
      <c r="E8" s="1146" t="s">
        <v>465</v>
      </c>
      <c r="F8" s="1147" t="s">
        <v>464</v>
      </c>
      <c r="G8" s="1148" t="s">
        <v>463</v>
      </c>
      <c r="H8" s="1145" t="s">
        <v>462</v>
      </c>
      <c r="I8" s="1149" t="s">
        <v>461</v>
      </c>
      <c r="J8" s="1993"/>
      <c r="K8" s="1996"/>
    </row>
    <row r="9" spans="1:11" ht="18" customHeight="1" thickBot="1">
      <c r="A9" s="1150"/>
      <c r="B9" s="1151"/>
      <c r="C9" s="1152"/>
      <c r="D9" s="1153"/>
      <c r="E9" s="1154"/>
      <c r="F9" s="1155"/>
      <c r="G9" s="1156"/>
      <c r="H9" s="1153"/>
      <c r="I9" s="1157"/>
      <c r="J9" s="1153"/>
      <c r="K9" s="1158"/>
    </row>
    <row r="10" spans="1:11" ht="18.75" customHeight="1">
      <c r="A10" s="1159" t="s">
        <v>460</v>
      </c>
      <c r="B10" s="1160"/>
      <c r="C10" s="1161"/>
      <c r="D10" s="1162"/>
      <c r="E10" s="1163"/>
      <c r="F10" s="1163"/>
      <c r="G10" s="1164"/>
      <c r="H10" s="1162"/>
      <c r="I10" s="1160"/>
      <c r="J10" s="1162"/>
      <c r="K10" s="1161"/>
    </row>
    <row r="11" spans="1:11" ht="18.75" customHeight="1">
      <c r="A11" s="1159"/>
      <c r="B11" s="1160"/>
      <c r="C11" s="1161"/>
      <c r="D11" s="1162"/>
      <c r="E11" s="1163"/>
      <c r="F11" s="1163"/>
      <c r="G11" s="1163"/>
      <c r="H11" s="1162"/>
      <c r="I11" s="1160"/>
      <c r="J11" s="1162"/>
      <c r="K11" s="1161"/>
    </row>
    <row r="12" spans="1:11" ht="18.75" customHeight="1">
      <c r="A12" s="1165" t="s">
        <v>452</v>
      </c>
      <c r="B12" s="1166" t="s">
        <v>459</v>
      </c>
      <c r="C12" s="1167"/>
      <c r="D12" s="1162"/>
      <c r="E12" s="1163"/>
      <c r="F12" s="1163"/>
      <c r="G12" s="1163"/>
      <c r="H12" s="1162"/>
      <c r="I12" s="1160"/>
      <c r="J12" s="1162"/>
      <c r="K12" s="1161"/>
    </row>
    <row r="13" spans="1:11" ht="18.75" customHeight="1">
      <c r="A13" s="1168"/>
      <c r="B13" s="1169" t="s">
        <v>458</v>
      </c>
      <c r="C13" s="1170" t="s">
        <v>412</v>
      </c>
      <c r="D13" s="1171">
        <f>'T7'!$E$13</f>
        <v>0</v>
      </c>
      <c r="E13" s="1172">
        <f>'T7'!$F$13</f>
        <v>0</v>
      </c>
      <c r="F13" s="1172">
        <f>'T7'!$G$13</f>
        <v>0</v>
      </c>
      <c r="G13" s="1172">
        <f>'T7'!$H$13</f>
        <v>0</v>
      </c>
      <c r="H13" s="1646"/>
      <c r="I13" s="1647"/>
      <c r="J13" s="1646"/>
      <c r="K13" s="1648"/>
    </row>
    <row r="14" spans="1:11" ht="18.75" customHeight="1">
      <c r="A14" s="1168"/>
      <c r="B14" s="1169" t="s">
        <v>457</v>
      </c>
      <c r="C14" s="1170" t="s">
        <v>379</v>
      </c>
      <c r="D14" s="1173">
        <f>'T7'!$E$14</f>
        <v>0</v>
      </c>
      <c r="E14" s="1174">
        <f>'T7'!$F$14</f>
        <v>0</v>
      </c>
      <c r="F14" s="1174">
        <f>'T7'!$G$14</f>
        <v>0</v>
      </c>
      <c r="G14" s="1174">
        <f>'T7'!$H$14</f>
        <v>0</v>
      </c>
      <c r="H14" s="1173">
        <f>'T7'!$I$14</f>
        <v>0</v>
      </c>
      <c r="I14" s="1175">
        <f>'T7'!$J$14</f>
        <v>0</v>
      </c>
      <c r="J14" s="1173">
        <f>'T7'!$K$14</f>
        <v>0</v>
      </c>
      <c r="K14" s="1176">
        <f>'T7'!$L$14</f>
        <v>0</v>
      </c>
    </row>
    <row r="15" spans="1:11" ht="18.75" customHeight="1">
      <c r="A15" s="1168"/>
      <c r="B15" s="1169" t="s">
        <v>456</v>
      </c>
      <c r="C15" s="1170" t="s">
        <v>455</v>
      </c>
      <c r="D15" s="1649"/>
      <c r="E15" s="1650"/>
      <c r="F15" s="1650"/>
      <c r="G15" s="1650"/>
      <c r="H15" s="1173">
        <f>'T7'!$I$15</f>
        <v>0</v>
      </c>
      <c r="I15" s="1175">
        <f>'T7'!$J$15</f>
        <v>0</v>
      </c>
      <c r="J15" s="1649"/>
      <c r="K15" s="1656"/>
    </row>
    <row r="16" spans="1:11" s="1181" customFormat="1" ht="18" customHeight="1">
      <c r="A16" s="1168"/>
      <c r="B16" s="1160"/>
      <c r="C16" s="1161"/>
      <c r="D16" s="1177"/>
      <c r="E16" s="1178"/>
      <c r="F16" s="1178"/>
      <c r="G16" s="1178"/>
      <c r="H16" s="1177"/>
      <c r="I16" s="1179"/>
      <c r="J16" s="1177"/>
      <c r="K16" s="1180"/>
    </row>
    <row r="17" spans="1:11" ht="18" customHeight="1">
      <c r="A17" s="1165" t="s">
        <v>451</v>
      </c>
      <c r="B17" s="1166" t="s">
        <v>454</v>
      </c>
      <c r="C17" s="1170" t="s">
        <v>379</v>
      </c>
      <c r="D17" s="1651"/>
      <c r="E17" s="1652"/>
      <c r="F17" s="1653"/>
      <c r="G17" s="1653"/>
      <c r="H17" s="1654"/>
      <c r="I17" s="1653"/>
      <c r="J17" s="1654"/>
      <c r="K17" s="1655"/>
    </row>
    <row r="18" spans="1:11" ht="18" customHeight="1">
      <c r="A18" s="1168"/>
      <c r="B18" s="1160"/>
      <c r="C18" s="1182"/>
      <c r="D18" s="1178"/>
      <c r="E18" s="1178"/>
      <c r="F18" s="1178"/>
      <c r="G18" s="1178"/>
      <c r="H18" s="1177"/>
      <c r="I18" s="1179"/>
      <c r="J18" s="1177"/>
      <c r="K18" s="1180"/>
    </row>
    <row r="19" spans="1:11" ht="17.25" customHeight="1">
      <c r="A19" s="1165" t="s">
        <v>450</v>
      </c>
      <c r="B19" s="1183" t="s">
        <v>345</v>
      </c>
      <c r="C19" s="1182"/>
      <c r="D19" s="1178"/>
      <c r="E19" s="1178"/>
      <c r="F19" s="1178"/>
      <c r="G19" s="1178"/>
      <c r="H19" s="1177"/>
      <c r="I19" s="1179"/>
      <c r="J19" s="1177"/>
      <c r="K19" s="1180"/>
    </row>
    <row r="20" spans="1:11" ht="18" customHeight="1">
      <c r="A20" s="1168"/>
      <c r="B20" s="1169" t="s">
        <v>7</v>
      </c>
      <c r="C20" s="1170" t="s">
        <v>412</v>
      </c>
      <c r="D20" s="2000"/>
      <c r="E20" s="2001"/>
      <c r="F20" s="2001"/>
      <c r="G20" s="2002"/>
      <c r="H20" s="1997">
        <f>'T7'!$I$19</f>
        <v>0</v>
      </c>
      <c r="I20" s="1999"/>
      <c r="J20" s="2000"/>
      <c r="K20" s="2002"/>
    </row>
    <row r="21" spans="1:11" ht="18" customHeight="1">
      <c r="A21" s="1168"/>
      <c r="B21" s="1169" t="s">
        <v>8</v>
      </c>
      <c r="C21" s="1170" t="s">
        <v>412</v>
      </c>
      <c r="D21" s="1997">
        <f>'T7'!$E$20</f>
        <v>0</v>
      </c>
      <c r="E21" s="1998"/>
      <c r="F21" s="1998"/>
      <c r="G21" s="1999"/>
      <c r="H21" s="2000"/>
      <c r="I21" s="2001"/>
      <c r="J21" s="2000"/>
      <c r="K21" s="2002"/>
    </row>
    <row r="22" spans="1:11" ht="21" customHeight="1">
      <c r="A22" s="1168"/>
      <c r="B22" s="1169" t="s">
        <v>453</v>
      </c>
      <c r="C22" s="1170" t="s">
        <v>412</v>
      </c>
      <c r="D22" s="1997">
        <f>'T7'!$E$21</f>
        <v>0</v>
      </c>
      <c r="E22" s="1998"/>
      <c r="F22" s="1998"/>
      <c r="G22" s="1999"/>
      <c r="H22" s="2000"/>
      <c r="I22" s="2001"/>
      <c r="J22" s="2000"/>
      <c r="K22" s="2002"/>
    </row>
    <row r="23" spans="1:11" ht="18" customHeight="1">
      <c r="A23" s="1168"/>
      <c r="B23" s="1160"/>
      <c r="C23" s="1182"/>
      <c r="D23" s="1177"/>
      <c r="E23" s="1178"/>
      <c r="F23" s="1178"/>
      <c r="G23" s="1184"/>
      <c r="H23" s="1177"/>
      <c r="I23" s="1179"/>
      <c r="J23" s="1177"/>
      <c r="K23" s="1180"/>
    </row>
    <row r="24" spans="1:11" ht="18" customHeight="1">
      <c r="A24" s="1159" t="s">
        <v>672</v>
      </c>
      <c r="B24" s="1160"/>
      <c r="C24" s="1170" t="s">
        <v>379</v>
      </c>
      <c r="D24" s="1185">
        <f>'T7'!$E$23</f>
        <v>0</v>
      </c>
      <c r="E24" s="1186">
        <f>'T7'!$F$23</f>
        <v>0</v>
      </c>
      <c r="F24" s="1187">
        <f>'T7'!$G$23</f>
        <v>0</v>
      </c>
      <c r="G24" s="1653"/>
      <c r="H24" s="1654"/>
      <c r="I24" s="1653"/>
      <c r="J24" s="1654"/>
      <c r="K24" s="1655"/>
    </row>
    <row r="25" spans="1:11" ht="18" customHeight="1">
      <c r="A25" s="1168"/>
      <c r="B25" s="1160"/>
      <c r="C25" s="1182"/>
      <c r="D25" s="1177"/>
      <c r="E25" s="1178"/>
      <c r="F25" s="1178"/>
      <c r="G25" s="1178"/>
      <c r="H25" s="1177"/>
      <c r="I25" s="1179"/>
      <c r="J25" s="1177"/>
      <c r="K25" s="1180"/>
    </row>
    <row r="26" spans="1:11" ht="22.5" customHeight="1">
      <c r="A26" s="1188" t="s">
        <v>704</v>
      </c>
      <c r="B26" s="1160"/>
      <c r="C26" s="1170"/>
      <c r="D26" s="1177"/>
      <c r="E26" s="1178"/>
      <c r="F26" s="1178"/>
      <c r="G26" s="1178"/>
      <c r="H26" s="1177"/>
      <c r="I26" s="1179"/>
      <c r="J26" s="1177"/>
      <c r="K26" s="1180"/>
    </row>
    <row r="27" spans="1:11" ht="18" customHeight="1">
      <c r="A27" s="1191" t="s">
        <v>452</v>
      </c>
      <c r="B27" s="1190" t="s">
        <v>449</v>
      </c>
      <c r="C27" s="1189" t="s">
        <v>379</v>
      </c>
      <c r="D27" s="1192">
        <f>'T7'!$E$27</f>
        <v>0</v>
      </c>
      <c r="E27" s="1193">
        <f>'T7'!$F$27</f>
        <v>0</v>
      </c>
      <c r="F27" s="1194">
        <f>'T7'!$G$27</f>
        <v>0</v>
      </c>
      <c r="G27" s="1194">
        <f>'T7'!$H$27</f>
        <v>0</v>
      </c>
      <c r="H27" s="1195">
        <f>'T7'!$I$27</f>
        <v>0</v>
      </c>
      <c r="I27" s="1194">
        <f>'T7'!$J$27</f>
        <v>0</v>
      </c>
      <c r="J27" s="1657"/>
      <c r="K27" s="1658"/>
    </row>
    <row r="28" spans="1:11" s="1198" customFormat="1" ht="31.5" customHeight="1">
      <c r="A28" s="1196" t="s">
        <v>451</v>
      </c>
      <c r="B28" s="1197" t="s">
        <v>448</v>
      </c>
      <c r="C28" s="1189" t="s">
        <v>379</v>
      </c>
      <c r="D28" s="1192">
        <f>'T7'!$E$28</f>
        <v>0</v>
      </c>
      <c r="E28" s="1193">
        <f>'T7'!$F$28</f>
        <v>0</v>
      </c>
      <c r="F28" s="1194">
        <f>'T7'!$G$28</f>
        <v>0</v>
      </c>
      <c r="G28" s="1194">
        <f>'T7'!$H$28</f>
        <v>0</v>
      </c>
      <c r="H28" s="1195">
        <f>'T7'!$I$28</f>
        <v>0</v>
      </c>
      <c r="I28" s="1194">
        <f>'T7'!$J$28</f>
        <v>0</v>
      </c>
      <c r="J28" s="1657"/>
      <c r="K28" s="1658"/>
    </row>
    <row r="29" spans="1:11" ht="16" thickBot="1">
      <c r="A29" s="1199"/>
      <c r="B29" s="1137"/>
      <c r="C29" s="1200"/>
      <c r="D29" s="1201"/>
      <c r="E29" s="1202"/>
      <c r="F29" s="1202"/>
      <c r="G29" s="1202"/>
      <c r="H29" s="1201"/>
      <c r="I29" s="1203"/>
      <c r="J29" s="1201"/>
      <c r="K29" s="1204"/>
    </row>
    <row r="31" spans="1:11" ht="30" customHeight="1" thickBot="1">
      <c r="A31" s="503"/>
      <c r="B31" s="1978" t="s">
        <v>550</v>
      </c>
      <c r="C31" s="1978"/>
      <c r="D31" s="1978"/>
      <c r="E31" s="1978"/>
      <c r="F31" s="1978"/>
      <c r="G31" s="1978"/>
      <c r="H31" s="1978"/>
      <c r="I31" s="1978"/>
      <c r="J31" s="1978"/>
      <c r="K31" s="1978"/>
    </row>
    <row r="32" spans="1:11">
      <c r="A32" s="1591"/>
      <c r="B32" s="1979"/>
      <c r="C32" s="1979"/>
      <c r="D32" s="1979"/>
      <c r="E32" s="1979"/>
      <c r="F32" s="1979"/>
      <c r="G32" s="1979"/>
      <c r="H32" s="1979"/>
      <c r="I32" s="1979"/>
      <c r="J32" s="1979"/>
      <c r="K32" s="1979"/>
    </row>
    <row r="33" spans="1:11">
      <c r="A33" s="1592"/>
      <c r="B33" s="1977"/>
      <c r="C33" s="1977"/>
      <c r="D33" s="1977"/>
      <c r="E33" s="1977"/>
      <c r="F33" s="1977"/>
      <c r="G33" s="1977"/>
      <c r="H33" s="1977"/>
      <c r="I33" s="1977"/>
      <c r="J33" s="1977"/>
      <c r="K33" s="1977"/>
    </row>
    <row r="34" spans="1:11">
      <c r="A34" s="1591"/>
      <c r="B34" s="1977"/>
      <c r="C34" s="1977"/>
      <c r="D34" s="1977"/>
      <c r="E34" s="1977"/>
      <c r="F34" s="1977"/>
      <c r="G34" s="1977"/>
      <c r="H34" s="1977"/>
      <c r="I34" s="1977"/>
      <c r="J34" s="1977"/>
      <c r="K34" s="1977"/>
    </row>
    <row r="35" spans="1:11">
      <c r="A35" s="1591"/>
      <c r="B35" s="1977"/>
      <c r="C35" s="1977"/>
      <c r="D35" s="1977"/>
      <c r="E35" s="1977"/>
      <c r="F35" s="1977"/>
      <c r="G35" s="1977"/>
      <c r="H35" s="1977"/>
      <c r="I35" s="1977"/>
      <c r="J35" s="1977"/>
      <c r="K35" s="1977"/>
    </row>
    <row r="36" spans="1:11">
      <c r="A36" s="1591"/>
      <c r="B36" s="1977"/>
      <c r="C36" s="1977"/>
      <c r="D36" s="1977"/>
      <c r="E36" s="1977"/>
      <c r="F36" s="1977"/>
      <c r="G36" s="1977"/>
      <c r="H36" s="1977"/>
      <c r="I36" s="1977"/>
      <c r="J36" s="1977"/>
      <c r="K36" s="1977"/>
    </row>
    <row r="37" spans="1:11">
      <c r="A37" s="1591"/>
      <c r="B37" s="1977"/>
      <c r="C37" s="1977"/>
      <c r="D37" s="1977"/>
      <c r="E37" s="1977"/>
      <c r="F37" s="1977"/>
      <c r="G37" s="1977"/>
      <c r="H37" s="1977"/>
      <c r="I37" s="1977"/>
      <c r="J37" s="1977"/>
      <c r="K37" s="1977"/>
    </row>
    <row r="38" spans="1:11">
      <c r="A38" s="1591"/>
      <c r="B38" s="1977"/>
      <c r="C38" s="1977"/>
      <c r="D38" s="1977"/>
      <c r="E38" s="1977"/>
      <c r="F38" s="1977"/>
      <c r="G38" s="1977"/>
      <c r="H38" s="1977"/>
      <c r="I38" s="1977"/>
      <c r="J38" s="1977"/>
      <c r="K38" s="1977"/>
    </row>
    <row r="39" spans="1:11">
      <c r="A39" s="1591"/>
      <c r="B39" s="1977"/>
      <c r="C39" s="1977"/>
      <c r="D39" s="1977"/>
      <c r="E39" s="1977"/>
      <c r="F39" s="1977"/>
      <c r="G39" s="1977"/>
      <c r="H39" s="1977"/>
      <c r="I39" s="1977"/>
      <c r="J39" s="1977"/>
      <c r="K39" s="1977"/>
    </row>
    <row r="40" spans="1:11">
      <c r="A40" s="1591"/>
      <c r="B40" s="1977"/>
      <c r="C40" s="1977"/>
      <c r="D40" s="1977"/>
      <c r="E40" s="1977"/>
      <c r="F40" s="1977"/>
      <c r="G40" s="1977"/>
      <c r="H40" s="1977"/>
      <c r="I40" s="1977"/>
      <c r="J40" s="1977"/>
      <c r="K40" s="1977"/>
    </row>
    <row r="41" spans="1:11">
      <c r="A41" s="1591"/>
      <c r="B41" s="1977"/>
      <c r="C41" s="1977"/>
      <c r="D41" s="1977"/>
      <c r="E41" s="1977"/>
      <c r="F41" s="1977"/>
      <c r="G41" s="1977"/>
      <c r="H41" s="1977"/>
      <c r="I41" s="1977"/>
      <c r="J41" s="1977"/>
      <c r="K41" s="1977"/>
    </row>
    <row r="42" spans="1:11">
      <c r="A42" s="1591"/>
      <c r="B42" s="1977"/>
      <c r="C42" s="1977"/>
      <c r="D42" s="1977"/>
      <c r="E42" s="1977"/>
      <c r="F42" s="1977"/>
      <c r="G42" s="1977"/>
      <c r="H42" s="1977"/>
      <c r="I42" s="1977"/>
      <c r="J42" s="1977"/>
      <c r="K42" s="1977"/>
    </row>
    <row r="43" spans="1:11">
      <c r="A43" s="1591"/>
      <c r="B43" s="1977"/>
      <c r="C43" s="1977"/>
      <c r="D43" s="1977"/>
      <c r="E43" s="1977"/>
      <c r="F43" s="1977"/>
      <c r="G43" s="1977"/>
      <c r="H43" s="1977"/>
      <c r="I43" s="1977"/>
      <c r="J43" s="1977"/>
      <c r="K43" s="1977"/>
    </row>
    <row r="44" spans="1:11">
      <c r="A44" s="1591"/>
      <c r="B44" s="1977"/>
      <c r="C44" s="1977"/>
      <c r="D44" s="1977"/>
      <c r="E44" s="1977"/>
      <c r="F44" s="1977"/>
      <c r="G44" s="1977"/>
      <c r="H44" s="1977"/>
      <c r="I44" s="1977"/>
      <c r="J44" s="1977"/>
      <c r="K44" s="1977"/>
    </row>
    <row r="45" spans="1:11">
      <c r="A45" s="1591"/>
      <c r="B45" s="1977"/>
      <c r="C45" s="1977"/>
      <c r="D45" s="1977"/>
      <c r="E45" s="1977"/>
      <c r="F45" s="1977"/>
      <c r="G45" s="1977"/>
      <c r="H45" s="1977"/>
      <c r="I45" s="1977"/>
      <c r="J45" s="1977"/>
      <c r="K45" s="1977"/>
    </row>
    <row r="46" spans="1:11">
      <c r="A46" s="1591"/>
      <c r="B46" s="1977"/>
      <c r="C46" s="1977"/>
      <c r="D46" s="1977"/>
      <c r="E46" s="1977"/>
      <c r="F46" s="1977"/>
      <c r="G46" s="1977"/>
      <c r="H46" s="1977"/>
      <c r="I46" s="1977"/>
      <c r="J46" s="1977"/>
      <c r="K46" s="1977"/>
    </row>
    <row r="47" spans="1:11">
      <c r="A47" s="1591"/>
      <c r="B47" s="1977"/>
      <c r="C47" s="1977"/>
      <c r="D47" s="1977"/>
      <c r="E47" s="1977"/>
      <c r="F47" s="1977"/>
      <c r="G47" s="1977"/>
      <c r="H47" s="1977"/>
      <c r="I47" s="1977"/>
      <c r="J47" s="1977"/>
      <c r="K47" s="1977"/>
    </row>
    <row r="48" spans="1:11">
      <c r="A48" s="1591"/>
      <c r="B48" s="1977"/>
      <c r="C48" s="1977"/>
      <c r="D48" s="1977"/>
      <c r="E48" s="1977"/>
      <c r="F48" s="1977"/>
      <c r="G48" s="1977"/>
      <c r="H48" s="1977"/>
      <c r="I48" s="1977"/>
      <c r="J48" s="1977"/>
      <c r="K48" s="1977"/>
    </row>
    <row r="49" spans="1:11">
      <c r="A49" s="1591"/>
      <c r="B49" s="1977"/>
      <c r="C49" s="1977"/>
      <c r="D49" s="1977"/>
      <c r="E49" s="1977"/>
      <c r="F49" s="1977"/>
      <c r="G49" s="1977"/>
      <c r="H49" s="1977"/>
      <c r="I49" s="1977"/>
      <c r="J49" s="1977"/>
      <c r="K49" s="1977"/>
    </row>
    <row r="50" spans="1:11">
      <c r="A50" s="1591"/>
      <c r="B50" s="1977"/>
      <c r="C50" s="1977"/>
      <c r="D50" s="1977"/>
      <c r="E50" s="1977"/>
      <c r="F50" s="1977"/>
      <c r="G50" s="1977"/>
      <c r="H50" s="1977"/>
      <c r="I50" s="1977"/>
      <c r="J50" s="1977"/>
      <c r="K50" s="1977"/>
    </row>
    <row r="51" spans="1:11">
      <c r="A51" s="1591"/>
      <c r="B51" s="1977"/>
      <c r="C51" s="1977"/>
      <c r="D51" s="1977"/>
      <c r="E51" s="1977"/>
      <c r="F51" s="1977"/>
      <c r="G51" s="1977"/>
      <c r="H51" s="1977"/>
      <c r="I51" s="1977"/>
      <c r="J51" s="1977"/>
      <c r="K51" s="1977"/>
    </row>
  </sheetData>
  <sheetProtection algorithmName="SHA-512" hashValue="HFRworM+IuDb+whKfOo5JMp/GQxXAfpoT2KbdHt8Se6u4TTbUOJRoc5m7rQRuw6KpFFRKtdVhbKgvcPwVtq50w==" saltValue="vRi2V/WCNUAoutKOFgOTRQ==" spinCount="100000" sheet="1" objects="1" scenarios="1"/>
  <mergeCells count="38">
    <mergeCell ref="D22:G22"/>
    <mergeCell ref="H22:I22"/>
    <mergeCell ref="J22:K22"/>
    <mergeCell ref="D20:G20"/>
    <mergeCell ref="H20:I20"/>
    <mergeCell ref="J20:K20"/>
    <mergeCell ref="D21:G21"/>
    <mergeCell ref="H21:I21"/>
    <mergeCell ref="J21:K21"/>
    <mergeCell ref="A1:K1"/>
    <mergeCell ref="A4:C8"/>
    <mergeCell ref="D4:G5"/>
    <mergeCell ref="H4:I5"/>
    <mergeCell ref="J4:K5"/>
    <mergeCell ref="D7:G7"/>
    <mergeCell ref="H7:I7"/>
    <mergeCell ref="J7:K8"/>
    <mergeCell ref="B31:K31"/>
    <mergeCell ref="B32:K32"/>
    <mergeCell ref="B33:K33"/>
    <mergeCell ref="B34:K34"/>
    <mergeCell ref="B35:K35"/>
    <mergeCell ref="B36:K36"/>
    <mergeCell ref="B37:K37"/>
    <mergeCell ref="B38:K38"/>
    <mergeCell ref="B39:K39"/>
    <mergeCell ref="B40:K40"/>
    <mergeCell ref="B41:K41"/>
    <mergeCell ref="B42:K42"/>
    <mergeCell ref="B43:K43"/>
    <mergeCell ref="B44:K44"/>
    <mergeCell ref="B45:K45"/>
    <mergeCell ref="B51:K51"/>
    <mergeCell ref="B46:K46"/>
    <mergeCell ref="B47:K47"/>
    <mergeCell ref="B48:K48"/>
    <mergeCell ref="B49:K49"/>
    <mergeCell ref="B50:K50"/>
  </mergeCells>
  <pageMargins left="0.19685039370078741" right="0.19685039370078741" top="0.39370078740157483" bottom="0.39370078740157483" header="0.51181102362204722" footer="0.19685039370078741"/>
  <pageSetup paperSize="9" scale="52"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47ED1-A0C8-4234-8149-161477E050EB}">
  <sheetPr>
    <pageSetUpPr fitToPage="1"/>
  </sheetPr>
  <dimension ref="A1:O56"/>
  <sheetViews>
    <sheetView zoomScaleNormal="100" workbookViewId="0">
      <selection sqref="A1:O1"/>
    </sheetView>
  </sheetViews>
  <sheetFormatPr defaultColWidth="9.1796875" defaultRowHeight="12.5"/>
  <cols>
    <col min="1" max="1" width="5.7265625" style="1135" customWidth="1"/>
    <col min="2" max="2" width="75.1796875" style="1135" customWidth="1"/>
    <col min="3" max="3" width="27" style="1135" bestFit="1" customWidth="1"/>
    <col min="4" max="6" width="15.7265625" style="1135" customWidth="1"/>
    <col min="7" max="15" width="20.7265625" style="1135" customWidth="1"/>
    <col min="16" max="16384" width="9.1796875" style="1135"/>
  </cols>
  <sheetData>
    <row r="1" spans="1:15" ht="20.5" thickBot="1">
      <c r="A1" s="1980" t="str">
        <f>DNB&amp;" - AARDGAS - Tarieflijst periodieke distributienettarieven "&amp;JAAR&amp;" - Afname"</f>
        <v>Naam distributienetbeheerder - AARDGAS - Tarieflijst periodieke distributienettarieven  - Afname</v>
      </c>
      <c r="B1" s="1981"/>
      <c r="C1" s="1981"/>
      <c r="D1" s="2003"/>
      <c r="E1" s="2003"/>
      <c r="F1" s="2003"/>
      <c r="G1" s="2003"/>
      <c r="H1" s="1981"/>
      <c r="I1" s="1981"/>
      <c r="J1" s="1981"/>
      <c r="K1" s="1981"/>
      <c r="L1" s="1981"/>
      <c r="M1" s="1981"/>
      <c r="N1" s="1981"/>
      <c r="O1" s="1982"/>
    </row>
    <row r="2" spans="1:15">
      <c r="N2" s="1136"/>
      <c r="O2" s="1136"/>
    </row>
    <row r="3" spans="1:15" ht="15" customHeight="1" thickBot="1">
      <c r="N3" s="1137"/>
      <c r="O3" s="1137"/>
    </row>
    <row r="4" spans="1:15" ht="15" customHeight="1">
      <c r="A4" s="1983"/>
      <c r="B4" s="1984"/>
      <c r="C4" s="1985"/>
      <c r="D4" s="2004" t="s">
        <v>603</v>
      </c>
      <c r="E4" s="2007" t="s">
        <v>604</v>
      </c>
      <c r="F4" s="2007" t="s">
        <v>605</v>
      </c>
      <c r="G4" s="2010" t="s">
        <v>606</v>
      </c>
      <c r="H4" s="1989" t="s">
        <v>472</v>
      </c>
      <c r="I4" s="1990"/>
      <c r="J4" s="1990"/>
      <c r="K4" s="1990"/>
      <c r="L4" s="1989" t="s">
        <v>471</v>
      </c>
      <c r="M4" s="1990"/>
      <c r="N4" s="1989" t="s">
        <v>470</v>
      </c>
      <c r="O4" s="1995"/>
    </row>
    <row r="5" spans="1:15" ht="21" customHeight="1" thickBot="1">
      <c r="A5" s="1986"/>
      <c r="B5" s="1987"/>
      <c r="C5" s="1988"/>
      <c r="D5" s="2005"/>
      <c r="E5" s="2008"/>
      <c r="F5" s="2008"/>
      <c r="G5" s="2011"/>
      <c r="H5" s="1991"/>
      <c r="I5" s="1992"/>
      <c r="J5" s="1992"/>
      <c r="K5" s="1992"/>
      <c r="L5" s="1993"/>
      <c r="M5" s="1994"/>
      <c r="N5" s="1993"/>
      <c r="O5" s="1996"/>
    </row>
    <row r="6" spans="1:15" ht="21" customHeight="1" thickBot="1">
      <c r="A6" s="1986"/>
      <c r="B6" s="1987"/>
      <c r="C6" s="1988"/>
      <c r="D6" s="2005"/>
      <c r="E6" s="2008"/>
      <c r="F6" s="2008"/>
      <c r="G6" s="2011"/>
      <c r="H6" s="1138" t="s">
        <v>372</v>
      </c>
      <c r="I6" s="1139" t="s">
        <v>371</v>
      </c>
      <c r="J6" s="1140" t="s">
        <v>370</v>
      </c>
      <c r="K6" s="1141" t="s">
        <v>369</v>
      </c>
      <c r="L6" s="1138" t="s">
        <v>368</v>
      </c>
      <c r="M6" s="1142" t="s">
        <v>356</v>
      </c>
      <c r="N6" s="1143" t="s">
        <v>469</v>
      </c>
      <c r="O6" s="1144" t="s">
        <v>366</v>
      </c>
    </row>
    <row r="7" spans="1:15" ht="21" customHeight="1" thickBot="1">
      <c r="A7" s="1986"/>
      <c r="B7" s="1987"/>
      <c r="C7" s="1988"/>
      <c r="D7" s="2005"/>
      <c r="E7" s="2008"/>
      <c r="F7" s="2008"/>
      <c r="G7" s="2011"/>
      <c r="H7" s="1993" t="s">
        <v>468</v>
      </c>
      <c r="I7" s="1994"/>
      <c r="J7" s="1994"/>
      <c r="K7" s="1994"/>
      <c r="L7" s="1993" t="s">
        <v>468</v>
      </c>
      <c r="M7" s="1994"/>
      <c r="N7" s="1993" t="s">
        <v>467</v>
      </c>
      <c r="O7" s="1996"/>
    </row>
    <row r="8" spans="1:15" ht="18" customHeight="1">
      <c r="A8" s="1986"/>
      <c r="B8" s="1987"/>
      <c r="C8" s="1988"/>
      <c r="D8" s="2005"/>
      <c r="E8" s="2008"/>
      <c r="F8" s="2008"/>
      <c r="G8" s="2011"/>
      <c r="H8" s="1226" t="s">
        <v>466</v>
      </c>
      <c r="I8" s="1146" t="s">
        <v>465</v>
      </c>
      <c r="J8" s="1147" t="s">
        <v>464</v>
      </c>
      <c r="K8" s="1227" t="s">
        <v>463</v>
      </c>
      <c r="L8" s="1226" t="s">
        <v>462</v>
      </c>
      <c r="M8" s="1149" t="s">
        <v>461</v>
      </c>
      <c r="N8" s="1993"/>
      <c r="O8" s="1996"/>
    </row>
    <row r="9" spans="1:15" ht="18" customHeight="1" thickBot="1">
      <c r="A9" s="1229"/>
      <c r="B9" s="1230"/>
      <c r="C9" s="1231"/>
      <c r="D9" s="2006"/>
      <c r="E9" s="2009"/>
      <c r="F9" s="2009"/>
      <c r="G9" s="2012"/>
      <c r="H9" s="1228"/>
      <c r="I9" s="1154"/>
      <c r="J9" s="1155"/>
      <c r="K9" s="1156"/>
      <c r="L9" s="1228"/>
      <c r="M9" s="1157"/>
      <c r="N9" s="1228"/>
      <c r="O9" s="1158"/>
    </row>
    <row r="10" spans="1:15" s="1619" customFormat="1" ht="18" customHeight="1" thickBot="1">
      <c r="A10" s="1613"/>
      <c r="B10" s="1620" t="s">
        <v>610</v>
      </c>
      <c r="C10" s="1621"/>
      <c r="D10" s="1617"/>
      <c r="E10" s="1617"/>
      <c r="F10" s="1617"/>
      <c r="G10" s="1617"/>
      <c r="H10" s="1614" t="s">
        <v>686</v>
      </c>
      <c r="I10" s="1615" t="s">
        <v>687</v>
      </c>
      <c r="J10" s="1615" t="s">
        <v>688</v>
      </c>
      <c r="K10" s="1616" t="s">
        <v>689</v>
      </c>
      <c r="L10" s="1614" t="s">
        <v>690</v>
      </c>
      <c r="M10" s="1616" t="s">
        <v>691</v>
      </c>
      <c r="N10" s="1610"/>
      <c r="O10" s="1611"/>
    </row>
    <row r="11" spans="1:15" ht="18.75" customHeight="1">
      <c r="A11" s="1159" t="s">
        <v>460</v>
      </c>
      <c r="B11" s="1160"/>
      <c r="C11" s="1161"/>
      <c r="D11" s="1595"/>
      <c r="E11" s="1596"/>
      <c r="F11" s="1596"/>
      <c r="G11" s="1597"/>
      <c r="H11" s="1162"/>
      <c r="I11" s="1163"/>
      <c r="J11" s="1163"/>
      <c r="K11" s="1163"/>
      <c r="L11" s="1162"/>
      <c r="M11" s="1160"/>
      <c r="N11" s="1162"/>
      <c r="O11" s="1161"/>
    </row>
    <row r="12" spans="1:15" ht="18.75" customHeight="1">
      <c r="A12" s="1159"/>
      <c r="B12" s="1160"/>
      <c r="C12" s="1161"/>
      <c r="D12" s="1598"/>
      <c r="E12" s="1599"/>
      <c r="F12" s="1599"/>
      <c r="G12" s="1600"/>
      <c r="H12" s="1162"/>
      <c r="I12" s="1163"/>
      <c r="J12" s="1163"/>
      <c r="K12" s="1163"/>
      <c r="L12" s="1162"/>
      <c r="M12" s="1160"/>
      <c r="N12" s="1162"/>
      <c r="O12" s="1161"/>
    </row>
    <row r="13" spans="1:15" ht="18.75" customHeight="1">
      <c r="A13" s="1165" t="s">
        <v>452</v>
      </c>
      <c r="B13" s="1166" t="s">
        <v>459</v>
      </c>
      <c r="C13" s="1167"/>
      <c r="D13" s="1601"/>
      <c r="E13" s="1602"/>
      <c r="F13" s="1602"/>
      <c r="G13" s="1603"/>
      <c r="H13" s="1162"/>
      <c r="I13" s="1163"/>
      <c r="J13" s="1163"/>
      <c r="K13" s="1163"/>
      <c r="L13" s="1162"/>
      <c r="M13" s="1160"/>
      <c r="N13" s="1162"/>
      <c r="O13" s="1161"/>
    </row>
    <row r="14" spans="1:15" ht="18.75" customHeight="1">
      <c r="A14" s="1168"/>
      <c r="B14" s="1169" t="s">
        <v>458</v>
      </c>
      <c r="C14" s="1170" t="s">
        <v>412</v>
      </c>
      <c r="D14" s="1604" t="s">
        <v>673</v>
      </c>
      <c r="E14" s="1605" t="s">
        <v>557</v>
      </c>
      <c r="F14" s="1605" t="s">
        <v>674</v>
      </c>
      <c r="G14" s="1606" t="s">
        <v>675</v>
      </c>
      <c r="H14" s="1171">
        <f>'T7'!$E$13</f>
        <v>0</v>
      </c>
      <c r="I14" s="1172">
        <f>'T7'!$F$13</f>
        <v>0</v>
      </c>
      <c r="J14" s="1172">
        <f>'T7'!$G$13</f>
        <v>0</v>
      </c>
      <c r="K14" s="1172">
        <f>'T7'!$H$13</f>
        <v>0</v>
      </c>
      <c r="L14" s="1646"/>
      <c r="M14" s="1647"/>
      <c r="N14" s="1646"/>
      <c r="O14" s="1648"/>
    </row>
    <row r="15" spans="1:15" ht="18.75" customHeight="1">
      <c r="A15" s="1168"/>
      <c r="B15" s="1169" t="s">
        <v>457</v>
      </c>
      <c r="C15" s="1170" t="s">
        <v>379</v>
      </c>
      <c r="D15" s="1604" t="s">
        <v>673</v>
      </c>
      <c r="E15" s="1605" t="s">
        <v>557</v>
      </c>
      <c r="F15" s="1605" t="s">
        <v>674</v>
      </c>
      <c r="G15" s="1606" t="s">
        <v>676</v>
      </c>
      <c r="H15" s="1173">
        <f>'T7'!$E$14</f>
        <v>0</v>
      </c>
      <c r="I15" s="1174">
        <f>'T7'!$F$14</f>
        <v>0</v>
      </c>
      <c r="J15" s="1174">
        <f>'T7'!$G$14</f>
        <v>0</v>
      </c>
      <c r="K15" s="1174">
        <f>'T7'!$H$14</f>
        <v>0</v>
      </c>
      <c r="L15" s="1173">
        <f>'T7'!$I$14</f>
        <v>0</v>
      </c>
      <c r="M15" s="1175">
        <f>'T7'!$J$14</f>
        <v>0</v>
      </c>
      <c r="N15" s="1173">
        <f>'T7'!$K$14</f>
        <v>0</v>
      </c>
      <c r="O15" s="1176">
        <f>'T7'!$L$14</f>
        <v>0</v>
      </c>
    </row>
    <row r="16" spans="1:15" ht="18.75" customHeight="1">
      <c r="A16" s="1168"/>
      <c r="B16" s="1169" t="s">
        <v>456</v>
      </c>
      <c r="C16" s="1170" t="s">
        <v>455</v>
      </c>
      <c r="D16" s="1604" t="s">
        <v>673</v>
      </c>
      <c r="E16" s="1605" t="s">
        <v>557</v>
      </c>
      <c r="F16" s="1605" t="s">
        <v>674</v>
      </c>
      <c r="G16" s="1606" t="s">
        <v>677</v>
      </c>
      <c r="H16" s="1649"/>
      <c r="I16" s="1650"/>
      <c r="J16" s="1650"/>
      <c r="K16" s="1650"/>
      <c r="L16" s="1173">
        <f>'T7'!$I$15</f>
        <v>0</v>
      </c>
      <c r="M16" s="1175">
        <f>'T7'!$J$15</f>
        <v>0</v>
      </c>
      <c r="N16" s="1649"/>
      <c r="O16" s="1656"/>
    </row>
    <row r="17" spans="1:15" s="1181" customFormat="1" ht="18" customHeight="1">
      <c r="A17" s="1168"/>
      <c r="B17" s="1160"/>
      <c r="C17" s="1161"/>
      <c r="D17" s="1598"/>
      <c r="E17" s="1599"/>
      <c r="F17" s="1599"/>
      <c r="G17" s="1600"/>
      <c r="H17" s="1177"/>
      <c r="I17" s="1178"/>
      <c r="J17" s="1178"/>
      <c r="K17" s="1178"/>
      <c r="L17" s="1177"/>
      <c r="M17" s="1179"/>
      <c r="N17" s="1177"/>
      <c r="O17" s="1180"/>
    </row>
    <row r="18" spans="1:15" ht="18" customHeight="1">
      <c r="A18" s="1165" t="s">
        <v>451</v>
      </c>
      <c r="B18" s="1166" t="s">
        <v>454</v>
      </c>
      <c r="C18" s="1170" t="s">
        <v>379</v>
      </c>
      <c r="D18" s="1604"/>
      <c r="E18" s="1605"/>
      <c r="F18" s="1605"/>
      <c r="G18" s="1606"/>
      <c r="H18" s="1651"/>
      <c r="I18" s="1652"/>
      <c r="J18" s="1653"/>
      <c r="K18" s="1653"/>
      <c r="L18" s="1654"/>
      <c r="M18" s="1653"/>
      <c r="N18" s="1654"/>
      <c r="O18" s="1655"/>
    </row>
    <row r="19" spans="1:15" ht="18" customHeight="1">
      <c r="A19" s="1168"/>
      <c r="B19" s="1160"/>
      <c r="C19" s="1182"/>
      <c r="D19" s="1598"/>
      <c r="E19" s="1599"/>
      <c r="F19" s="1599"/>
      <c r="G19" s="1600"/>
      <c r="H19" s="1594"/>
      <c r="I19" s="1178"/>
      <c r="J19" s="1178"/>
      <c r="K19" s="1178"/>
      <c r="L19" s="1177"/>
      <c r="M19" s="1179"/>
      <c r="N19" s="1177"/>
      <c r="O19" s="1180"/>
    </row>
    <row r="20" spans="1:15" ht="17.25" customHeight="1">
      <c r="A20" s="1165" t="s">
        <v>450</v>
      </c>
      <c r="B20" s="1183" t="s">
        <v>345</v>
      </c>
      <c r="C20" s="1182"/>
      <c r="D20" s="1598"/>
      <c r="E20" s="1599"/>
      <c r="F20" s="1599"/>
      <c r="G20" s="1600"/>
      <c r="H20" s="1177"/>
      <c r="I20" s="1178"/>
      <c r="J20" s="1178"/>
      <c r="K20" s="1178"/>
      <c r="L20" s="1177"/>
      <c r="M20" s="1179"/>
      <c r="N20" s="1177"/>
      <c r="O20" s="1180"/>
    </row>
    <row r="21" spans="1:15" ht="18" customHeight="1">
      <c r="A21" s="1168"/>
      <c r="B21" s="1169" t="s">
        <v>7</v>
      </c>
      <c r="C21" s="1170" t="s">
        <v>412</v>
      </c>
      <c r="D21" s="1604" t="s">
        <v>673</v>
      </c>
      <c r="E21" s="1605" t="s">
        <v>557</v>
      </c>
      <c r="F21" s="1605" t="s">
        <v>678</v>
      </c>
      <c r="G21" s="1606" t="s">
        <v>679</v>
      </c>
      <c r="H21" s="2000"/>
      <c r="I21" s="2001"/>
      <c r="J21" s="2001"/>
      <c r="K21" s="2002"/>
      <c r="L21" s="1997">
        <f>'T7'!$I$19</f>
        <v>0</v>
      </c>
      <c r="M21" s="1999"/>
      <c r="N21" s="2000"/>
      <c r="O21" s="2002"/>
    </row>
    <row r="22" spans="1:15" ht="18" customHeight="1">
      <c r="A22" s="1168"/>
      <c r="B22" s="1169" t="s">
        <v>8</v>
      </c>
      <c r="C22" s="1170" t="s">
        <v>412</v>
      </c>
      <c r="D22" s="1604" t="s">
        <v>673</v>
      </c>
      <c r="E22" s="1605" t="s">
        <v>557</v>
      </c>
      <c r="F22" s="1605" t="s">
        <v>678</v>
      </c>
      <c r="G22" s="1606" t="s">
        <v>679</v>
      </c>
      <c r="H22" s="1997">
        <f>'T7'!$E$20</f>
        <v>0</v>
      </c>
      <c r="I22" s="1998"/>
      <c r="J22" s="1998"/>
      <c r="K22" s="1999"/>
      <c r="L22" s="2000"/>
      <c r="M22" s="2001"/>
      <c r="N22" s="2000"/>
      <c r="O22" s="2002"/>
    </row>
    <row r="23" spans="1:15" ht="21" customHeight="1">
      <c r="A23" s="1168"/>
      <c r="B23" s="1169" t="s">
        <v>453</v>
      </c>
      <c r="C23" s="1170" t="s">
        <v>412</v>
      </c>
      <c r="D23" s="1604" t="s">
        <v>673</v>
      </c>
      <c r="E23" s="1605" t="s">
        <v>557</v>
      </c>
      <c r="F23" s="1605" t="s">
        <v>678</v>
      </c>
      <c r="G23" s="1606" t="s">
        <v>679</v>
      </c>
      <c r="H23" s="1997">
        <f>'T7'!$E$21</f>
        <v>0</v>
      </c>
      <c r="I23" s="1998"/>
      <c r="J23" s="1998"/>
      <c r="K23" s="1999"/>
      <c r="L23" s="2000"/>
      <c r="M23" s="2001"/>
      <c r="N23" s="2000"/>
      <c r="O23" s="2002"/>
    </row>
    <row r="24" spans="1:15" ht="18" customHeight="1">
      <c r="A24" s="1168"/>
      <c r="B24" s="1160"/>
      <c r="C24" s="1182"/>
      <c r="D24" s="1598"/>
      <c r="E24" s="1599"/>
      <c r="F24" s="1599"/>
      <c r="G24" s="1600"/>
      <c r="H24" s="1177"/>
      <c r="I24" s="1178"/>
      <c r="J24" s="1178"/>
      <c r="K24" s="1184"/>
      <c r="L24" s="1177"/>
      <c r="M24" s="1179"/>
      <c r="N24" s="1177"/>
      <c r="O24" s="1180"/>
    </row>
    <row r="25" spans="1:15" ht="18" customHeight="1">
      <c r="A25" s="1159" t="s">
        <v>672</v>
      </c>
      <c r="B25" s="1160"/>
      <c r="C25" s="1170" t="s">
        <v>379</v>
      </c>
      <c r="D25" s="1604" t="s">
        <v>673</v>
      </c>
      <c r="E25" s="1605" t="s">
        <v>557</v>
      </c>
      <c r="F25" s="1605" t="s">
        <v>680</v>
      </c>
      <c r="G25" s="1606" t="s">
        <v>681</v>
      </c>
      <c r="H25" s="1185">
        <f>'T7'!$E$23</f>
        <v>0</v>
      </c>
      <c r="I25" s="1186">
        <f>'T7'!$F$23</f>
        <v>0</v>
      </c>
      <c r="J25" s="1187">
        <f>'T7'!$G$23</f>
        <v>0</v>
      </c>
      <c r="K25" s="1653"/>
      <c r="L25" s="1654"/>
      <c r="M25" s="1653"/>
      <c r="N25" s="1654"/>
      <c r="O25" s="1655"/>
    </row>
    <row r="26" spans="1:15" ht="18" customHeight="1">
      <c r="A26" s="1168"/>
      <c r="B26" s="1160"/>
      <c r="C26" s="1182"/>
      <c r="D26" s="1598"/>
      <c r="E26" s="1599"/>
      <c r="F26" s="1599"/>
      <c r="G26" s="1600"/>
      <c r="H26" s="1177"/>
      <c r="I26" s="1178"/>
      <c r="J26" s="1178"/>
      <c r="K26" s="1178"/>
      <c r="L26" s="1177"/>
      <c r="M26" s="1179"/>
      <c r="N26" s="1177"/>
      <c r="O26" s="1180"/>
    </row>
    <row r="27" spans="1:15" ht="22.5" customHeight="1">
      <c r="A27" s="1188" t="s">
        <v>704</v>
      </c>
      <c r="B27" s="1160"/>
      <c r="C27" s="1170"/>
      <c r="D27" s="1604"/>
      <c r="E27" s="1605"/>
      <c r="F27" s="1605"/>
      <c r="G27" s="1606"/>
      <c r="H27" s="1177"/>
      <c r="I27" s="1178"/>
      <c r="J27" s="1178"/>
      <c r="K27" s="1178"/>
      <c r="L27" s="1177"/>
      <c r="M27" s="1179"/>
      <c r="N27" s="1177"/>
      <c r="O27" s="1180"/>
    </row>
    <row r="28" spans="1:15" ht="18" customHeight="1">
      <c r="A28" s="1191" t="s">
        <v>452</v>
      </c>
      <c r="B28" s="1190" t="s">
        <v>449</v>
      </c>
      <c r="C28" s="1189" t="s">
        <v>379</v>
      </c>
      <c r="D28" s="1604" t="s">
        <v>673</v>
      </c>
      <c r="E28" s="1605" t="s">
        <v>557</v>
      </c>
      <c r="F28" s="1605" t="s">
        <v>682</v>
      </c>
      <c r="G28" s="1606" t="s">
        <v>683</v>
      </c>
      <c r="H28" s="1192">
        <f>'T7'!$E$27</f>
        <v>0</v>
      </c>
      <c r="I28" s="1193">
        <f>'T7'!$F$27</f>
        <v>0</v>
      </c>
      <c r="J28" s="1194">
        <f>'T7'!$G$27</f>
        <v>0</v>
      </c>
      <c r="K28" s="1194">
        <f>'T7'!$H$27</f>
        <v>0</v>
      </c>
      <c r="L28" s="1195">
        <f>'T7'!$I$27</f>
        <v>0</v>
      </c>
      <c r="M28" s="1194">
        <f>'T7'!$J$27</f>
        <v>0</v>
      </c>
      <c r="N28" s="1657"/>
      <c r="O28" s="1658"/>
    </row>
    <row r="29" spans="1:15" s="1198" customFormat="1" ht="31.5" customHeight="1">
      <c r="A29" s="1196" t="s">
        <v>451</v>
      </c>
      <c r="B29" s="1197" t="s">
        <v>448</v>
      </c>
      <c r="C29" s="1189" t="s">
        <v>379</v>
      </c>
      <c r="D29" s="1604" t="s">
        <v>673</v>
      </c>
      <c r="E29" s="1605" t="s">
        <v>557</v>
      </c>
      <c r="F29" s="1605" t="s">
        <v>684</v>
      </c>
      <c r="G29" s="1606" t="s">
        <v>685</v>
      </c>
      <c r="H29" s="1192">
        <f>'T7'!$E$28</f>
        <v>0</v>
      </c>
      <c r="I29" s="1193">
        <f>'T7'!$F$28</f>
        <v>0</v>
      </c>
      <c r="J29" s="1194">
        <f>'T7'!$G$28</f>
        <v>0</v>
      </c>
      <c r="K29" s="1194">
        <f>'T7'!$H$28</f>
        <v>0</v>
      </c>
      <c r="L29" s="1195">
        <f>'T7'!$I$28</f>
        <v>0</v>
      </c>
      <c r="M29" s="1194">
        <f>'T7'!$J$28</f>
        <v>0</v>
      </c>
      <c r="N29" s="1657"/>
      <c r="O29" s="1658"/>
    </row>
    <row r="30" spans="1:15" ht="16" thickBot="1">
      <c r="A30" s="1199"/>
      <c r="B30" s="1137"/>
      <c r="C30" s="1200"/>
      <c r="D30" s="1607"/>
      <c r="E30" s="1608"/>
      <c r="F30" s="1608"/>
      <c r="G30" s="1609"/>
      <c r="H30" s="1201"/>
      <c r="I30" s="1202"/>
      <c r="J30" s="1202"/>
      <c r="K30" s="1202"/>
      <c r="L30" s="1201"/>
      <c r="M30" s="1203"/>
      <c r="N30" s="1201"/>
      <c r="O30" s="1204"/>
    </row>
    <row r="31" spans="1:15" ht="15.5">
      <c r="A31" s="1622"/>
      <c r="B31" s="1623" t="s">
        <v>611</v>
      </c>
      <c r="C31" s="1624"/>
      <c r="D31" s="1595"/>
      <c r="E31" s="1596"/>
      <c r="F31" s="1596"/>
      <c r="G31" s="1597"/>
      <c r="H31" s="1631"/>
      <c r="I31" s="1637"/>
      <c r="J31" s="1637"/>
      <c r="K31" s="1632"/>
      <c r="L31" s="1631"/>
      <c r="M31" s="1632"/>
      <c r="N31" s="1631"/>
      <c r="O31" s="1632"/>
    </row>
    <row r="32" spans="1:15" ht="15.5">
      <c r="A32" s="1625"/>
      <c r="B32" s="1626" t="s">
        <v>616</v>
      </c>
      <c r="C32" s="1627"/>
      <c r="D32" s="1640"/>
      <c r="E32" s="1641"/>
      <c r="F32" s="1641" t="s">
        <v>694</v>
      </c>
      <c r="G32" s="1642" t="s">
        <v>695</v>
      </c>
      <c r="H32" s="1633"/>
      <c r="I32" s="1638"/>
      <c r="J32" s="1638"/>
      <c r="K32" s="1634"/>
      <c r="L32" s="1633"/>
      <c r="M32" s="1634"/>
      <c r="N32" s="1633"/>
      <c r="O32" s="1634"/>
    </row>
    <row r="33" spans="1:15" ht="15.5">
      <c r="A33" s="1625"/>
      <c r="B33" s="1626" t="s">
        <v>692</v>
      </c>
      <c r="C33" s="1627"/>
      <c r="D33" s="1640"/>
      <c r="E33" s="1641"/>
      <c r="F33" s="1641" t="s">
        <v>696</v>
      </c>
      <c r="G33" s="1642" t="s">
        <v>697</v>
      </c>
      <c r="H33" s="1633"/>
      <c r="I33" s="1638"/>
      <c r="J33" s="1638"/>
      <c r="K33" s="1634"/>
      <c r="L33" s="1633"/>
      <c r="M33" s="1634"/>
      <c r="N33" s="1633"/>
      <c r="O33" s="1634"/>
    </row>
    <row r="34" spans="1:15" ht="16" thickBot="1">
      <c r="A34" s="1628"/>
      <c r="B34" s="1629" t="s">
        <v>693</v>
      </c>
      <c r="C34" s="1630"/>
      <c r="D34" s="1643"/>
      <c r="E34" s="1644"/>
      <c r="F34" s="1644" t="s">
        <v>696</v>
      </c>
      <c r="G34" s="1645" t="s">
        <v>698</v>
      </c>
      <c r="H34" s="1635"/>
      <c r="I34" s="1639"/>
      <c r="J34" s="1639"/>
      <c r="K34" s="1636"/>
      <c r="L34" s="1635"/>
      <c r="M34" s="1636"/>
      <c r="N34" s="1635"/>
      <c r="O34" s="1636"/>
    </row>
    <row r="36" spans="1:15" ht="30" customHeight="1" thickBot="1">
      <c r="A36" s="503"/>
      <c r="B36" s="1978" t="s">
        <v>550</v>
      </c>
      <c r="C36" s="1978"/>
      <c r="D36" s="1978"/>
      <c r="E36" s="1978"/>
      <c r="F36" s="1978"/>
      <c r="G36" s="1978"/>
      <c r="H36" s="1978"/>
      <c r="I36" s="1978"/>
      <c r="J36" s="1978"/>
      <c r="K36" s="1978"/>
      <c r="L36" s="1978"/>
      <c r="M36" s="1978"/>
      <c r="N36" s="1978"/>
      <c r="O36" s="1978"/>
    </row>
    <row r="37" spans="1:15">
      <c r="A37" s="1591"/>
      <c r="B37" s="1979"/>
      <c r="C37" s="1979"/>
      <c r="D37" s="1979"/>
      <c r="E37" s="1979"/>
      <c r="F37" s="1979"/>
      <c r="G37" s="1979"/>
      <c r="H37" s="1979"/>
      <c r="I37" s="1979"/>
      <c r="J37" s="1979"/>
      <c r="K37" s="1979"/>
      <c r="L37" s="1979"/>
      <c r="M37" s="1979"/>
      <c r="N37" s="1979"/>
      <c r="O37" s="1979"/>
    </row>
    <row r="38" spans="1:15">
      <c r="A38" s="1592"/>
      <c r="B38" s="1977"/>
      <c r="C38" s="1977"/>
      <c r="D38" s="1977"/>
      <c r="E38" s="1977"/>
      <c r="F38" s="1977"/>
      <c r="G38" s="1977"/>
      <c r="H38" s="1977"/>
      <c r="I38" s="1977"/>
      <c r="J38" s="1977"/>
      <c r="K38" s="1977"/>
      <c r="L38" s="1977"/>
      <c r="M38" s="1977"/>
      <c r="N38" s="1977"/>
      <c r="O38" s="1977"/>
    </row>
    <row r="39" spans="1:15">
      <c r="A39" s="1591"/>
      <c r="B39" s="1977"/>
      <c r="C39" s="1977"/>
      <c r="D39" s="1977"/>
      <c r="E39" s="1977"/>
      <c r="F39" s="1977"/>
      <c r="G39" s="1977"/>
      <c r="H39" s="1977"/>
      <c r="I39" s="1977"/>
      <c r="J39" s="1977"/>
      <c r="K39" s="1977"/>
      <c r="L39" s="1977"/>
      <c r="M39" s="1977"/>
      <c r="N39" s="1977"/>
      <c r="O39" s="1977"/>
    </row>
    <row r="40" spans="1:15">
      <c r="A40" s="1591"/>
      <c r="B40" s="1977"/>
      <c r="C40" s="1977"/>
      <c r="D40" s="1977"/>
      <c r="E40" s="1977"/>
      <c r="F40" s="1977"/>
      <c r="G40" s="1977"/>
      <c r="H40" s="1977"/>
      <c r="I40" s="1977"/>
      <c r="J40" s="1977"/>
      <c r="K40" s="1977"/>
      <c r="L40" s="1977"/>
      <c r="M40" s="1977"/>
      <c r="N40" s="1977"/>
      <c r="O40" s="1977"/>
    </row>
    <row r="41" spans="1:15">
      <c r="A41" s="1591"/>
      <c r="B41" s="1977"/>
      <c r="C41" s="1977"/>
      <c r="D41" s="1977"/>
      <c r="E41" s="1977"/>
      <c r="F41" s="1977"/>
      <c r="G41" s="1977"/>
      <c r="H41" s="1977"/>
      <c r="I41" s="1977"/>
      <c r="J41" s="1977"/>
      <c r="K41" s="1977"/>
      <c r="L41" s="1977"/>
      <c r="M41" s="1977"/>
      <c r="N41" s="1977"/>
      <c r="O41" s="1977"/>
    </row>
    <row r="42" spans="1:15">
      <c r="A42" s="1591"/>
      <c r="B42" s="1977"/>
      <c r="C42" s="1977"/>
      <c r="D42" s="1977"/>
      <c r="E42" s="1977"/>
      <c r="F42" s="1977"/>
      <c r="G42" s="1977"/>
      <c r="H42" s="1977"/>
      <c r="I42" s="1977"/>
      <c r="J42" s="1977"/>
      <c r="K42" s="1977"/>
      <c r="L42" s="1977"/>
      <c r="M42" s="1977"/>
      <c r="N42" s="1977"/>
      <c r="O42" s="1977"/>
    </row>
    <row r="43" spans="1:15">
      <c r="A43" s="1591"/>
      <c r="B43" s="1977"/>
      <c r="C43" s="1977"/>
      <c r="D43" s="1977"/>
      <c r="E43" s="1977"/>
      <c r="F43" s="1977"/>
      <c r="G43" s="1977"/>
      <c r="H43" s="1977"/>
      <c r="I43" s="1977"/>
      <c r="J43" s="1977"/>
      <c r="K43" s="1977"/>
      <c r="L43" s="1977"/>
      <c r="M43" s="1977"/>
      <c r="N43" s="1977"/>
      <c r="O43" s="1977"/>
    </row>
    <row r="44" spans="1:15">
      <c r="A44" s="1591"/>
      <c r="B44" s="1977"/>
      <c r="C44" s="1977"/>
      <c r="D44" s="1977"/>
      <c r="E44" s="1977"/>
      <c r="F44" s="1977"/>
      <c r="G44" s="1977"/>
      <c r="H44" s="1977"/>
      <c r="I44" s="1977"/>
      <c r="J44" s="1977"/>
      <c r="K44" s="1977"/>
      <c r="L44" s="1977"/>
      <c r="M44" s="1977"/>
      <c r="N44" s="1977"/>
      <c r="O44" s="1977"/>
    </row>
    <row r="45" spans="1:15">
      <c r="A45" s="1591"/>
      <c r="B45" s="1977"/>
      <c r="C45" s="1977"/>
      <c r="D45" s="1977"/>
      <c r="E45" s="1977"/>
      <c r="F45" s="1977"/>
      <c r="G45" s="1977"/>
      <c r="H45" s="1977"/>
      <c r="I45" s="1977"/>
      <c r="J45" s="1977"/>
      <c r="K45" s="1977"/>
      <c r="L45" s="1977"/>
      <c r="M45" s="1977"/>
      <c r="N45" s="1977"/>
      <c r="O45" s="1977"/>
    </row>
    <row r="46" spans="1:15">
      <c r="A46" s="1591"/>
      <c r="B46" s="1977"/>
      <c r="C46" s="1977"/>
      <c r="D46" s="1977"/>
      <c r="E46" s="1977"/>
      <c r="F46" s="1977"/>
      <c r="G46" s="1977"/>
      <c r="H46" s="1977"/>
      <c r="I46" s="1977"/>
      <c r="J46" s="1977"/>
      <c r="K46" s="1977"/>
      <c r="L46" s="1977"/>
      <c r="M46" s="1977"/>
      <c r="N46" s="1977"/>
      <c r="O46" s="1977"/>
    </row>
    <row r="47" spans="1:15">
      <c r="A47" s="1591"/>
      <c r="B47" s="1977"/>
      <c r="C47" s="1977"/>
      <c r="D47" s="1977"/>
      <c r="E47" s="1977"/>
      <c r="F47" s="1977"/>
      <c r="G47" s="1977"/>
      <c r="H47" s="1977"/>
      <c r="I47" s="1977"/>
      <c r="J47" s="1977"/>
      <c r="K47" s="1977"/>
      <c r="L47" s="1977"/>
      <c r="M47" s="1977"/>
      <c r="N47" s="1977"/>
      <c r="O47" s="1977"/>
    </row>
    <row r="48" spans="1:15">
      <c r="A48" s="1591"/>
      <c r="B48" s="1977"/>
      <c r="C48" s="1977"/>
      <c r="D48" s="1977"/>
      <c r="E48" s="1977"/>
      <c r="F48" s="1977"/>
      <c r="G48" s="1977"/>
      <c r="H48" s="1977"/>
      <c r="I48" s="1977"/>
      <c r="J48" s="1977"/>
      <c r="K48" s="1977"/>
      <c r="L48" s="1977"/>
      <c r="M48" s="1977"/>
      <c r="N48" s="1977"/>
      <c r="O48" s="1977"/>
    </row>
    <row r="49" spans="1:15">
      <c r="A49" s="1591"/>
      <c r="B49" s="1977"/>
      <c r="C49" s="1977"/>
      <c r="D49" s="1977"/>
      <c r="E49" s="1977"/>
      <c r="F49" s="1977"/>
      <c r="G49" s="1977"/>
      <c r="H49" s="1977"/>
      <c r="I49" s="1977"/>
      <c r="J49" s="1977"/>
      <c r="K49" s="1977"/>
      <c r="L49" s="1977"/>
      <c r="M49" s="1977"/>
      <c r="N49" s="1977"/>
      <c r="O49" s="1977"/>
    </row>
    <row r="50" spans="1:15">
      <c r="A50" s="1591"/>
      <c r="B50" s="1977"/>
      <c r="C50" s="1977"/>
      <c r="D50" s="1977"/>
      <c r="E50" s="1977"/>
      <c r="F50" s="1977"/>
      <c r="G50" s="1977"/>
      <c r="H50" s="1977"/>
      <c r="I50" s="1977"/>
      <c r="J50" s="1977"/>
      <c r="K50" s="1977"/>
      <c r="L50" s="1977"/>
      <c r="M50" s="1977"/>
      <c r="N50" s="1977"/>
      <c r="O50" s="1977"/>
    </row>
    <row r="51" spans="1:15">
      <c r="A51" s="1591"/>
      <c r="B51" s="1977"/>
      <c r="C51" s="1977"/>
      <c r="D51" s="1977"/>
      <c r="E51" s="1977"/>
      <c r="F51" s="1977"/>
      <c r="G51" s="1977"/>
      <c r="H51" s="1977"/>
      <c r="I51" s="1977"/>
      <c r="J51" s="1977"/>
      <c r="K51" s="1977"/>
      <c r="L51" s="1977"/>
      <c r="M51" s="1977"/>
      <c r="N51" s="1977"/>
      <c r="O51" s="1977"/>
    </row>
    <row r="52" spans="1:15">
      <c r="A52" s="1591"/>
      <c r="B52" s="1977"/>
      <c r="C52" s="1977"/>
      <c r="D52" s="1977"/>
      <c r="E52" s="1977"/>
      <c r="F52" s="1977"/>
      <c r="G52" s="1977"/>
      <c r="H52" s="1977"/>
      <c r="I52" s="1977"/>
      <c r="J52" s="1977"/>
      <c r="K52" s="1977"/>
      <c r="L52" s="1977"/>
      <c r="M52" s="1977"/>
      <c r="N52" s="1977"/>
      <c r="O52" s="1977"/>
    </row>
    <row r="53" spans="1:15">
      <c r="A53" s="1591"/>
      <c r="B53" s="1977"/>
      <c r="C53" s="1977"/>
      <c r="D53" s="1977"/>
      <c r="E53" s="1977"/>
      <c r="F53" s="1977"/>
      <c r="G53" s="1977"/>
      <c r="H53" s="1977"/>
      <c r="I53" s="1977"/>
      <c r="J53" s="1977"/>
      <c r="K53" s="1977"/>
      <c r="L53" s="1977"/>
      <c r="M53" s="1977"/>
      <c r="N53" s="1977"/>
      <c r="O53" s="1977"/>
    </row>
    <row r="54" spans="1:15">
      <c r="A54" s="1591"/>
      <c r="B54" s="1977"/>
      <c r="C54" s="1977"/>
      <c r="D54" s="1977"/>
      <c r="E54" s="1977"/>
      <c r="F54" s="1977"/>
      <c r="G54" s="1977"/>
      <c r="H54" s="1977"/>
      <c r="I54" s="1977"/>
      <c r="J54" s="1977"/>
      <c r="K54" s="1977"/>
      <c r="L54" s="1977"/>
      <c r="M54" s="1977"/>
      <c r="N54" s="1977"/>
      <c r="O54" s="1977"/>
    </row>
    <row r="55" spans="1:15">
      <c r="A55" s="1591"/>
      <c r="B55" s="1977"/>
      <c r="C55" s="1977"/>
      <c r="D55" s="1977"/>
      <c r="E55" s="1977"/>
      <c r="F55" s="1977"/>
      <c r="G55" s="1977"/>
      <c r="H55" s="1977"/>
      <c r="I55" s="1977"/>
      <c r="J55" s="1977"/>
      <c r="K55" s="1977"/>
      <c r="L55" s="1977"/>
      <c r="M55" s="1977"/>
      <c r="N55" s="1977"/>
      <c r="O55" s="1977"/>
    </row>
    <row r="56" spans="1:15">
      <c r="A56" s="1591"/>
      <c r="B56" s="1977"/>
      <c r="C56" s="1977"/>
      <c r="D56" s="1977"/>
      <c r="E56" s="1977"/>
      <c r="F56" s="1977"/>
      <c r="G56" s="1977"/>
      <c r="H56" s="1977"/>
      <c r="I56" s="1977"/>
      <c r="J56" s="1977"/>
      <c r="K56" s="1977"/>
      <c r="L56" s="1977"/>
      <c r="M56" s="1977"/>
      <c r="N56" s="1977"/>
      <c r="O56" s="1977"/>
    </row>
  </sheetData>
  <sheetProtection algorithmName="SHA-512" hashValue="wHJN4rmGS3ETfiD1h4XMZv+VvAMwoU2GmPuLA8kkbxCIonhOE9ebEi8XWY2bz0UWtaPKAlYTPeEj6AXBOd20DA==" saltValue="ItpohO+9niUFt0v46H4pRw==" spinCount="100000" sheet="1" objects="1" scenarios="1"/>
  <mergeCells count="42">
    <mergeCell ref="A1:O1"/>
    <mergeCell ref="A4:C8"/>
    <mergeCell ref="H4:K5"/>
    <mergeCell ref="L4:M5"/>
    <mergeCell ref="N4:O5"/>
    <mergeCell ref="H7:K7"/>
    <mergeCell ref="L7:M7"/>
    <mergeCell ref="N7:O8"/>
    <mergeCell ref="D4:D9"/>
    <mergeCell ref="E4:E9"/>
    <mergeCell ref="F4:F9"/>
    <mergeCell ref="G4:G9"/>
    <mergeCell ref="H21:K21"/>
    <mergeCell ref="L21:M21"/>
    <mergeCell ref="N21:O21"/>
    <mergeCell ref="H22:K22"/>
    <mergeCell ref="L22:M22"/>
    <mergeCell ref="N22:O22"/>
    <mergeCell ref="B54:O54"/>
    <mergeCell ref="B55:O55"/>
    <mergeCell ref="B56:O56"/>
    <mergeCell ref="B45:O45"/>
    <mergeCell ref="B46:O46"/>
    <mergeCell ref="B47:O47"/>
    <mergeCell ref="B48:O48"/>
    <mergeCell ref="B49:O49"/>
    <mergeCell ref="B50:O50"/>
    <mergeCell ref="B51:O51"/>
    <mergeCell ref="B52:O52"/>
    <mergeCell ref="B53:O53"/>
    <mergeCell ref="B44:O44"/>
    <mergeCell ref="H23:K23"/>
    <mergeCell ref="L23:M23"/>
    <mergeCell ref="N23:O23"/>
    <mergeCell ref="B36:O36"/>
    <mergeCell ref="B37:O37"/>
    <mergeCell ref="B39:O39"/>
    <mergeCell ref="B40:O40"/>
    <mergeCell ref="B41:O41"/>
    <mergeCell ref="B42:O42"/>
    <mergeCell ref="B43:O43"/>
    <mergeCell ref="B38:O38"/>
  </mergeCells>
  <pageMargins left="0.19685039370078741" right="0.19685039370078741" top="0.39370078740157483" bottom="0.39370078740157483" header="0.51181102362204722" footer="0.19685039370078741"/>
  <pageSetup paperSize="9" scale="42" orientation="landscape"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EB92A-C31D-4729-9BD5-BF36A1B6ED33}">
  <sheetPr>
    <pageSetUpPr fitToPage="1"/>
  </sheetPr>
  <dimension ref="A1:I34"/>
  <sheetViews>
    <sheetView zoomScaleNormal="100" workbookViewId="0">
      <selection sqref="A1:I1"/>
    </sheetView>
  </sheetViews>
  <sheetFormatPr defaultColWidth="9.1796875" defaultRowHeight="12.5"/>
  <cols>
    <col min="1" max="1" width="5.7265625" style="1135" customWidth="1"/>
    <col min="2" max="2" width="75.1796875" style="1135" customWidth="1"/>
    <col min="3" max="3" width="27" style="1135" bestFit="1" customWidth="1"/>
    <col min="4" max="9" width="20.7265625" style="1135" customWidth="1"/>
    <col min="10" max="16384" width="9.1796875" style="1135"/>
  </cols>
  <sheetData>
    <row r="1" spans="1:9" ht="20.5" thickBot="1">
      <c r="A1" s="1980" t="str">
        <f>DNB&amp;" - AARDGAS - Tarieflijst periodieke distributienettarieven "&amp;JAAR&amp;" - Injectie"</f>
        <v>Naam distributienetbeheerder - AARDGAS - Tarieflijst periodieke distributienettarieven  - Injectie</v>
      </c>
      <c r="B1" s="1981"/>
      <c r="C1" s="1981"/>
      <c r="D1" s="1981"/>
      <c r="E1" s="1981"/>
      <c r="F1" s="1981"/>
      <c r="G1" s="1981"/>
      <c r="H1" s="1981"/>
      <c r="I1" s="1982"/>
    </row>
    <row r="2" spans="1:9">
      <c r="A2" s="1205"/>
    </row>
    <row r="3" spans="1:9" ht="15" customHeight="1" thickBot="1">
      <c r="A3" s="1205"/>
    </row>
    <row r="4" spans="1:9" ht="15" customHeight="1">
      <c r="A4" s="1983"/>
      <c r="B4" s="1984"/>
      <c r="C4" s="1985"/>
      <c r="D4" s="2016" t="s">
        <v>474</v>
      </c>
    </row>
    <row r="5" spans="1:9" ht="21" customHeight="1" thickBot="1">
      <c r="A5" s="2013"/>
      <c r="B5" s="2014"/>
      <c r="C5" s="2015"/>
      <c r="D5" s="2017"/>
    </row>
    <row r="6" spans="1:9" ht="18.75" customHeight="1">
      <c r="A6" s="1159" t="s">
        <v>460</v>
      </c>
      <c r="B6" s="1160"/>
      <c r="C6" s="1161"/>
      <c r="D6" s="1206"/>
    </row>
    <row r="7" spans="1:9" s="1181" customFormat="1" ht="18" customHeight="1">
      <c r="A7" s="1168"/>
      <c r="B7" s="1160"/>
      <c r="C7" s="1161"/>
      <c r="D7" s="1207"/>
      <c r="E7" s="1135"/>
      <c r="F7" s="1135"/>
      <c r="G7" s="1135"/>
      <c r="H7" s="1135"/>
      <c r="I7" s="1135"/>
    </row>
    <row r="8" spans="1:9" ht="19.5" customHeight="1">
      <c r="A8" s="1165" t="s">
        <v>452</v>
      </c>
      <c r="B8" s="1166" t="s">
        <v>454</v>
      </c>
      <c r="C8" s="1170" t="s">
        <v>379</v>
      </c>
      <c r="D8" s="1208">
        <f>'T7'!$M$17</f>
        <v>0</v>
      </c>
    </row>
    <row r="9" spans="1:9" ht="14.25" customHeight="1">
      <c r="A9" s="1168"/>
      <c r="B9" s="1160"/>
      <c r="C9" s="1182"/>
      <c r="D9" s="1180"/>
    </row>
    <row r="10" spans="1:9" ht="18" customHeight="1">
      <c r="A10" s="1165" t="s">
        <v>451</v>
      </c>
      <c r="B10" s="1183" t="s">
        <v>345</v>
      </c>
      <c r="C10" s="1182"/>
      <c r="D10" s="1180"/>
    </row>
    <row r="11" spans="1:9" ht="18" customHeight="1">
      <c r="A11" s="1168"/>
      <c r="B11" s="1169" t="s">
        <v>7</v>
      </c>
      <c r="C11" s="1170" t="s">
        <v>412</v>
      </c>
      <c r="D11" s="1209">
        <f>'T7'!$M$19</f>
        <v>0</v>
      </c>
    </row>
    <row r="12" spans="1:9" ht="16" thickBot="1">
      <c r="A12" s="1199"/>
      <c r="B12" s="1137"/>
      <c r="C12" s="1200"/>
      <c r="D12" s="1210"/>
    </row>
    <row r="14" spans="1:9" ht="30" customHeight="1" thickBot="1">
      <c r="A14" s="503"/>
      <c r="B14" s="1978" t="s">
        <v>550</v>
      </c>
      <c r="C14" s="1978"/>
      <c r="D14" s="1978"/>
      <c r="E14" s="1978"/>
      <c r="F14" s="1978"/>
      <c r="G14" s="1978"/>
      <c r="H14" s="1978"/>
      <c r="I14" s="1978"/>
    </row>
    <row r="15" spans="1:9">
      <c r="A15" s="1591"/>
      <c r="B15" s="1979"/>
      <c r="C15" s="1979"/>
      <c r="D15" s="1979"/>
      <c r="E15" s="1979"/>
      <c r="F15" s="1979"/>
      <c r="G15" s="1979"/>
      <c r="H15" s="1979"/>
      <c r="I15" s="1979"/>
    </row>
    <row r="16" spans="1:9">
      <c r="A16" s="1591"/>
      <c r="B16" s="1977"/>
      <c r="C16" s="1977"/>
      <c r="D16" s="1977"/>
      <c r="E16" s="1977"/>
      <c r="F16" s="1977"/>
      <c r="G16" s="1977"/>
      <c r="H16" s="1977"/>
      <c r="I16" s="1977"/>
    </row>
    <row r="17" spans="1:9">
      <c r="A17" s="1591"/>
      <c r="B17" s="1977"/>
      <c r="C17" s="1977"/>
      <c r="D17" s="1977"/>
      <c r="E17" s="1977"/>
      <c r="F17" s="1977"/>
      <c r="G17" s="1977"/>
      <c r="H17" s="1977"/>
      <c r="I17" s="1977"/>
    </row>
    <row r="18" spans="1:9">
      <c r="A18" s="1591"/>
      <c r="B18" s="1977"/>
      <c r="C18" s="1977"/>
      <c r="D18" s="1977"/>
      <c r="E18" s="1977"/>
      <c r="F18" s="1977"/>
      <c r="G18" s="1977"/>
      <c r="H18" s="1977"/>
      <c r="I18" s="1977"/>
    </row>
    <row r="19" spans="1:9">
      <c r="A19" s="1591"/>
      <c r="B19" s="1977"/>
      <c r="C19" s="1977"/>
      <c r="D19" s="1977"/>
      <c r="E19" s="1977"/>
      <c r="F19" s="1977"/>
      <c r="G19" s="1977"/>
      <c r="H19" s="1977"/>
      <c r="I19" s="1977"/>
    </row>
    <row r="20" spans="1:9">
      <c r="A20" s="1591"/>
      <c r="B20" s="1977"/>
      <c r="C20" s="1977"/>
      <c r="D20" s="1977"/>
      <c r="E20" s="1977"/>
      <c r="F20" s="1977"/>
      <c r="G20" s="1977"/>
      <c r="H20" s="1977"/>
      <c r="I20" s="1977"/>
    </row>
    <row r="21" spans="1:9">
      <c r="A21" s="1591"/>
      <c r="B21" s="1977"/>
      <c r="C21" s="1977"/>
      <c r="D21" s="1977"/>
      <c r="E21" s="1977"/>
      <c r="F21" s="1977"/>
      <c r="G21" s="1977"/>
      <c r="H21" s="1977"/>
      <c r="I21" s="1977"/>
    </row>
    <row r="22" spans="1:9">
      <c r="A22" s="1591"/>
      <c r="B22" s="1977"/>
      <c r="C22" s="1977"/>
      <c r="D22" s="1977"/>
      <c r="E22" s="1977"/>
      <c r="F22" s="1977"/>
      <c r="G22" s="1977"/>
      <c r="H22" s="1977"/>
      <c r="I22" s="1977"/>
    </row>
    <row r="23" spans="1:9">
      <c r="A23" s="1591"/>
      <c r="B23" s="1977"/>
      <c r="C23" s="1977"/>
      <c r="D23" s="1977"/>
      <c r="E23" s="1977"/>
      <c r="F23" s="1977"/>
      <c r="G23" s="1977"/>
      <c r="H23" s="1977"/>
      <c r="I23" s="1977"/>
    </row>
    <row r="24" spans="1:9">
      <c r="A24" s="1591"/>
      <c r="B24" s="1977"/>
      <c r="C24" s="1977"/>
      <c r="D24" s="1977"/>
      <c r="E24" s="1977"/>
      <c r="F24" s="1977"/>
      <c r="G24" s="1977"/>
      <c r="H24" s="1977"/>
      <c r="I24" s="1977"/>
    </row>
    <row r="25" spans="1:9">
      <c r="A25" s="1591"/>
      <c r="B25" s="1977"/>
      <c r="C25" s="1977"/>
      <c r="D25" s="1977"/>
      <c r="E25" s="1977"/>
      <c r="F25" s="1977"/>
      <c r="G25" s="1977"/>
      <c r="H25" s="1977"/>
      <c r="I25" s="1977"/>
    </row>
    <row r="26" spans="1:9">
      <c r="A26" s="1591"/>
      <c r="B26" s="1977"/>
      <c r="C26" s="1977"/>
      <c r="D26" s="1977"/>
      <c r="E26" s="1977"/>
      <c r="F26" s="1977"/>
      <c r="G26" s="1977"/>
      <c r="H26" s="1977"/>
      <c r="I26" s="1977"/>
    </row>
    <row r="27" spans="1:9">
      <c r="A27" s="1591"/>
      <c r="B27" s="1977"/>
      <c r="C27" s="1977"/>
      <c r="D27" s="1977"/>
      <c r="E27" s="1977"/>
      <c r="F27" s="1977"/>
      <c r="G27" s="1977"/>
      <c r="H27" s="1977"/>
      <c r="I27" s="1977"/>
    </row>
    <row r="28" spans="1:9">
      <c r="A28" s="1591"/>
      <c r="B28" s="1977"/>
      <c r="C28" s="1977"/>
      <c r="D28" s="1977"/>
      <c r="E28" s="1977"/>
      <c r="F28" s="1977"/>
      <c r="G28" s="1977"/>
      <c r="H28" s="1977"/>
      <c r="I28" s="1977"/>
    </row>
    <row r="29" spans="1:9">
      <c r="A29" s="1591"/>
      <c r="B29" s="1977"/>
      <c r="C29" s="1977"/>
      <c r="D29" s="1977"/>
      <c r="E29" s="1977"/>
      <c r="F29" s="1977"/>
      <c r="G29" s="1977"/>
      <c r="H29" s="1977"/>
      <c r="I29" s="1977"/>
    </row>
    <row r="30" spans="1:9">
      <c r="A30" s="1591"/>
      <c r="B30" s="1977"/>
      <c r="C30" s="1977"/>
      <c r="D30" s="1977"/>
      <c r="E30" s="1977"/>
      <c r="F30" s="1977"/>
      <c r="G30" s="1977"/>
      <c r="H30" s="1977"/>
      <c r="I30" s="1977"/>
    </row>
    <row r="31" spans="1:9">
      <c r="A31" s="1591"/>
      <c r="B31" s="1977"/>
      <c r="C31" s="1977"/>
      <c r="D31" s="1977"/>
      <c r="E31" s="1977"/>
      <c r="F31" s="1977"/>
      <c r="G31" s="1977"/>
      <c r="H31" s="1977"/>
      <c r="I31" s="1977"/>
    </row>
    <row r="32" spans="1:9">
      <c r="A32" s="1591"/>
      <c r="B32" s="1977"/>
      <c r="C32" s="1977"/>
      <c r="D32" s="1977"/>
      <c r="E32" s="1977"/>
      <c r="F32" s="1977"/>
      <c r="G32" s="1977"/>
      <c r="H32" s="1977"/>
      <c r="I32" s="1977"/>
    </row>
    <row r="33" spans="1:9">
      <c r="A33" s="1591"/>
      <c r="B33" s="1977"/>
      <c r="C33" s="1977"/>
      <c r="D33" s="1977"/>
      <c r="E33" s="1977"/>
      <c r="F33" s="1977"/>
      <c r="G33" s="1977"/>
      <c r="H33" s="1977"/>
      <c r="I33" s="1977"/>
    </row>
    <row r="34" spans="1:9">
      <c r="A34" s="1593"/>
      <c r="B34" s="1977"/>
      <c r="C34" s="1977"/>
      <c r="D34" s="1977"/>
      <c r="E34" s="1977"/>
      <c r="F34" s="1977"/>
      <c r="G34" s="1977"/>
      <c r="H34" s="1977"/>
      <c r="I34" s="1977"/>
    </row>
  </sheetData>
  <sheetProtection algorithmName="SHA-512" hashValue="giGiGrKZOxF+U1JaJHQD+lCg8iiS7emHMvJHtm66Gb+U4lZK4yorkw1Frfgj20+zIe1WWAIN5NNOxQrgSGySww==" saltValue="hptHDZhPOKyn3ISBXOF6tg==" spinCount="100000" sheet="1" objects="1" scenarios="1"/>
  <mergeCells count="24">
    <mergeCell ref="A1:I1"/>
    <mergeCell ref="A4:C5"/>
    <mergeCell ref="D4:D5"/>
    <mergeCell ref="B14:I14"/>
    <mergeCell ref="B15:I15"/>
    <mergeCell ref="B16:I16"/>
    <mergeCell ref="B17:I17"/>
    <mergeCell ref="B18:I18"/>
    <mergeCell ref="B19:I19"/>
    <mergeCell ref="B20:I20"/>
    <mergeCell ref="B21:I21"/>
    <mergeCell ref="B22:I22"/>
    <mergeCell ref="B23:I23"/>
    <mergeCell ref="B24:I24"/>
    <mergeCell ref="B25:I25"/>
    <mergeCell ref="B31:I31"/>
    <mergeCell ref="B32:I32"/>
    <mergeCell ref="B33:I33"/>
    <mergeCell ref="B34:I34"/>
    <mergeCell ref="B26:I26"/>
    <mergeCell ref="B27:I27"/>
    <mergeCell ref="B28:I28"/>
    <mergeCell ref="B29:I29"/>
    <mergeCell ref="B30:I30"/>
  </mergeCells>
  <pageMargins left="0.19685039370078741" right="0.19685039370078741" top="0.39370078740157483" bottom="0.39370078740157483" header="0.51181102362204722" footer="0.19685039370078741"/>
  <pageSetup paperSize="9" scale="62"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AE615-C213-4FF6-913C-1921506C038A}">
  <sheetPr>
    <pageSetUpPr fitToPage="1"/>
  </sheetPr>
  <dimension ref="A1:M37"/>
  <sheetViews>
    <sheetView zoomScaleNormal="100" workbookViewId="0">
      <selection sqref="A1:M1"/>
    </sheetView>
  </sheetViews>
  <sheetFormatPr defaultColWidth="9.1796875" defaultRowHeight="12.5"/>
  <cols>
    <col min="1" max="1" width="5.7265625" style="1135" customWidth="1"/>
    <col min="2" max="2" width="75.1796875" style="1135" customWidth="1"/>
    <col min="3" max="3" width="27" style="1135" bestFit="1" customWidth="1"/>
    <col min="4" max="6" width="15.7265625" style="1135" customWidth="1"/>
    <col min="7" max="13" width="20.7265625" style="1135" customWidth="1"/>
    <col min="14" max="16384" width="9.1796875" style="1135"/>
  </cols>
  <sheetData>
    <row r="1" spans="1:13" ht="20.5" thickBot="1">
      <c r="A1" s="1980" t="str">
        <f>DNB&amp;" - AARDGAS - Tarieflijst periodieke distributienettarieven "&amp;JAAR&amp;" - Injectie"</f>
        <v>Naam distributienetbeheerder - AARDGAS - Tarieflijst periodieke distributienettarieven  - Injectie</v>
      </c>
      <c r="B1" s="1981"/>
      <c r="C1" s="1981"/>
      <c r="D1" s="2003"/>
      <c r="E1" s="2003"/>
      <c r="F1" s="2003"/>
      <c r="G1" s="2003"/>
      <c r="H1" s="1981"/>
      <c r="I1" s="1981"/>
      <c r="J1" s="1981"/>
      <c r="K1" s="1981"/>
      <c r="L1" s="1981"/>
      <c r="M1" s="1982"/>
    </row>
    <row r="2" spans="1:13">
      <c r="A2" s="1205"/>
    </row>
    <row r="3" spans="1:13" ht="15" customHeight="1" thickBot="1">
      <c r="A3" s="1205"/>
    </row>
    <row r="4" spans="1:13" ht="15" customHeight="1">
      <c r="A4" s="1983"/>
      <c r="B4" s="1984"/>
      <c r="C4" s="1985"/>
      <c r="D4" s="2004" t="s">
        <v>603</v>
      </c>
      <c r="E4" s="2007" t="s">
        <v>604</v>
      </c>
      <c r="F4" s="2007" t="s">
        <v>605</v>
      </c>
      <c r="G4" s="2010" t="s">
        <v>606</v>
      </c>
      <c r="H4" s="2016" t="s">
        <v>474</v>
      </c>
    </row>
    <row r="5" spans="1:13" ht="21" customHeight="1" thickBot="1">
      <c r="A5" s="2013"/>
      <c r="B5" s="2014"/>
      <c r="C5" s="2015"/>
      <c r="D5" s="2006"/>
      <c r="E5" s="2009"/>
      <c r="F5" s="2009"/>
      <c r="G5" s="2012"/>
      <c r="H5" s="2017"/>
    </row>
    <row r="6" spans="1:13" s="1619" customFormat="1" ht="18" customHeight="1" thickBot="1">
      <c r="A6" s="1612"/>
      <c r="B6" s="1620" t="s">
        <v>610</v>
      </c>
      <c r="C6" s="1618"/>
      <c r="D6" s="1612"/>
      <c r="E6" s="1617"/>
      <c r="F6" s="1617"/>
      <c r="G6" s="1618"/>
      <c r="H6" s="1686" t="s">
        <v>699</v>
      </c>
    </row>
    <row r="7" spans="1:13" ht="18.75" customHeight="1">
      <c r="A7" s="1159" t="s">
        <v>460</v>
      </c>
      <c r="B7" s="1160"/>
      <c r="C7" s="1161"/>
      <c r="D7" s="1674"/>
      <c r="E7" s="1675"/>
      <c r="F7" s="1675"/>
      <c r="G7" s="1676"/>
      <c r="H7" s="1206"/>
    </row>
    <row r="8" spans="1:13" s="1181" customFormat="1" ht="18" customHeight="1">
      <c r="A8" s="1168"/>
      <c r="B8" s="1160"/>
      <c r="C8" s="1161"/>
      <c r="D8" s="1677"/>
      <c r="E8" s="1678"/>
      <c r="F8" s="1678"/>
      <c r="G8" s="1679"/>
      <c r="H8" s="1207"/>
      <c r="I8" s="1135"/>
      <c r="J8" s="1135"/>
      <c r="K8" s="1135"/>
      <c r="L8" s="1135"/>
      <c r="M8" s="1135"/>
    </row>
    <row r="9" spans="1:13" ht="19.5" customHeight="1">
      <c r="A9" s="1165" t="s">
        <v>452</v>
      </c>
      <c r="B9" s="1166" t="s">
        <v>454</v>
      </c>
      <c r="C9" s="1170" t="s">
        <v>379</v>
      </c>
      <c r="D9" s="1680" t="s">
        <v>673</v>
      </c>
      <c r="E9" s="1681" t="s">
        <v>557</v>
      </c>
      <c r="F9" s="1681" t="s">
        <v>700</v>
      </c>
      <c r="G9" s="1682" t="s">
        <v>701</v>
      </c>
      <c r="H9" s="1208">
        <f>'T7'!$M$17</f>
        <v>0</v>
      </c>
    </row>
    <row r="10" spans="1:13" ht="14.25" customHeight="1">
      <c r="A10" s="1168"/>
      <c r="B10" s="1160"/>
      <c r="C10" s="1182"/>
      <c r="D10" s="1677"/>
      <c r="E10" s="1678"/>
      <c r="F10" s="1678"/>
      <c r="G10" s="1679"/>
      <c r="H10" s="1180"/>
    </row>
    <row r="11" spans="1:13" ht="18" customHeight="1">
      <c r="A11" s="1165" t="s">
        <v>451</v>
      </c>
      <c r="B11" s="1183" t="s">
        <v>345</v>
      </c>
      <c r="C11" s="1182"/>
      <c r="D11" s="1677"/>
      <c r="E11" s="1678"/>
      <c r="F11" s="1678"/>
      <c r="G11" s="1679"/>
      <c r="H11" s="1180"/>
    </row>
    <row r="12" spans="1:13" ht="18" customHeight="1">
      <c r="A12" s="1168"/>
      <c r="B12" s="1169" t="s">
        <v>7</v>
      </c>
      <c r="C12" s="1170" t="s">
        <v>412</v>
      </c>
      <c r="D12" s="1680" t="s">
        <v>673</v>
      </c>
      <c r="E12" s="1681" t="s">
        <v>557</v>
      </c>
      <c r="F12" s="1681" t="s">
        <v>678</v>
      </c>
      <c r="G12" s="1682" t="s">
        <v>702</v>
      </c>
      <c r="H12" s="1209">
        <f>'T7'!$M$19</f>
        <v>0</v>
      </c>
    </row>
    <row r="13" spans="1:13" ht="16" thickBot="1">
      <c r="A13" s="1199"/>
      <c r="B13" s="1137"/>
      <c r="C13" s="1200"/>
      <c r="D13" s="1683"/>
      <c r="E13" s="1684"/>
      <c r="F13" s="1684"/>
      <c r="G13" s="1685"/>
      <c r="H13" s="1210"/>
    </row>
    <row r="14" spans="1:13" ht="15.5">
      <c r="A14" s="1659"/>
      <c r="B14" s="1666" t="s">
        <v>611</v>
      </c>
      <c r="C14" s="1660"/>
      <c r="D14" s="1667"/>
      <c r="E14" s="1668"/>
      <c r="F14" s="1668"/>
      <c r="G14" s="1669"/>
      <c r="H14" s="1664"/>
    </row>
    <row r="15" spans="1:13" ht="16" thickBot="1">
      <c r="A15" s="1661"/>
      <c r="B15" s="1662" t="s">
        <v>616</v>
      </c>
      <c r="C15" s="1663"/>
      <c r="D15" s="1670"/>
      <c r="E15" s="1671"/>
      <c r="F15" s="1672" t="s">
        <v>694</v>
      </c>
      <c r="G15" s="1673" t="s">
        <v>703</v>
      </c>
      <c r="H15" s="1665"/>
    </row>
    <row r="17" spans="1:13" ht="30" customHeight="1" thickBot="1">
      <c r="A17" s="503"/>
      <c r="B17" s="1978" t="s">
        <v>550</v>
      </c>
      <c r="C17" s="1978"/>
      <c r="D17" s="1978"/>
      <c r="E17" s="1978"/>
      <c r="F17" s="1978"/>
      <c r="G17" s="1978"/>
      <c r="H17" s="1978"/>
      <c r="I17" s="1978"/>
      <c r="J17" s="1978"/>
      <c r="K17" s="1978"/>
      <c r="L17" s="1978"/>
      <c r="M17" s="1978"/>
    </row>
    <row r="18" spans="1:13">
      <c r="A18" s="1591"/>
      <c r="B18" s="1979"/>
      <c r="C18" s="1979"/>
      <c r="D18" s="1979"/>
      <c r="E18" s="1979"/>
      <c r="F18" s="1979"/>
      <c r="G18" s="1979"/>
      <c r="H18" s="1979"/>
      <c r="I18" s="1979"/>
      <c r="J18" s="1979"/>
      <c r="K18" s="1979"/>
      <c r="L18" s="1979"/>
      <c r="M18" s="1979"/>
    </row>
    <row r="19" spans="1:13">
      <c r="A19" s="1591"/>
      <c r="B19" s="1977"/>
      <c r="C19" s="1977"/>
      <c r="D19" s="1977"/>
      <c r="E19" s="1977"/>
      <c r="F19" s="1977"/>
      <c r="G19" s="1977"/>
      <c r="H19" s="1977"/>
      <c r="I19" s="1977"/>
      <c r="J19" s="1977"/>
      <c r="K19" s="1977"/>
      <c r="L19" s="1977"/>
      <c r="M19" s="1977"/>
    </row>
    <row r="20" spans="1:13">
      <c r="A20" s="1591"/>
      <c r="B20" s="1977"/>
      <c r="C20" s="1977"/>
      <c r="D20" s="1977"/>
      <c r="E20" s="1977"/>
      <c r="F20" s="1977"/>
      <c r="G20" s="1977"/>
      <c r="H20" s="1977"/>
      <c r="I20" s="1977"/>
      <c r="J20" s="1977"/>
      <c r="K20" s="1977"/>
      <c r="L20" s="1977"/>
      <c r="M20" s="1977"/>
    </row>
    <row r="21" spans="1:13">
      <c r="A21" s="1591"/>
      <c r="B21" s="1977"/>
      <c r="C21" s="1977"/>
      <c r="D21" s="1977"/>
      <c r="E21" s="1977"/>
      <c r="F21" s="1977"/>
      <c r="G21" s="1977"/>
      <c r="H21" s="1977"/>
      <c r="I21" s="1977"/>
      <c r="J21" s="1977"/>
      <c r="K21" s="1977"/>
      <c r="L21" s="1977"/>
      <c r="M21" s="1977"/>
    </row>
    <row r="22" spans="1:13">
      <c r="A22" s="1591"/>
      <c r="B22" s="1977"/>
      <c r="C22" s="1977"/>
      <c r="D22" s="1977"/>
      <c r="E22" s="1977"/>
      <c r="F22" s="1977"/>
      <c r="G22" s="1977"/>
      <c r="H22" s="1977"/>
      <c r="I22" s="1977"/>
      <c r="J22" s="1977"/>
      <c r="K22" s="1977"/>
      <c r="L22" s="1977"/>
      <c r="M22" s="1977"/>
    </row>
    <row r="23" spans="1:13">
      <c r="A23" s="1591"/>
      <c r="B23" s="1977"/>
      <c r="C23" s="1977"/>
      <c r="D23" s="1977"/>
      <c r="E23" s="1977"/>
      <c r="F23" s="1977"/>
      <c r="G23" s="1977"/>
      <c r="H23" s="1977"/>
      <c r="I23" s="1977"/>
      <c r="J23" s="1977"/>
      <c r="K23" s="1977"/>
      <c r="L23" s="1977"/>
      <c r="M23" s="1977"/>
    </row>
    <row r="24" spans="1:13">
      <c r="A24" s="1591"/>
      <c r="B24" s="1977"/>
      <c r="C24" s="1977"/>
      <c r="D24" s="1977"/>
      <c r="E24" s="1977"/>
      <c r="F24" s="1977"/>
      <c r="G24" s="1977"/>
      <c r="H24" s="1977"/>
      <c r="I24" s="1977"/>
      <c r="J24" s="1977"/>
      <c r="K24" s="1977"/>
      <c r="L24" s="1977"/>
      <c r="M24" s="1977"/>
    </row>
    <row r="25" spans="1:13">
      <c r="A25" s="1591"/>
      <c r="B25" s="1977"/>
      <c r="C25" s="1977"/>
      <c r="D25" s="1977"/>
      <c r="E25" s="1977"/>
      <c r="F25" s="1977"/>
      <c r="G25" s="1977"/>
      <c r="H25" s="1977"/>
      <c r="I25" s="1977"/>
      <c r="J25" s="1977"/>
      <c r="K25" s="1977"/>
      <c r="L25" s="1977"/>
      <c r="M25" s="1977"/>
    </row>
    <row r="26" spans="1:13">
      <c r="A26" s="1591"/>
      <c r="B26" s="1977"/>
      <c r="C26" s="1977"/>
      <c r="D26" s="1977"/>
      <c r="E26" s="1977"/>
      <c r="F26" s="1977"/>
      <c r="G26" s="1977"/>
      <c r="H26" s="1977"/>
      <c r="I26" s="1977"/>
      <c r="J26" s="1977"/>
      <c r="K26" s="1977"/>
      <c r="L26" s="1977"/>
      <c r="M26" s="1977"/>
    </row>
    <row r="27" spans="1:13">
      <c r="A27" s="1591"/>
      <c r="B27" s="1977"/>
      <c r="C27" s="1977"/>
      <c r="D27" s="1977"/>
      <c r="E27" s="1977"/>
      <c r="F27" s="1977"/>
      <c r="G27" s="1977"/>
      <c r="H27" s="1977"/>
      <c r="I27" s="1977"/>
      <c r="J27" s="1977"/>
      <c r="K27" s="1977"/>
      <c r="L27" s="1977"/>
      <c r="M27" s="1977"/>
    </row>
    <row r="28" spans="1:13">
      <c r="A28" s="1591"/>
      <c r="B28" s="1977"/>
      <c r="C28" s="1977"/>
      <c r="D28" s="1977"/>
      <c r="E28" s="1977"/>
      <c r="F28" s="1977"/>
      <c r="G28" s="1977"/>
      <c r="H28" s="1977"/>
      <c r="I28" s="1977"/>
      <c r="J28" s="1977"/>
      <c r="K28" s="1977"/>
      <c r="L28" s="1977"/>
      <c r="M28" s="1977"/>
    </row>
    <row r="29" spans="1:13">
      <c r="A29" s="1591"/>
      <c r="B29" s="1977"/>
      <c r="C29" s="1977"/>
      <c r="D29" s="1977"/>
      <c r="E29" s="1977"/>
      <c r="F29" s="1977"/>
      <c r="G29" s="1977"/>
      <c r="H29" s="1977"/>
      <c r="I29" s="1977"/>
      <c r="J29" s="1977"/>
      <c r="K29" s="1977"/>
      <c r="L29" s="1977"/>
      <c r="M29" s="1977"/>
    </row>
    <row r="30" spans="1:13">
      <c r="A30" s="1591"/>
      <c r="B30" s="1977"/>
      <c r="C30" s="1977"/>
      <c r="D30" s="1977"/>
      <c r="E30" s="1977"/>
      <c r="F30" s="1977"/>
      <c r="G30" s="1977"/>
      <c r="H30" s="1977"/>
      <c r="I30" s="1977"/>
      <c r="J30" s="1977"/>
      <c r="K30" s="1977"/>
      <c r="L30" s="1977"/>
      <c r="M30" s="1977"/>
    </row>
    <row r="31" spans="1:13">
      <c r="A31" s="1591"/>
      <c r="B31" s="1977"/>
      <c r="C31" s="1977"/>
      <c r="D31" s="1977"/>
      <c r="E31" s="1977"/>
      <c r="F31" s="1977"/>
      <c r="G31" s="1977"/>
      <c r="H31" s="1977"/>
      <c r="I31" s="1977"/>
      <c r="J31" s="1977"/>
      <c r="K31" s="1977"/>
      <c r="L31" s="1977"/>
      <c r="M31" s="1977"/>
    </row>
    <row r="32" spans="1:13">
      <c r="A32" s="1591"/>
      <c r="B32" s="1977"/>
      <c r="C32" s="1977"/>
      <c r="D32" s="1977"/>
      <c r="E32" s="1977"/>
      <c r="F32" s="1977"/>
      <c r="G32" s="1977"/>
      <c r="H32" s="1977"/>
      <c r="I32" s="1977"/>
      <c r="J32" s="1977"/>
      <c r="K32" s="1977"/>
      <c r="L32" s="1977"/>
      <c r="M32" s="1977"/>
    </row>
    <row r="33" spans="1:13">
      <c r="A33" s="1591"/>
      <c r="B33" s="1977"/>
      <c r="C33" s="1977"/>
      <c r="D33" s="1977"/>
      <c r="E33" s="1977"/>
      <c r="F33" s="1977"/>
      <c r="G33" s="1977"/>
      <c r="H33" s="1977"/>
      <c r="I33" s="1977"/>
      <c r="J33" s="1977"/>
      <c r="K33" s="1977"/>
      <c r="L33" s="1977"/>
      <c r="M33" s="1977"/>
    </row>
    <row r="34" spans="1:13">
      <c r="A34" s="1591"/>
      <c r="B34" s="1977"/>
      <c r="C34" s="1977"/>
      <c r="D34" s="1977"/>
      <c r="E34" s="1977"/>
      <c r="F34" s="1977"/>
      <c r="G34" s="1977"/>
      <c r="H34" s="1977"/>
      <c r="I34" s="1977"/>
      <c r="J34" s="1977"/>
      <c r="K34" s="1977"/>
      <c r="L34" s="1977"/>
      <c r="M34" s="1977"/>
    </row>
    <row r="35" spans="1:13">
      <c r="A35" s="1591"/>
      <c r="B35" s="1977"/>
      <c r="C35" s="1977"/>
      <c r="D35" s="1977"/>
      <c r="E35" s="1977"/>
      <c r="F35" s="1977"/>
      <c r="G35" s="1977"/>
      <c r="H35" s="1977"/>
      <c r="I35" s="1977"/>
      <c r="J35" s="1977"/>
      <c r="K35" s="1977"/>
      <c r="L35" s="1977"/>
      <c r="M35" s="1977"/>
    </row>
    <row r="36" spans="1:13">
      <c r="A36" s="1591"/>
      <c r="B36" s="1977"/>
      <c r="C36" s="1977"/>
      <c r="D36" s="1977"/>
      <c r="E36" s="1977"/>
      <c r="F36" s="1977"/>
      <c r="G36" s="1977"/>
      <c r="H36" s="1977"/>
      <c r="I36" s="1977"/>
      <c r="J36" s="1977"/>
      <c r="K36" s="1977"/>
      <c r="L36" s="1977"/>
      <c r="M36" s="1977"/>
    </row>
    <row r="37" spans="1:13">
      <c r="A37" s="1593"/>
      <c r="B37" s="1977"/>
      <c r="C37" s="1977"/>
      <c r="D37" s="1977"/>
      <c r="E37" s="1977"/>
      <c r="F37" s="1977"/>
      <c r="G37" s="1977"/>
      <c r="H37" s="1977"/>
      <c r="I37" s="1977"/>
      <c r="J37" s="1977"/>
      <c r="K37" s="1977"/>
      <c r="L37" s="1977"/>
      <c r="M37" s="1977"/>
    </row>
  </sheetData>
  <sheetProtection algorithmName="SHA-512" hashValue="NT5KEPKD9hQ2X9lL85GMU6D6bUz4d2T35OtVg1sfaP63DMY33AU8FK1BWzM5xzUkegj1oiIdL4EIknctx+uGvw==" saltValue="bSVoPLyPdMvRwWPJ/dodrg==" spinCount="100000" sheet="1" objects="1" scenarios="1"/>
  <mergeCells count="28">
    <mergeCell ref="B25:M25"/>
    <mergeCell ref="A1:M1"/>
    <mergeCell ref="A4:C5"/>
    <mergeCell ref="H4:H5"/>
    <mergeCell ref="B17:M17"/>
    <mergeCell ref="B18:M18"/>
    <mergeCell ref="B19:M19"/>
    <mergeCell ref="E4:E5"/>
    <mergeCell ref="F4:F5"/>
    <mergeCell ref="G4:G5"/>
    <mergeCell ref="D4:D5"/>
    <mergeCell ref="B20:M20"/>
    <mergeCell ref="B21:M21"/>
    <mergeCell ref="B22:M22"/>
    <mergeCell ref="B23:M23"/>
    <mergeCell ref="B24:M24"/>
    <mergeCell ref="B37:M37"/>
    <mergeCell ref="B26:M26"/>
    <mergeCell ref="B27:M27"/>
    <mergeCell ref="B28:M28"/>
    <mergeCell ref="B29:M29"/>
    <mergeCell ref="B30:M30"/>
    <mergeCell ref="B31:M31"/>
    <mergeCell ref="B32:M32"/>
    <mergeCell ref="B33:M33"/>
    <mergeCell ref="B34:M34"/>
    <mergeCell ref="B35:M35"/>
    <mergeCell ref="B36:M36"/>
  </mergeCells>
  <pageMargins left="0.19685039370078741" right="0.19685039370078741" top="0.39370078740157483" bottom="0.39370078740157483" header="0.51181102362204722" footer="0.1968503937007874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45517-10A1-4C9D-A17B-2047C2115728}">
  <sheetPr published="0"/>
  <dimension ref="A1"/>
  <sheetViews>
    <sheetView workbookViewId="0"/>
  </sheetViews>
  <sheetFormatPr defaultRowHeight="14.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VREGPost xmlns="dc27eef4-d356-41e1-bcf3-2711032fb096" xsi:nil="true"/>
    <DocumentumID xmlns="dc27eef4-d356-41e1-bcf3-2711032fb096" xsi:nil="true"/>
    <OrigineelGemaaktDoor xmlns="dc27eef4-d356-41e1-bcf3-2711032fb096" xsi:nil="true"/>
    <OrigineelGewijzigdDoor xmlns="dc27eef4-d356-41e1-bcf3-2711032fb096" xsi:nil="true"/>
    <DocumentCategorie xmlns="dc27eef4-d356-41e1-bcf3-2711032fb096"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1F3B96C16DF9D48B4CB8B8993546C0E" ma:contentTypeVersion="16" ma:contentTypeDescription="Een nieuw document maken." ma:contentTypeScope="" ma:versionID="e73aaeec9b222c3939f844b8d2ae355b">
  <xsd:schema xmlns:xsd="http://www.w3.org/2001/XMLSchema" xmlns:xs="http://www.w3.org/2001/XMLSchema" xmlns:p="http://schemas.microsoft.com/office/2006/metadata/properties" xmlns:ns2="dc27eef4-d356-41e1-bcf3-2711032fb096" xmlns:ns3="3f81be05-3666-4a6d-a1ba-3aeea25578fa" targetNamespace="http://schemas.microsoft.com/office/2006/metadata/properties" ma:root="true" ma:fieldsID="5e8b033acfd1ca8191a0b4b8ce178edf" ns2:_="" ns3:_="">
    <xsd:import namespace="dc27eef4-d356-41e1-bcf3-2711032fb096"/>
    <xsd:import namespace="3f81be05-3666-4a6d-a1ba-3aeea25578fa"/>
    <xsd:element name="properties">
      <xsd:complexType>
        <xsd:sequence>
          <xsd:element name="documentManagement">
            <xsd:complexType>
              <xsd:all>
                <xsd:element ref="ns2:DocumentCategorie" minOccurs="0"/>
                <xsd:element ref="ns2:VREGPost" minOccurs="0"/>
                <xsd:element ref="ns2:DocumentumID" minOccurs="0"/>
                <xsd:element ref="ns2:OrigineelGemaaktDoor" minOccurs="0"/>
                <xsd:element ref="ns2:OrigineelGewijzigdDoor" minOccurs="0"/>
                <xsd:element ref="ns3:MediaServiceMetadata" minOccurs="0"/>
                <xsd:element ref="ns3:MediaServiceFastMetadata" minOccurs="0"/>
                <xsd:element ref="ns2:SharedWithUsers" minOccurs="0"/>
                <xsd:element ref="ns2:SharedWithDetails"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27eef4-d356-41e1-bcf3-2711032fb096" elementFormDefault="qualified">
    <xsd:import namespace="http://schemas.microsoft.com/office/2006/documentManagement/types"/>
    <xsd:import namespace="http://schemas.microsoft.com/office/infopath/2007/PartnerControls"/>
    <xsd:element name="DocumentCategorie" ma:index="8" nillable="true" ma:displayName="Document categorie" ma:internalName="DocumentCategorie">
      <xsd:simpleType>
        <xsd:restriction base="dms:Choice">
          <xsd:enumeration value="Notulen DR"/>
          <xsd:enumeration value="Communicatie (brief, mail, fax)"/>
          <xsd:enumeration value="Advies"/>
          <xsd:enumeration value="Beslissing"/>
          <xsd:enumeration value="Contract"/>
          <xsd:enumeration value="Factuur"/>
          <xsd:enumeration value="Mededeling"/>
          <xsd:enumeration value="Nota"/>
          <xsd:enumeration value="Persbericht"/>
          <xsd:enumeration value="Presentatie"/>
          <xsd:enumeration value="Procedure"/>
          <xsd:enumeration value="Rapport"/>
          <xsd:enumeration value="Sjabloon"/>
          <xsd:enumeration value="Verslag"/>
          <xsd:enumeration value="Niet van toepassing"/>
          <xsd:enumeration value="Archief"/>
        </xsd:restriction>
      </xsd:simpleType>
    </xsd:element>
    <xsd:element name="VREGPost" ma:index="9" nillable="true" ma:displayName="Post" ma:internalName="VREGPost">
      <xsd:simpleType>
        <xsd:restriction base="dms:Choice">
          <xsd:enumeration value="Inkomende"/>
          <xsd:enumeration value="Uitgaande"/>
        </xsd:restriction>
      </xsd:simpleType>
    </xsd:element>
    <xsd:element name="DocumentumID" ma:index="10" nillable="true" ma:displayName="Documentum ID" ma:internalName="DocumentumID">
      <xsd:simpleType>
        <xsd:restriction base="dms:Text"/>
      </xsd:simpleType>
    </xsd:element>
    <xsd:element name="OrigineelGemaaktDoor" ma:index="11" nillable="true" ma:displayName="Origineel gemaakt door" ma:internalName="OrigineelGemaaktDoor">
      <xsd:simpleType>
        <xsd:restriction base="dms:Text"/>
      </xsd:simpleType>
    </xsd:element>
    <xsd:element name="OrigineelGewijzigdDoor" ma:index="12" nillable="true" ma:displayName="Origineel gewijzigd door" ma:internalName="OrigineelGewijzigdDoor">
      <xsd:simpleType>
        <xsd:restriction base="dms:Text"/>
      </xsd:simpleType>
    </xsd:element>
    <xsd:element name="SharedWithUsers" ma:index="15"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f81be05-3666-4a6d-a1ba-3aeea25578fa"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7" nillable="true" ma:displayName="MediaServiceAutoTags" ma:internalName="MediaServiceAutoTags"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ServiceDateTaken" ma:index="23"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67B6ED-D559-4527-8ECD-C63CEDA5F615}">
  <ds:schemaRefs>
    <ds:schemaRef ds:uri="http://purl.org/dc/terms/"/>
    <ds:schemaRef ds:uri="http://schemas.openxmlformats.org/package/2006/metadata/core-properties"/>
    <ds:schemaRef ds:uri="http://purl.org/dc/dcmitype/"/>
    <ds:schemaRef ds:uri="http://schemas.microsoft.com/office/infopath/2007/PartnerControls"/>
    <ds:schemaRef ds:uri="3f81be05-3666-4a6d-a1ba-3aeea25578fa"/>
    <ds:schemaRef ds:uri="http://purl.org/dc/elements/1.1/"/>
    <ds:schemaRef ds:uri="http://schemas.microsoft.com/office/2006/documentManagement/types"/>
    <ds:schemaRef ds:uri="dc27eef4-d356-41e1-bcf3-2711032fb096"/>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4555C23-9EA1-48AB-B86C-B958BBA4FF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27eef4-d356-41e1-bcf3-2711032fb096"/>
    <ds:schemaRef ds:uri="3f81be05-3666-4a6d-a1ba-3aeea25578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6282EBC-10FE-44A4-A37C-37BAF5679D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36</vt:i4>
      </vt:variant>
      <vt:variant>
        <vt:lpstr>Benoemde bereiken</vt:lpstr>
      </vt:variant>
      <vt:variant>
        <vt:i4>57</vt:i4>
      </vt:variant>
    </vt:vector>
  </HeadingPairs>
  <TitlesOfParts>
    <vt:vector size="93" baseType="lpstr">
      <vt:lpstr>TITELBLAD</vt:lpstr>
      <vt:lpstr>--&gt; ELEKTRICITEIT</vt:lpstr>
      <vt:lpstr>ASSUMPTIES</vt:lpstr>
      <vt:lpstr>VERDEELSLEUTELS</vt:lpstr>
      <vt:lpstr>REKENVOLUMES</vt:lpstr>
      <vt:lpstr>MAXIMUM</vt:lpstr>
      <vt:lpstr>Max Afname TRHS</vt:lpstr>
      <vt:lpstr>Max Afname MS</vt:lpstr>
      <vt:lpstr>Max Afname TRLS</vt:lpstr>
      <vt:lpstr>Max Afname LS</vt:lpstr>
      <vt:lpstr>Max Injectie</vt:lpstr>
      <vt:lpstr>T1</vt:lpstr>
      <vt:lpstr>T2</vt:lpstr>
      <vt:lpstr>T3</vt:lpstr>
      <vt:lpstr>T4</vt:lpstr>
      <vt:lpstr>--&gt; AARDGAS</vt:lpstr>
      <vt:lpstr>T5</vt:lpstr>
      <vt:lpstr>T6</vt:lpstr>
      <vt:lpstr>T7</vt:lpstr>
      <vt:lpstr>T8</vt:lpstr>
      <vt:lpstr>--&gt; TARIEFLIJSTEN</vt:lpstr>
      <vt:lpstr>ELEK Afname (DNG)</vt:lpstr>
      <vt:lpstr>ELEK Afname (LEV)</vt:lpstr>
      <vt:lpstr>ELEK Afname Trans HS</vt:lpstr>
      <vt:lpstr>ELEK Afname &gt;26-36 kV</vt:lpstr>
      <vt:lpstr>ELEK Afname 26-1 kV</vt:lpstr>
      <vt:lpstr>ELEK Afname Trans LS</vt:lpstr>
      <vt:lpstr>ELEK Afname LS</vt:lpstr>
      <vt:lpstr>ELEK Afname Doorvoer</vt:lpstr>
      <vt:lpstr>ELEK Injectie (DNG)</vt:lpstr>
      <vt:lpstr>ELEK Injectie (LEV)</vt:lpstr>
      <vt:lpstr>GAS Afname (DNG)</vt:lpstr>
      <vt:lpstr>GAS Afname (LEV)</vt:lpstr>
      <vt:lpstr>GAS Injectie (DNG)</vt:lpstr>
      <vt:lpstr>GAS Injectie (LEV)</vt:lpstr>
      <vt:lpstr>Werkblad</vt:lpstr>
      <vt:lpstr>TITELBLAD!_ftnref3</vt:lpstr>
      <vt:lpstr>'ELEK Afname (DNG)'!Afdrukbereik</vt:lpstr>
      <vt:lpstr>'ELEK Afname (LEV)'!Afdrukbereik</vt:lpstr>
      <vt:lpstr>'ELEK Afname &gt;26-36 kV'!Afdrukbereik</vt:lpstr>
      <vt:lpstr>'ELEK Afname 26-1 kV'!Afdrukbereik</vt:lpstr>
      <vt:lpstr>'ELEK Afname Doorvoer'!Afdrukbereik</vt:lpstr>
      <vt:lpstr>'ELEK Afname LS'!Afdrukbereik</vt:lpstr>
      <vt:lpstr>'ELEK Afname Trans HS'!Afdrukbereik</vt:lpstr>
      <vt:lpstr>'ELEK Afname Trans LS'!Afdrukbereik</vt:lpstr>
      <vt:lpstr>'ELEK Injectie (DNG)'!Afdrukbereik</vt:lpstr>
      <vt:lpstr>'ELEK Injectie (LEV)'!Afdrukbereik</vt:lpstr>
      <vt:lpstr>'GAS Afname (DNG)'!Afdrukbereik</vt:lpstr>
      <vt:lpstr>'GAS Afname (LEV)'!Afdrukbereik</vt:lpstr>
      <vt:lpstr>'GAS Injectie (DNG)'!Afdrukbereik</vt:lpstr>
      <vt:lpstr>'GAS Injectie (LEV)'!Afdrukbereik</vt:lpstr>
      <vt:lpstr>'T5'!Afdrukbereik</vt:lpstr>
      <vt:lpstr>'T6'!Afdrukbereik</vt:lpstr>
      <vt:lpstr>'T8'!Afdrukbereik</vt:lpstr>
      <vt:lpstr>TITELBLAD!Afdrukbereik</vt:lpstr>
      <vt:lpstr>B2020_ODV_TRHS</vt:lpstr>
      <vt:lpstr>B2020_TOE_TRHS</vt:lpstr>
      <vt:lpstr>BEGINJAAR</vt:lpstr>
      <vt:lpstr>CPI_2020</vt:lpstr>
      <vt:lpstr>CPI_JAARMIN1</vt:lpstr>
      <vt:lpstr>DIM_OMV</vt:lpstr>
      <vt:lpstr>'ELEK Afname (DNG)'!DNB</vt:lpstr>
      <vt:lpstr>'ELEK Afname (LEV)'!DNB</vt:lpstr>
      <vt:lpstr>DNB</vt:lpstr>
      <vt:lpstr>EINDJAAR</vt:lpstr>
      <vt:lpstr>FACTOR_DOORVOER</vt:lpstr>
      <vt:lpstr>FACTOR_MP_TV</vt:lpstr>
      <vt:lpstr>FACTOR_OST</vt:lpstr>
      <vt:lpstr>FACTOR_VAST</vt:lpstr>
      <vt:lpstr>'ELEK Afname (DNG)'!JAAR</vt:lpstr>
      <vt:lpstr>'ELEK Afname (LEV)'!JAAR</vt:lpstr>
      <vt:lpstr>JAAR</vt:lpstr>
      <vt:lpstr>Keuze_Kostenindeling1</vt:lpstr>
      <vt:lpstr>Keuze_Kostenindeling2</vt:lpstr>
      <vt:lpstr>Keuze_Kostenindeling3</vt:lpstr>
      <vt:lpstr>Keuze_Kostenindeling4</vt:lpstr>
      <vt:lpstr>Keuze_Subactiviteit</vt:lpstr>
      <vt:lpstr>Keuze_TariefcomponentN</vt:lpstr>
      <vt:lpstr>KORTING_XN</vt:lpstr>
      <vt:lpstr>MAXTOENAME_TRHS</vt:lpstr>
      <vt:lpstr>OMVORMERVERMOGEN</vt:lpstr>
      <vt:lpstr>ONDERNEMINGSNUMMER</vt:lpstr>
      <vt:lpstr>PROCENT_GEMMP</vt:lpstr>
      <vt:lpstr>PROCENT_KWH</vt:lpstr>
      <vt:lpstr>PROCENT_MP</vt:lpstr>
      <vt:lpstr>PROCENT_TV</vt:lpstr>
      <vt:lpstr>PROCENT_VERHOGING_NA_MAX</vt:lpstr>
      <vt:lpstr>TAR_DATA_LSMR1_2021</vt:lpstr>
      <vt:lpstr>TAR_DATA_LSMR3_2021</vt:lpstr>
      <vt:lpstr>TAR_DATA_NIETLS_2021</vt:lpstr>
      <vt:lpstr>TAR_DATA_PROD_2021</vt:lpstr>
      <vt:lpstr>VOLLASTUREN</vt:lpstr>
      <vt:lpstr>ZELFCONSUMPTIE</vt:lpstr>
    </vt:vector>
  </TitlesOfParts>
  <Company>VREG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Jonas De Smit</dc:creator>
  <cp:lastModifiedBy>Bert Stockman</cp:lastModifiedBy>
  <cp:lastPrinted>2022-02-08T09:31:25Z</cp:lastPrinted>
  <dcterms:created xsi:type="dcterms:W3CDTF">2014-06-04T07:25:01Z</dcterms:created>
  <dcterms:modified xsi:type="dcterms:W3CDTF">2022-04-13T06:27:29Z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0x01010041F3B96C16DF9D48B4CB8B8993546C0E</vt:lpwstr>
  </property>
</Properties>
</file>