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\VREG\Tariefregulering - Documenten\TM 21-24\7 Analyses\Toegelaten inkomen 2021\"/>
    </mc:Choice>
  </mc:AlternateContent>
  <xr:revisionPtr revIDLastSave="198" documentId="8_{A36F2C87-0D38-4BB0-9D87-056D49B86CD4}" xr6:coauthVersionLast="45" xr6:coauthVersionMax="45" xr10:uidLastSave="{A243C65C-B733-4EF1-A0EF-D90E65311073}"/>
  <bookViews>
    <workbookView xWindow="-28920" yWindow="-75" windowWidth="29040" windowHeight="15990" xr2:uid="{DA28F256-4A0E-4B06-B974-4768AD1450C6}"/>
  </bookViews>
  <sheets>
    <sheet name="EXO '21 ELEK" sheetId="1" r:id="rId1"/>
  </sheets>
  <externalReferences>
    <externalReference r:id="rId2"/>
    <externalReference r:id="rId3"/>
    <externalReference r:id="rId4"/>
  </externalReferences>
  <definedNames>
    <definedName name="a">#REF!</definedName>
    <definedName name="_xlnm.Print_Area" localSheetId="0">'EXO ''21 ELEK'!$A$1:$K$214</definedName>
    <definedName name="Aftakklem_LS">'[1]BASISPRIJZEN MATERIAAL'!$I$188</definedName>
    <definedName name="Codes">'[2]Codes des IM'!$B$2:$D$23</definedName>
    <definedName name="EAN_procent">[3]SleutelEAN_kWh!$O$2</definedName>
    <definedName name="Forfaitair_feeder">75000</definedName>
    <definedName name="Hangslot">'[1]BASISPRIJZEN MATERIAAL'!$I$138</definedName>
    <definedName name="Kabelschoen_HS">'[1]BASISPRIJZEN MATERIAAL'!$I$201</definedName>
    <definedName name="Kabelschoen_LS">'[1]BASISPRIJZEN MATERIAAL'!$I$198</definedName>
    <definedName name="Kit_kunststof_AL">'[1]BASISPRIJZEN MATERIAAL'!$I$190</definedName>
    <definedName name="Kit_kunststof_papierlood">'[1]BASISPRIJZEN MATERIAAL'!$I$191</definedName>
    <definedName name="Kit_papierlood">'[1]BASISPRIJZEN MATERIAAL'!$I$189</definedName>
    <definedName name="Klein_materiaal_10">10</definedName>
    <definedName name="Klein_materiaal_100">100</definedName>
    <definedName name="Klein_materiaal_25">25</definedName>
    <definedName name="kWh_procent">[3]SleutelEAN_kWh!$O$3</definedName>
    <definedName name="Plaat_postnummer_telefoon">'[1]BASISPRIJZEN MATERIAAL'!$I$160</definedName>
    <definedName name="SAPBEXrevision" hidden="1">10</definedName>
    <definedName name="SAPBEXsysID" hidden="1">"BP1"</definedName>
    <definedName name="SAPBEXwbID" hidden="1">"4751QXOCD67AJ09JC6QHJDZY6"</definedName>
    <definedName name="Sleutelkastje">'[1]BASISPRIJZEN MATERIAAL'!$I$159</definedName>
    <definedName name="Slot_voor_sleutelkastje">'[1]BASISPRIJZEN MATERIAAL'!$I$158</definedName>
    <definedName name="Terminal_kunststof">'[1]BASISPRIJZEN MATERIAAL'!$I$195</definedName>
    <definedName name="Terminal_LS">'[1]BASISPRIJZEN MATERIAAL'!$I$200</definedName>
    <definedName name="Traduction1">'[2]Codes des IM'!$A$28:$D$1853</definedName>
    <definedName name="Verbinder_kunststof_M4">'[1]BASISPRIJZEN MATERIAAL'!$I$192</definedName>
    <definedName name="Verbinder_kunststof_papierlood_M3">'[1]BASISPRIJZEN MATERIAAL'!$I$192</definedName>
    <definedName name="Verbinder_papierlood_M3">'[1]BASISPRIJZEN MATERIAAL'!$I$192</definedName>
    <definedName name="Wikkeldoos_LS">'[1]BASISPRIJZEN MATERIAAL'!$I$199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5" i="1" l="1"/>
  <c r="J173" i="1"/>
  <c r="J171" i="1"/>
  <c r="J161" i="1"/>
  <c r="J112" i="1"/>
  <c r="J109" i="1"/>
  <c r="J100" i="1"/>
  <c r="J96" i="1"/>
  <c r="J67" i="1"/>
  <c r="J64" i="1"/>
  <c r="J61" i="1"/>
  <c r="J58" i="1"/>
  <c r="J57" i="1" s="1"/>
  <c r="J55" i="1"/>
  <c r="J52" i="1"/>
  <c r="J51" i="1"/>
  <c r="J49" i="1"/>
  <c r="J45" i="1" s="1"/>
  <c r="J46" i="1"/>
  <c r="J41" i="1"/>
  <c r="J36" i="1"/>
  <c r="J33" i="1"/>
  <c r="J32" i="1" s="1"/>
  <c r="J31" i="1" s="1"/>
  <c r="J63" i="1" l="1"/>
  <c r="D175" i="1" l="1"/>
  <c r="D173" i="1"/>
  <c r="D171" i="1"/>
  <c r="D161" i="1"/>
  <c r="D112" i="1"/>
  <c r="D109" i="1"/>
  <c r="D100" i="1"/>
  <c r="D96" i="1"/>
  <c r="D67" i="1"/>
  <c r="D64" i="1"/>
  <c r="D61" i="1"/>
  <c r="D58" i="1"/>
  <c r="D57" i="1" s="1"/>
  <c r="D55" i="1"/>
  <c r="D52" i="1"/>
  <c r="D51" i="1" s="1"/>
  <c r="D49" i="1"/>
  <c r="D46" i="1"/>
  <c r="D41" i="1"/>
  <c r="D36" i="1"/>
  <c r="D33" i="1"/>
  <c r="D32" i="1"/>
  <c r="D31" i="1" s="1"/>
  <c r="D63" i="1" l="1"/>
  <c r="D45" i="1"/>
  <c r="C169" i="1" l="1"/>
  <c r="M175" i="1"/>
  <c r="M173" i="1"/>
  <c r="M171" i="1"/>
  <c r="M161" i="1"/>
  <c r="M112" i="1"/>
  <c r="M109" i="1"/>
  <c r="M100" i="1"/>
  <c r="M96" i="1"/>
  <c r="M67" i="1"/>
  <c r="M64" i="1"/>
  <c r="M61" i="1"/>
  <c r="M58" i="1"/>
  <c r="M55" i="1"/>
  <c r="M52" i="1"/>
  <c r="M49" i="1"/>
  <c r="M46" i="1"/>
  <c r="M41" i="1"/>
  <c r="M36" i="1"/>
  <c r="M33" i="1"/>
  <c r="M32" i="1" s="1"/>
  <c r="M31" i="1" s="1"/>
  <c r="M63" i="1" l="1"/>
  <c r="M57" i="1"/>
  <c r="M51" i="1"/>
  <c r="M45" i="1"/>
  <c r="L175" i="1"/>
  <c r="K175" i="1"/>
  <c r="I175" i="1"/>
  <c r="H175" i="1"/>
  <c r="G175" i="1"/>
  <c r="F175" i="1"/>
  <c r="E175" i="1"/>
  <c r="L173" i="1"/>
  <c r="K173" i="1"/>
  <c r="I173" i="1"/>
  <c r="I171" i="1" s="1"/>
  <c r="H173" i="1"/>
  <c r="G173" i="1"/>
  <c r="F173" i="1"/>
  <c r="E173" i="1"/>
  <c r="E171" i="1" s="1"/>
  <c r="L171" i="1"/>
  <c r="K171" i="1"/>
  <c r="H171" i="1"/>
  <c r="G171" i="1"/>
  <c r="F171" i="1"/>
  <c r="L161" i="1"/>
  <c r="K161" i="1"/>
  <c r="I161" i="1"/>
  <c r="H161" i="1"/>
  <c r="G161" i="1"/>
  <c r="F161" i="1"/>
  <c r="E161" i="1"/>
  <c r="L112" i="1"/>
  <c r="K112" i="1"/>
  <c r="I112" i="1"/>
  <c r="H112" i="1"/>
  <c r="G112" i="1"/>
  <c r="F112" i="1"/>
  <c r="E112" i="1"/>
  <c r="L109" i="1"/>
  <c r="K109" i="1"/>
  <c r="I109" i="1"/>
  <c r="H109" i="1"/>
  <c r="G109" i="1"/>
  <c r="F109" i="1"/>
  <c r="E109" i="1"/>
  <c r="L100" i="1"/>
  <c r="K100" i="1"/>
  <c r="I100" i="1"/>
  <c r="H100" i="1"/>
  <c r="G100" i="1"/>
  <c r="F100" i="1"/>
  <c r="E100" i="1"/>
  <c r="L96" i="1"/>
  <c r="K96" i="1"/>
  <c r="I96" i="1"/>
  <c r="H96" i="1"/>
  <c r="G96" i="1"/>
  <c r="F96" i="1"/>
  <c r="E96" i="1"/>
  <c r="L67" i="1"/>
  <c r="L63" i="1" s="1"/>
  <c r="K67" i="1"/>
  <c r="K63" i="1" s="1"/>
  <c r="I67" i="1"/>
  <c r="H67" i="1"/>
  <c r="H63" i="1" s="1"/>
  <c r="G67" i="1"/>
  <c r="G63" i="1" s="1"/>
  <c r="F67" i="1"/>
  <c r="F63" i="1" s="1"/>
  <c r="E67" i="1"/>
  <c r="L64" i="1"/>
  <c r="K64" i="1"/>
  <c r="I64" i="1"/>
  <c r="H64" i="1"/>
  <c r="G64" i="1"/>
  <c r="F64" i="1"/>
  <c r="E64" i="1"/>
  <c r="L61" i="1"/>
  <c r="L57" i="1" s="1"/>
  <c r="K61" i="1"/>
  <c r="I61" i="1"/>
  <c r="H61" i="1"/>
  <c r="G61" i="1"/>
  <c r="G57" i="1" s="1"/>
  <c r="F61" i="1"/>
  <c r="F57" i="1" s="1"/>
  <c r="E61" i="1"/>
  <c r="L58" i="1"/>
  <c r="K58" i="1"/>
  <c r="I58" i="1"/>
  <c r="H58" i="1"/>
  <c r="G58" i="1"/>
  <c r="F58" i="1"/>
  <c r="E58" i="1"/>
  <c r="K57" i="1"/>
  <c r="H57" i="1"/>
  <c r="L55" i="1"/>
  <c r="K55" i="1"/>
  <c r="K51" i="1" s="1"/>
  <c r="I55" i="1"/>
  <c r="H55" i="1"/>
  <c r="G55" i="1"/>
  <c r="G51" i="1" s="1"/>
  <c r="F55" i="1"/>
  <c r="F51" i="1" s="1"/>
  <c r="E55" i="1"/>
  <c r="L52" i="1"/>
  <c r="K52" i="1"/>
  <c r="I52" i="1"/>
  <c r="H52" i="1"/>
  <c r="G52" i="1"/>
  <c r="F52" i="1"/>
  <c r="E52" i="1"/>
  <c r="L51" i="1"/>
  <c r="H51" i="1"/>
  <c r="L49" i="1"/>
  <c r="L45" i="1" s="1"/>
  <c r="K49" i="1"/>
  <c r="I49" i="1"/>
  <c r="H49" i="1"/>
  <c r="H45" i="1" s="1"/>
  <c r="G49" i="1"/>
  <c r="G45" i="1" s="1"/>
  <c r="F49" i="1"/>
  <c r="F45" i="1" s="1"/>
  <c r="E49" i="1"/>
  <c r="L46" i="1"/>
  <c r="K46" i="1"/>
  <c r="I46" i="1"/>
  <c r="H46" i="1"/>
  <c r="G46" i="1"/>
  <c r="F46" i="1"/>
  <c r="E46" i="1"/>
  <c r="L41" i="1"/>
  <c r="K41" i="1"/>
  <c r="I41" i="1"/>
  <c r="H41" i="1"/>
  <c r="G41" i="1"/>
  <c r="F41" i="1"/>
  <c r="E41" i="1"/>
  <c r="L36" i="1"/>
  <c r="L32" i="1" s="1"/>
  <c r="L31" i="1" s="1"/>
  <c r="K36" i="1"/>
  <c r="K32" i="1" s="1"/>
  <c r="K31" i="1" s="1"/>
  <c r="I36" i="1"/>
  <c r="H36" i="1"/>
  <c r="G36" i="1"/>
  <c r="G32" i="1" s="1"/>
  <c r="G31" i="1" s="1"/>
  <c r="F36" i="1"/>
  <c r="E36" i="1"/>
  <c r="L33" i="1"/>
  <c r="K33" i="1"/>
  <c r="I33" i="1"/>
  <c r="I32" i="1" s="1"/>
  <c r="I31" i="1" s="1"/>
  <c r="H33" i="1"/>
  <c r="G33" i="1"/>
  <c r="F33" i="1"/>
  <c r="E33" i="1"/>
  <c r="E32" i="1" s="1"/>
  <c r="E31" i="1" s="1"/>
  <c r="H32" i="1"/>
  <c r="H31" i="1" s="1"/>
  <c r="F32" i="1"/>
  <c r="F31" i="1" s="1"/>
  <c r="K45" i="1" l="1"/>
  <c r="E63" i="1"/>
  <c r="I63" i="1"/>
  <c r="E57" i="1"/>
  <c r="I57" i="1"/>
  <c r="E51" i="1"/>
  <c r="I51" i="1"/>
  <c r="E45" i="1"/>
  <c r="I45" i="1"/>
  <c r="C193" i="1" l="1"/>
  <c r="C192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2" i="1"/>
  <c r="C171" i="1" s="1"/>
  <c r="C164" i="1"/>
  <c r="C163" i="1"/>
  <c r="C162" i="1"/>
  <c r="C159" i="1"/>
  <c r="C156" i="1"/>
  <c r="C153" i="1"/>
  <c r="C147" i="1"/>
  <c r="C144" i="1"/>
  <c r="C141" i="1"/>
  <c r="C132" i="1"/>
  <c r="C130" i="1"/>
  <c r="C129" i="1"/>
  <c r="C126" i="1"/>
  <c r="C125" i="1"/>
  <c r="C122" i="1"/>
  <c r="C121" i="1"/>
  <c r="C118" i="1"/>
  <c r="C116" i="1"/>
  <c r="C114" i="1"/>
  <c r="C113" i="1"/>
  <c r="C111" i="1"/>
  <c r="C110" i="1"/>
  <c r="C107" i="1"/>
  <c r="C106" i="1"/>
  <c r="C103" i="1"/>
  <c r="C102" i="1"/>
  <c r="C101" i="1"/>
  <c r="C99" i="1"/>
  <c r="C98" i="1"/>
  <c r="C97" i="1"/>
  <c r="C94" i="1"/>
  <c r="C91" i="1"/>
  <c r="C88" i="1"/>
  <c r="C79" i="1"/>
  <c r="C76" i="1"/>
  <c r="C73" i="1"/>
  <c r="C66" i="1"/>
  <c r="C65" i="1"/>
  <c r="C60" i="1"/>
  <c r="C59" i="1"/>
  <c r="C54" i="1"/>
  <c r="C53" i="1"/>
  <c r="C48" i="1"/>
  <c r="C47" i="1"/>
  <c r="C42" i="1"/>
  <c r="C41" i="1" s="1"/>
  <c r="C38" i="1"/>
  <c r="C37" i="1"/>
  <c r="C35" i="1"/>
  <c r="C34" i="1"/>
  <c r="C29" i="1"/>
  <c r="C26" i="1"/>
  <c r="C23" i="1"/>
  <c r="C20" i="1"/>
  <c r="C17" i="1"/>
  <c r="C200" i="1"/>
  <c r="C199" i="1"/>
  <c r="C198" i="1"/>
  <c r="C173" i="1"/>
  <c r="C112" i="1"/>
  <c r="C67" i="1"/>
  <c r="C61" i="1"/>
  <c r="C55" i="1"/>
  <c r="C49" i="1"/>
  <c r="M207" i="1"/>
  <c r="M202" i="1"/>
  <c r="M200" i="1"/>
  <c r="M199" i="1"/>
  <c r="M198" i="1"/>
  <c r="M208" i="1"/>
  <c r="M204" i="1"/>
  <c r="L207" i="1"/>
  <c r="L202" i="1"/>
  <c r="L200" i="1"/>
  <c r="L199" i="1"/>
  <c r="L198" i="1"/>
  <c r="L205" i="1"/>
  <c r="L211" i="1" s="1"/>
  <c r="L208" i="1"/>
  <c r="L204" i="1"/>
  <c r="K207" i="1"/>
  <c r="K202" i="1"/>
  <c r="K200" i="1"/>
  <c r="K199" i="1"/>
  <c r="K198" i="1"/>
  <c r="K205" i="1"/>
  <c r="K211" i="1" s="1"/>
  <c r="K208" i="1"/>
  <c r="K204" i="1"/>
  <c r="J208" i="1"/>
  <c r="J207" i="1"/>
  <c r="J202" i="1"/>
  <c r="J200" i="1"/>
  <c r="J199" i="1"/>
  <c r="J198" i="1"/>
  <c r="J205" i="1"/>
  <c r="J211" i="1" s="1"/>
  <c r="J204" i="1"/>
  <c r="I207" i="1"/>
  <c r="I202" i="1"/>
  <c r="I200" i="1"/>
  <c r="I199" i="1"/>
  <c r="I198" i="1"/>
  <c r="I205" i="1"/>
  <c r="I211" i="1" s="1"/>
  <c r="I208" i="1"/>
  <c r="I204" i="1"/>
  <c r="H207" i="1"/>
  <c r="H202" i="1"/>
  <c r="H200" i="1"/>
  <c r="H199" i="1"/>
  <c r="H198" i="1"/>
  <c r="H205" i="1"/>
  <c r="H211" i="1" s="1"/>
  <c r="H208" i="1"/>
  <c r="H204" i="1"/>
  <c r="H201" i="1"/>
  <c r="G207" i="1"/>
  <c r="G202" i="1"/>
  <c r="G200" i="1"/>
  <c r="G199" i="1"/>
  <c r="G198" i="1"/>
  <c r="G205" i="1"/>
  <c r="G211" i="1" s="1"/>
  <c r="G208" i="1"/>
  <c r="G204" i="1"/>
  <c r="F207" i="1"/>
  <c r="F202" i="1"/>
  <c r="F200" i="1"/>
  <c r="F199" i="1"/>
  <c r="F198" i="1"/>
  <c r="F205" i="1"/>
  <c r="F211" i="1" s="1"/>
  <c r="F208" i="1"/>
  <c r="F204" i="1"/>
  <c r="E207" i="1"/>
  <c r="E202" i="1"/>
  <c r="E200" i="1"/>
  <c r="E199" i="1"/>
  <c r="E198" i="1"/>
  <c r="E205" i="1"/>
  <c r="E211" i="1" s="1"/>
  <c r="E208" i="1"/>
  <c r="E204" i="1"/>
  <c r="D205" i="1"/>
  <c r="D208" i="1"/>
  <c r="D202" i="1"/>
  <c r="D201" i="1"/>
  <c r="C46" i="1" l="1"/>
  <c r="C45" i="1" s="1"/>
  <c r="C36" i="1"/>
  <c r="C32" i="1" s="1"/>
  <c r="C31" i="1" s="1"/>
  <c r="C202" i="1"/>
  <c r="C100" i="1"/>
  <c r="C33" i="1"/>
  <c r="C58" i="1"/>
  <c r="C207" i="1"/>
  <c r="C52" i="1"/>
  <c r="C51" i="1" s="1"/>
  <c r="F201" i="1"/>
  <c r="F210" i="1" s="1"/>
  <c r="F212" i="1" s="1"/>
  <c r="J201" i="1"/>
  <c r="J210" i="1" s="1"/>
  <c r="J212" i="1" s="1"/>
  <c r="K201" i="1"/>
  <c r="K210" i="1" s="1"/>
  <c r="K212" i="1" s="1"/>
  <c r="M201" i="1"/>
  <c r="M210" i="1" s="1"/>
  <c r="E201" i="1"/>
  <c r="E210" i="1" s="1"/>
  <c r="E212" i="1" s="1"/>
  <c r="G201" i="1"/>
  <c r="G210" i="1" s="1"/>
  <c r="G212" i="1" s="1"/>
  <c r="I201" i="1"/>
  <c r="I210" i="1" s="1"/>
  <c r="I212" i="1" s="1"/>
  <c r="C64" i="1"/>
  <c r="C63" i="1" s="1"/>
  <c r="C96" i="1"/>
  <c r="C109" i="1"/>
  <c r="C161" i="1"/>
  <c r="C208" i="1" s="1"/>
  <c r="C175" i="1"/>
  <c r="C205" i="1" s="1"/>
  <c r="C211" i="1" s="1"/>
  <c r="C57" i="1"/>
  <c r="M205" i="1"/>
  <c r="M211" i="1" s="1"/>
  <c r="L201" i="1"/>
  <c r="L210" i="1" s="1"/>
  <c r="L212" i="1" s="1"/>
  <c r="H210" i="1"/>
  <c r="H212" i="1" s="1"/>
  <c r="M212" i="1" l="1"/>
  <c r="C204" i="1"/>
  <c r="C201" i="1"/>
  <c r="C210" i="1" l="1"/>
  <c r="C212" i="1" s="1"/>
  <c r="D200" i="1"/>
  <c r="A19" i="1"/>
  <c r="A22" i="1" s="1"/>
  <c r="A25" i="1" s="1"/>
  <c r="A28" i="1" s="1"/>
  <c r="A31" i="1" s="1"/>
  <c r="A41" i="1" s="1"/>
  <c r="A45" i="1" s="1"/>
  <c r="A51" i="1" s="1"/>
  <c r="A57" i="1" s="1"/>
  <c r="A63" i="1" s="1"/>
  <c r="A72" i="1" s="1"/>
  <c r="A75" i="1" s="1"/>
  <c r="A78" i="1" s="1"/>
  <c r="A87" i="1" s="1"/>
  <c r="A90" i="1" s="1"/>
  <c r="A93" i="1" s="1"/>
  <c r="A96" i="1" s="1"/>
  <c r="A105" i="1" s="1"/>
  <c r="A109" i="1" s="1"/>
  <c r="A116" i="1" s="1"/>
  <c r="A118" i="1" s="1"/>
  <c r="A120" i="1" s="1"/>
  <c r="A124" i="1" s="1"/>
  <c r="A128" i="1" s="1"/>
  <c r="A132" i="1" s="1"/>
  <c r="A140" i="1" s="1"/>
  <c r="A143" i="1" s="1"/>
  <c r="A146" i="1" s="1"/>
  <c r="A152" i="1" s="1"/>
  <c r="A155" i="1" s="1"/>
  <c r="A158" i="1" s="1"/>
  <c r="A161" i="1" s="1"/>
  <c r="A169" i="1" s="1"/>
  <c r="A171" i="1" s="1"/>
  <c r="A175" i="1" s="1"/>
  <c r="A192" i="1" s="1"/>
  <c r="A193" i="1" s="1"/>
  <c r="D199" i="1"/>
  <c r="D204" i="1"/>
  <c r="D207" i="1" l="1"/>
  <c r="D198" i="1"/>
  <c r="D211" i="1" l="1"/>
  <c r="D210" i="1"/>
  <c r="D212" i="1" s="1"/>
</calcChain>
</file>

<file path=xl/sharedStrings.xml><?xml version="1.0" encoding="utf-8"?>
<sst xmlns="http://schemas.openxmlformats.org/spreadsheetml/2006/main" count="195" uniqueCount="120">
  <si>
    <t>M.b.t. het tarief voor belastingen, heffingen, toeslagen, bijdragen en retributies</t>
  </si>
  <si>
    <t>M.b.t. het tarief voor de compensatie van de netverliezen</t>
  </si>
  <si>
    <t>M.b.t. het tarief voor openbare dienstverplichtingen</t>
  </si>
  <si>
    <t>M.b.t. het tarief voor het systeembeheer</t>
  </si>
  <si>
    <t>M.b.t. het basistarief voor het gebruik van het net</t>
  </si>
  <si>
    <t>TOTAAL EXOGENE KOSTEN</t>
  </si>
  <si>
    <t>TOTAAL EXOGENE KOSTEN M.B.T. TRANSMISSIE</t>
  </si>
  <si>
    <t>TOTAAL EXOGENE KOSTEN M.B.T. DISTRIBUTIE</t>
  </si>
  <si>
    <t>Exogene kosten i.h.k.v. het tarief voor belastingen, heffingen, toeslagen, bijdragen en retributies</t>
  </si>
  <si>
    <t>Exogene kosten i.h.k.v. het tarief voor de compensatie van de netverliezen</t>
  </si>
  <si>
    <t>Exogene kosten i.h.k.v. het tarief voor de regeling van de spanning en het reactief vermogen</t>
  </si>
  <si>
    <t>Exogene kosten i.h.k.v. transmissienetkosten</t>
  </si>
  <si>
    <t>Exogene kosten i.h.k.v. het tarief voor openbare dienstverplichtingen</t>
  </si>
  <si>
    <t>Exogene kosten i.h.k.v. het tarief voor het databeheer</t>
  </si>
  <si>
    <t>Exogene kosten i.h.k.v. het tarief voor het systeembeheer</t>
  </si>
  <si>
    <t>Exogene kosten i.h.k.v. het basistarief voor het gebruik van het net</t>
  </si>
  <si>
    <t>Budget</t>
  </si>
  <si>
    <t>Toeslag voor de taksen op masten en sleuven</t>
  </si>
  <si>
    <t>ODV - financiering maatregelen ter bevordering REG</t>
  </si>
  <si>
    <t>ODV - financiering steunmaatregelen hernieuwbare energie en WKK</t>
  </si>
  <si>
    <t>ODV - financiering strategische reserve</t>
  </si>
  <si>
    <t>ODV - financiering groenestroomcertificaten</t>
  </si>
  <si>
    <t>ODV - financiering van de aansluiting offshore windturbineparken</t>
  </si>
  <si>
    <t>Tarief marktintegratie</t>
  </si>
  <si>
    <t>Tarief vermogensreserve en blackstart</t>
  </si>
  <si>
    <t>Tarief aanvullende afname of injectie reactieve energie</t>
  </si>
  <si>
    <t>Tarief beheer elektrisch systeem</t>
  </si>
  <si>
    <t>Tarief beheer en ontwikkeling netwerkinfrastructuur - aansluitingstarieven</t>
  </si>
  <si>
    <t>Tarief beheer en ontwikkeling netwerkinfrastructuur - ter beschikking gesteld vermogen voor afname</t>
  </si>
  <si>
    <t>Tarief beheer en ontwikkeling netwerkinfrastructuur - jaarpiek voor afname</t>
  </si>
  <si>
    <t>Tarief beheer en ontwikkeling netwerkinfrastructuur - maandpiek voor afname</t>
  </si>
  <si>
    <t>Kapitaalkostvergoeding voor het regulatoir saldo inzake exogene kosten m.b.t. transmissie</t>
  </si>
  <si>
    <t>Afbouw regulatoir saldo inzake exogene kosten m.b.t. transmissie, zoals vastgelegd in de tariefmethodologie (positieve waarde voor recuperatie tekort, en omgekeerd)</t>
  </si>
  <si>
    <t>Transmissiekosten</t>
  </si>
  <si>
    <t>Heffing volgens het Decreet houdende het Grootschalig Referentiebestand</t>
  </si>
  <si>
    <t>Retributies</t>
  </si>
  <si>
    <t xml:space="preserve">Lasten van niet-gekapitaliseerde pensioenen </t>
  </si>
  <si>
    <t>Belastingen, heffingen, toeslagen, bijdragen en retributies</t>
  </si>
  <si>
    <t>Afbouw regulatoir saldo inzake herindexering van het budget voor endogene kosten, zoals vastgelegd in de tariefmethodologie (positieve waarde voor recuperatie tekort, en omgekeerd)</t>
  </si>
  <si>
    <t>Afbouw regulatoir saldo inzake volumerisico endogeen budget, zoals vastgelegd in de tariefmethodologie (positieve waarde voor recuperatie tekort, en omgekeerd)</t>
  </si>
  <si>
    <t>Tarief voor de belastingen, heffingen, toeslagen, bijdragen en retributies</t>
  </si>
  <si>
    <t>Tarief voor de compensatie van de netverliezen</t>
  </si>
  <si>
    <t>Tarief voor de regeling van de spanning en het reactief vermogen</t>
  </si>
  <si>
    <t>Kosten t.g.v. terugvorderingen door de Vlaamse Overheid van onterechte financiering van openbaredienstverplichtingen</t>
  </si>
  <si>
    <t>m.b.t. onterecht aangekochte GSC en WKC aan minimumwaarde</t>
  </si>
  <si>
    <t>m.b.t. onterecht uitgekeerde REG-premies</t>
  </si>
  <si>
    <t>Waardeverminderingen op vorderingen t.g.v. fraudedossiers</t>
  </si>
  <si>
    <t>Opbrengsten uit niet-recurrente recuperatie van exogene kosten uit bijvoorbeeld fraudezaken</t>
  </si>
  <si>
    <t>Solidarisering WKC</t>
  </si>
  <si>
    <t>Solidarisering GSC</t>
  </si>
  <si>
    <t>Netto-uitgaven/ -inkomsten (positieve waarde voor een netto-uitgave, en omgekeerd) i.h.k.v. de verrekening van de kost van GSC en WKC onder distributienetbeheerders volgens Energiedecreet (solidarisering opkoopverplichting)</t>
  </si>
  <si>
    <t>Voorraadwijziging WKC (toename voorraad: negatieve waarde, afname voorraad: positieve waarde)</t>
  </si>
  <si>
    <t>Voorraadwijziging GSC (toename voorraad: negatieve waarde, afname voorraad: positieve waarde)</t>
  </si>
  <si>
    <t>Overige verkopen</t>
  </si>
  <si>
    <t>Verkopen t.a.v. de Vlaamse Overheid</t>
  </si>
  <si>
    <t>Verkochte WKC</t>
  </si>
  <si>
    <t>Verkochte GSC</t>
  </si>
  <si>
    <t>Aangekochte WKC</t>
  </si>
  <si>
    <t>Aangekochte GSC</t>
  </si>
  <si>
    <t>Verplicht aangekochte GSC en WKC aan minimumwaarde volgens Energiedecreet</t>
  </si>
  <si>
    <t>Recuperatie van kosten m.b.t. de actieverplichting sociale energie efficiëntieprojecten</t>
  </si>
  <si>
    <t xml:space="preserve">Recuperatie van kosten m.b.t. de actieverplichting energiescans </t>
  </si>
  <si>
    <t>Recuperatie van kosten m.b.t. REG-premies</t>
  </si>
  <si>
    <t>Recuperatie van kosten van de openbaredienstverplichtingen m.b.t. het stimuleren van rationeel energiegebruik (REG):</t>
  </si>
  <si>
    <t>Kosten m.b.t. de actieverplichting sociale energie efficiëntieprojecten</t>
  </si>
  <si>
    <t xml:space="preserve">Kosten m.b.t. de actieverplichting energiescans </t>
  </si>
  <si>
    <t>Kosten m.b.t. REG-premies</t>
  </si>
  <si>
    <t>Kosten van de openbaredienstverplichtingen m.b.t. het stimuleren van rationeel energiegebruik (REG) volgens Energiebesluit:</t>
  </si>
  <si>
    <t>Tarief voor openbare dienstverplichtingen</t>
  </si>
  <si>
    <t>Tarief voor het databeheer</t>
  </si>
  <si>
    <t>Tarief voor het systeembeheer</t>
  </si>
  <si>
    <t>Kapitaalkostvergoeding voor het regulatoir saldo inzake herwaarderingsmeerwaarden</t>
  </si>
  <si>
    <t>Kapitaalkostvergoeding voor het regulatoir saldo inzake vennootschapsbelasting</t>
  </si>
  <si>
    <t>Kapitaalkostvergoeding voor het regulatoir saldo inzake herindexering van het budget voor endogene kosten</t>
  </si>
  <si>
    <t>Kapitaalkostvergoeding voor het regulatoir saldo inzake volumerisico endogeen budget</t>
  </si>
  <si>
    <t>Kapitaalkostvergoeding groenestroom- en warmtekrachtcertificaten (GSC en WKC)</t>
  </si>
  <si>
    <t>Afbouw regulatoir saldo inzake herwaarderingsmeerwaarden</t>
  </si>
  <si>
    <t>Afbouw regulatoir saldo inzake vennootschapsbelasting, zoals vastgelegd in de tariefmethodologie (positieve waarde voor recuperatie tekort, en omgekeerd)</t>
  </si>
  <si>
    <t>Basistarief voor het gebruik van het net</t>
  </si>
  <si>
    <t>boekjaar</t>
  </si>
  <si>
    <t>GASELWEST</t>
  </si>
  <si>
    <t>elektriciteit</t>
  </si>
  <si>
    <t>Afbouw regulatoir saldo inzake exogene kosten m.b.t. distributie, zoals vastgelegd in de tariefmethodologie (positieve waarde voor recuperatie tekort, en omgekeerd)</t>
  </si>
  <si>
    <t>Gemiddelde voorraad GSC en WKC (boekhoudkundige waarde) voor boekjaar 2021</t>
  </si>
  <si>
    <t>Beginvoorraad GSC en WKC (01/01/2021)</t>
  </si>
  <si>
    <t>Beginvoorraad GSC (01/01/2021)</t>
  </si>
  <si>
    <t>Beginvoorraad WKC (01/01/2021)</t>
  </si>
  <si>
    <t>Eindvoorraad GSC en WKC (31/12/2021)</t>
  </si>
  <si>
    <t>Eindvoorraad GSC (31/12/2021)</t>
  </si>
  <si>
    <t>Eindvoorraad WKC (31/12/2021)</t>
  </si>
  <si>
    <t>Kapitaalkostvergoeding voor boekjaar 2021 (in te vullen door de VREG)</t>
  </si>
  <si>
    <t>Kapitaalkostvergoeding voor het regulatoir saldo inzake exogene kosten m.b.t. distributie</t>
  </si>
  <si>
    <t>Gecumuleerd regulatoir saldo exogene kosten m.b.t. distributie bij het begin van het boekjaar (01/01/2021) (positieve waarde voor tekort, en omgekeerd)</t>
  </si>
  <si>
    <t>Gemiddeld regulatoir saldo volumerisico endogeen budget voor boekjaar 2021 (positieve waarde voor tekort, en omgekeerd)</t>
  </si>
  <si>
    <t>Regulatoir saldo volumerisico endogeen budget bij het begin van het boekjaar (01/01/2021) (positieve waarde voor tekort, en omgekeerd)</t>
  </si>
  <si>
    <t>Regulatoir saldo volumerisico endogeen budget op het einde van het boekjaar (31/12/2021) (positieve waarde voor tekort, en omgekeerd)</t>
  </si>
  <si>
    <t>Gemiddeld regulatoir saldo herindexering van het budget voor endogene kosten voor boekjaar 2021 (positieve waarde voor tekort, en omgekeerd)</t>
  </si>
  <si>
    <t>Regulatoir saldo herindexering van het budget voor endogene kosten bij het begin van het boekjaar (01/01/2021) (positieve waarde voor tekort, en omgekeerd)</t>
  </si>
  <si>
    <t>Regulatoir saldo herindexering van het budget voor endogene kosten op het einde van het boekjaar (31/12/2021) (positieve waarde voor tekort, en omgekeerd)</t>
  </si>
  <si>
    <t>Gemiddeld regulatoir saldo vennootschapsbelasting voor boekjaar 2021 (positieve waarde voor tekort, en omgekeerd)</t>
  </si>
  <si>
    <t>Regulatoir saldo vennootschapsbelasting bij het begin van het boekjaar (01/01/2021) (positieve waarde voor tekort, en omgekeerd)</t>
  </si>
  <si>
    <t>Regulatoir saldo vennootschapsbelasting op het einde van het boekjaar (31/12/2021) (positieve waarde voor tekort, en omgekeerd)</t>
  </si>
  <si>
    <t>Gemiddeld regulatoir saldo herwaarderingsmeerwaarden voor boekjaar 2021 (positieve waarde voor tekort, en omgekeerd)</t>
  </si>
  <si>
    <t>Regulatoir saldo herwaarderingsmeerwaarden bij het begin van het boekjaar (01/01/2021) (positieve waarde voor tekort, en omgekeerd)</t>
  </si>
  <si>
    <t>Regulatoir saldo herwaarderingsmeerwaarden op het einde van het boekjaar (31/12/2021) (positieve waarde voor tekort, en omgekeerd)</t>
  </si>
  <si>
    <t>Gecumuleerd regulatoir saldo exogene kosten m.b.t. transmissie bij het begin van het boekjaar (01/01/2021) (positieve waarde voor tekort, en omgekeerd)</t>
  </si>
  <si>
    <t>Kost m.b.t. de door Elia aan de distributienetbeheerder aangerekende vergoeding voor het gebruik van het transmissienet (elektriciteit) - exclusief federale bijdrage elektriciteit</t>
  </si>
  <si>
    <t>Kost m.b.t. de door een andere distributienetbeheerder (via doorvoer) aangerekende vergoeding voor het gebruik van het transmissienet (elektriciteit) - exclusief federale bijdrage elektriciteit</t>
  </si>
  <si>
    <t>Opbrengst uit de aan een andere distributienetbeheer (via doorvoer) aangerekende vergoeding voor het gebruik van het transmissienet (elektriciteit) - exclusief federale bijdrage elektriciteit</t>
  </si>
  <si>
    <t>FLUVIUS ANTWERPEN</t>
  </si>
  <si>
    <t>FLUVIUS LIMBURG</t>
  </si>
  <si>
    <t>FLUVIUS WEST</t>
  </si>
  <si>
    <t>IMEWO</t>
  </si>
  <si>
    <t>INTERGEM</t>
  </si>
  <si>
    <t>IVEKA</t>
  </si>
  <si>
    <t>IVERLEK</t>
  </si>
  <si>
    <t>SIBELGAS</t>
  </si>
  <si>
    <t>PBE</t>
  </si>
  <si>
    <t>ALLE DNB'S</t>
  </si>
  <si>
    <t>OMSCHRIJVING EXOGENE KOSTENRUBRIEKEN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</si>
</sst>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Up">
        <bgColor theme="0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2" fillId="2" borderId="0" xfId="2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3" applyNumberFormat="1" applyFont="1" applyFill="1" applyBorder="1" applyAlignment="1" applyProtection="1">
      <alignment horizontal="right" vertical="center"/>
    </xf>
    <xf numFmtId="4" fontId="3" fillId="0" borderId="1" xfId="4" applyNumberFormat="1" applyFont="1" applyBorder="1" applyAlignment="1">
      <alignment horizontal="left" vertical="center" wrapText="1"/>
    </xf>
    <xf numFmtId="44" fontId="1" fillId="2" borderId="0" xfId="3" applyFont="1" applyFill="1" applyBorder="1" applyAlignment="1" applyProtection="1">
      <alignment vertical="center"/>
    </xf>
    <xf numFmtId="4" fontId="4" fillId="0" borderId="1" xfId="4" applyNumberFormat="1" applyFont="1" applyBorder="1" applyAlignment="1">
      <alignment horizontal="left" vertical="center" wrapText="1"/>
    </xf>
    <xf numFmtId="164" fontId="4" fillId="2" borderId="1" xfId="3" applyNumberFormat="1" applyFont="1" applyFill="1" applyBorder="1" applyAlignment="1" applyProtection="1">
      <alignment vertical="center"/>
    </xf>
    <xf numFmtId="164" fontId="4" fillId="3" borderId="1" xfId="3" applyNumberFormat="1" applyFont="1" applyFill="1" applyBorder="1" applyAlignment="1" applyProtection="1">
      <alignment vertical="center"/>
    </xf>
    <xf numFmtId="4" fontId="4" fillId="2" borderId="1" xfId="4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44" fontId="3" fillId="2" borderId="1" xfId="3" applyFont="1" applyFill="1" applyBorder="1" applyAlignment="1" applyProtection="1">
      <alignment horizontal="center" vertical="center"/>
    </xf>
    <xf numFmtId="0" fontId="1" fillId="2" borderId="0" xfId="0" applyFont="1" applyFill="1" applyAlignment="1">
      <alignment vertical="center" wrapText="1"/>
    </xf>
    <xf numFmtId="3" fontId="1" fillId="2" borderId="1" xfId="3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 vertical="center" wrapText="1" indent="2"/>
    </xf>
    <xf numFmtId="164" fontId="1" fillId="2" borderId="1" xfId="3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 wrapText="1"/>
    </xf>
    <xf numFmtId="10" fontId="2" fillId="2" borderId="1" xfId="1" applyNumberFormat="1" applyFont="1" applyFill="1" applyBorder="1" applyAlignment="1" applyProtection="1">
      <alignment horizontal="right" vertical="center"/>
    </xf>
    <xf numFmtId="164" fontId="1" fillId="2" borderId="1" xfId="3" applyNumberFormat="1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vertical="center"/>
    </xf>
    <xf numFmtId="164" fontId="1" fillId="2" borderId="1" xfId="3" applyNumberFormat="1" applyFont="1" applyFill="1" applyBorder="1" applyAlignment="1" applyProtection="1">
      <alignment vertical="center"/>
    </xf>
    <xf numFmtId="164" fontId="2" fillId="2" borderId="1" xfId="3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>
      <alignment horizontal="left" vertical="center" wrapText="1" indent="2"/>
    </xf>
    <xf numFmtId="0" fontId="1" fillId="2" borderId="1" xfId="0" applyFont="1" applyFill="1" applyBorder="1" applyAlignment="1">
      <alignment vertical="center" wrapText="1"/>
    </xf>
    <xf numFmtId="164" fontId="1" fillId="2" borderId="5" xfId="3" applyNumberFormat="1" applyFont="1" applyFill="1" applyBorder="1" applyAlignment="1" applyProtection="1">
      <alignment vertical="center"/>
    </xf>
    <xf numFmtId="0" fontId="2" fillId="2" borderId="5" xfId="0" applyFont="1" applyFill="1" applyBorder="1" applyAlignment="1">
      <alignment horizontal="right" vertical="center" wrapText="1"/>
    </xf>
    <xf numFmtId="164" fontId="1" fillId="2" borderId="0" xfId="3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164" fontId="2" fillId="2" borderId="1" xfId="3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left" vertical="center" wrapText="1"/>
    </xf>
    <xf numFmtId="164" fontId="1" fillId="2" borderId="6" xfId="3" applyNumberFormat="1" applyFont="1" applyFill="1" applyBorder="1" applyAlignment="1" applyProtection="1">
      <alignment vertical="center"/>
    </xf>
    <xf numFmtId="0" fontId="1" fillId="2" borderId="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 indent="4"/>
    </xf>
    <xf numFmtId="164" fontId="2" fillId="2" borderId="1" xfId="3" applyNumberFormat="1" applyFont="1" applyFill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>
      <alignment horizontal="left" vertical="center" wrapText="1"/>
    </xf>
    <xf numFmtId="44" fontId="1" fillId="2" borderId="5" xfId="3" applyFont="1" applyFill="1" applyBorder="1" applyAlignment="1" applyProtection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10" fontId="2" fillId="2" borderId="1" xfId="1" applyNumberFormat="1" applyFont="1" applyFill="1" applyBorder="1" applyAlignment="1" applyProtection="1">
      <alignment vertical="center"/>
      <protection locked="0"/>
    </xf>
    <xf numFmtId="164" fontId="3" fillId="2" borderId="1" xfId="3" applyNumberFormat="1" applyFont="1" applyFill="1" applyBorder="1" applyAlignment="1" applyProtection="1">
      <alignment vertical="center"/>
    </xf>
    <xf numFmtId="3" fontId="2" fillId="2" borderId="1" xfId="3" applyNumberFormat="1" applyFont="1" applyFill="1" applyBorder="1" applyAlignment="1" applyProtection="1">
      <alignment horizontal="left" vertical="center" indent="2"/>
      <protection locked="0"/>
    </xf>
    <xf numFmtId="0" fontId="2" fillId="2" borderId="0" xfId="0" applyFont="1" applyFill="1" applyAlignment="1">
      <alignment vertical="center"/>
    </xf>
    <xf numFmtId="164" fontId="2" fillId="2" borderId="1" xfId="3" applyNumberFormat="1" applyFont="1" applyFill="1" applyBorder="1" applyAlignment="1" applyProtection="1">
      <alignment horizontal="right" vertical="center" indent="1"/>
    </xf>
    <xf numFmtId="164" fontId="2" fillId="2" borderId="1" xfId="3" applyNumberFormat="1" applyFont="1" applyFill="1" applyBorder="1" applyAlignment="1" applyProtection="1">
      <alignment horizontal="right" vertical="center" indent="2"/>
    </xf>
    <xf numFmtId="164" fontId="2" fillId="2" borderId="1" xfId="3" applyNumberFormat="1" applyFont="1" applyFill="1" applyBorder="1" applyAlignment="1" applyProtection="1">
      <alignment horizontal="right" vertical="center" indent="1"/>
      <protection locked="0"/>
    </xf>
    <xf numFmtId="10" fontId="2" fillId="2" borderId="1" xfId="1" applyNumberFormat="1" applyFont="1" applyFill="1" applyBorder="1" applyAlignment="1" applyProtection="1">
      <alignment horizontal="left" vertical="center" indent="6"/>
      <protection locked="0"/>
    </xf>
    <xf numFmtId="10" fontId="2" fillId="2" borderId="1" xfId="1" applyNumberFormat="1" applyFont="1" applyFill="1" applyBorder="1" applyAlignment="1" applyProtection="1">
      <alignment horizontal="right" vertical="center" indent="1"/>
    </xf>
    <xf numFmtId="164" fontId="1" fillId="2" borderId="1" xfId="3" applyNumberFormat="1" applyFont="1" applyFill="1" applyBorder="1" applyAlignment="1" applyProtection="1">
      <alignment horizontal="left" vertical="center" indent="3"/>
      <protection locked="0"/>
    </xf>
    <xf numFmtId="164" fontId="1" fillId="2" borderId="1" xfId="3" applyNumberFormat="1" applyFont="1" applyFill="1" applyBorder="1" applyAlignment="1" applyProtection="1">
      <alignment horizontal="left" vertical="center" indent="3"/>
    </xf>
    <xf numFmtId="4" fontId="6" fillId="0" borderId="2" xfId="4" applyNumberFormat="1" applyFont="1" applyBorder="1" applyAlignment="1">
      <alignment horizontal="center" vertical="center" wrapText="1"/>
    </xf>
    <xf numFmtId="4" fontId="6" fillId="0" borderId="4" xfId="4" applyNumberFormat="1" applyFont="1" applyBorder="1" applyAlignment="1">
      <alignment horizontal="center" vertical="center" wrapText="1"/>
    </xf>
    <xf numFmtId="4" fontId="6" fillId="0" borderId="3" xfId="4" applyNumberFormat="1" applyFont="1" applyBorder="1" applyAlignment="1">
      <alignment horizontal="center" vertical="center" wrapText="1"/>
    </xf>
    <xf numFmtId="44" fontId="0" fillId="2" borderId="1" xfId="3" applyFont="1" applyFill="1" applyBorder="1" applyAlignment="1" applyProtection="1">
      <alignment horizontal="center" vertical="center"/>
    </xf>
  </cellXfs>
  <cellStyles count="5">
    <cellStyle name="Normal 2" xfId="2" xr:uid="{878C8393-3386-4035-B5BA-1F438E71A11F}"/>
    <cellStyle name="Procent" xfId="1" builtinId="5"/>
    <cellStyle name="Standaard" xfId="0" builtinId="0"/>
    <cellStyle name="Standaard_Balans IL-Glob. PLAU" xfId="4" xr:uid="{2C5E52CA-BC7F-478B-98A6-196B9EFD44D1}"/>
    <cellStyle name="Valuta 2" xfId="3" xr:uid="{0C4524A1-2EE5-4C93-8B91-4083FF1EDE2B}"/>
  </cellStyles>
  <dxfs count="22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ononline.sharepoint.com/FIN/CONTR/BUDGET&amp;TARIEF/INTERNE%20RAPPORTERING/ANALYSES/2017/3%20Werkbestanden/Uitwisseling%20gemeenten/Model_Iveg_imea_DEF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/>
      <sheetData sheetId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ragen"/>
      <sheetName val="Versiebeheer"/>
      <sheetName val="B_gem_ELEK"/>
      <sheetName val="B_gem_GAS"/>
      <sheetName val="Scen123"/>
      <sheetName val="Cont"/>
      <sheetName val="Cont_gemeenten"/>
      <sheetName val="C_EL_kwh_DET"/>
      <sheetName val="B_GAS"/>
      <sheetName val="C_GAS_kwh"/>
      <sheetName val="C_GAS_kwh_ex_saldi"/>
      <sheetName val="SleutelAllen"/>
      <sheetName val="Info"/>
      <sheetName val="B_ELEK"/>
      <sheetName val="C_EL_kW"/>
      <sheetName val="C_EL_kW_excl_saldi"/>
      <sheetName val="C_EL_kwh"/>
      <sheetName val="C_EL_ex_saldi"/>
      <sheetName val="C_EL_ex_saldi_ex_GSC"/>
      <sheetName val="Tbl RAB_kWh_EAN per gemeente"/>
      <sheetName val="Beschr_model"/>
      <sheetName val="Impact_VDS"/>
      <sheetName val="Gem"/>
      <sheetName val="Gem_verbruik_gem"/>
      <sheetName val="raming bonus"/>
      <sheetName val="Res_fusie (2)"/>
      <sheetName val="Impact_tarief_18_19"/>
      <sheetName val="Res_fusie"/>
      <sheetName val="Samenvatting terugnames ELE"/>
      <sheetName val="Verkl_verschil"/>
      <sheetName val="DB_hoofdgemeente (2)"/>
      <sheetName val="SleutelEan"/>
      <sheetName val="Sleutelkwh"/>
      <sheetName val="SleutelPV"/>
      <sheetName val="SleutelRAB"/>
      <sheetName val="SleutelEAN_kW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2">
          <cell r="O2">
            <v>0.5</v>
          </cell>
        </row>
        <row r="3">
          <cell r="O3">
            <v>0.5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AEB3D-CDA1-4E98-AE69-15FB728F8CF5}">
  <dimension ref="A1:R216"/>
  <sheetViews>
    <sheetView tabSelected="1" topLeftCell="B1" zoomScale="85" zoomScaleNormal="85" workbookViewId="0">
      <pane xSplit="1" ySplit="11" topLeftCell="C198" activePane="bottomRight" state="frozen"/>
      <selection activeCell="B1" sqref="B1"/>
      <selection pane="topRight" activeCell="C1" sqref="C1"/>
      <selection pane="bottomLeft" activeCell="B12" sqref="B12"/>
      <selection pane="bottomRight" activeCell="C212" sqref="C212"/>
    </sheetView>
  </sheetViews>
  <sheetFormatPr defaultColWidth="8.81640625" defaultRowHeight="12.5" x14ac:dyDescent="0.25"/>
  <cols>
    <col min="1" max="1" width="3.453125" style="1" customWidth="1"/>
    <col min="2" max="2" width="60.453125" style="2" customWidth="1"/>
    <col min="3" max="13" width="26.1796875" style="1" customWidth="1"/>
    <col min="14" max="16384" width="8.81640625" style="1"/>
  </cols>
  <sheetData>
    <row r="1" spans="1:18" ht="13" x14ac:dyDescent="0.25">
      <c r="B1" s="48"/>
      <c r="N1" s="27"/>
      <c r="O1" s="27"/>
      <c r="P1" s="27"/>
      <c r="Q1" s="27"/>
      <c r="R1" s="27"/>
    </row>
    <row r="2" spans="1:18" x14ac:dyDescent="0.25">
      <c r="N2" s="27"/>
      <c r="O2" s="27"/>
      <c r="P2" s="27"/>
      <c r="Q2" s="27"/>
      <c r="R2" s="27"/>
    </row>
    <row r="3" spans="1:18" ht="13" x14ac:dyDescent="0.25">
      <c r="C3" s="47" t="s">
        <v>16</v>
      </c>
      <c r="D3" s="47" t="s">
        <v>16</v>
      </c>
      <c r="E3" s="47" t="s">
        <v>16</v>
      </c>
      <c r="F3" s="47" t="s">
        <v>16</v>
      </c>
      <c r="G3" s="47" t="s">
        <v>16</v>
      </c>
      <c r="H3" s="47" t="s">
        <v>16</v>
      </c>
      <c r="I3" s="47" t="s">
        <v>16</v>
      </c>
      <c r="J3" s="47" t="s">
        <v>16</v>
      </c>
      <c r="K3" s="47" t="s">
        <v>16</v>
      </c>
      <c r="L3" s="47" t="s">
        <v>16</v>
      </c>
      <c r="M3" s="47" t="s">
        <v>16</v>
      </c>
      <c r="N3" s="27"/>
      <c r="O3" s="27"/>
      <c r="P3" s="27"/>
      <c r="Q3" s="27"/>
      <c r="R3" s="27"/>
    </row>
    <row r="4" spans="1:18" ht="13" x14ac:dyDescent="0.25">
      <c r="C4" s="46" t="s">
        <v>79</v>
      </c>
      <c r="D4" s="46" t="s">
        <v>79</v>
      </c>
      <c r="E4" s="46" t="s">
        <v>79</v>
      </c>
      <c r="F4" s="46" t="s">
        <v>79</v>
      </c>
      <c r="G4" s="46" t="s">
        <v>79</v>
      </c>
      <c r="H4" s="46" t="s">
        <v>79</v>
      </c>
      <c r="I4" s="46" t="s">
        <v>79</v>
      </c>
      <c r="J4" s="46" t="s">
        <v>79</v>
      </c>
      <c r="K4" s="46" t="s">
        <v>79</v>
      </c>
      <c r="L4" s="46" t="s">
        <v>79</v>
      </c>
      <c r="M4" s="46" t="s">
        <v>79</v>
      </c>
      <c r="N4" s="27"/>
      <c r="O4" s="27"/>
      <c r="P4" s="27"/>
      <c r="Q4" s="27"/>
      <c r="R4" s="27"/>
    </row>
    <row r="5" spans="1:18" ht="13" x14ac:dyDescent="0.25">
      <c r="C5" s="46">
        <v>2021</v>
      </c>
      <c r="D5" s="46">
        <v>2021</v>
      </c>
      <c r="E5" s="46">
        <v>2021</v>
      </c>
      <c r="F5" s="46">
        <v>2021</v>
      </c>
      <c r="G5" s="46">
        <v>2021</v>
      </c>
      <c r="H5" s="46">
        <v>2021</v>
      </c>
      <c r="I5" s="46">
        <v>2021</v>
      </c>
      <c r="J5" s="46">
        <v>2021</v>
      </c>
      <c r="K5" s="46">
        <v>2021</v>
      </c>
      <c r="L5" s="46">
        <v>2021</v>
      </c>
      <c r="M5" s="46">
        <v>2021</v>
      </c>
      <c r="N5" s="27"/>
      <c r="O5" s="27"/>
      <c r="P5" s="27"/>
      <c r="Q5" s="27"/>
      <c r="R5" s="27"/>
    </row>
    <row r="6" spans="1:18" ht="13" x14ac:dyDescent="0.25">
      <c r="C6" s="46" t="s">
        <v>118</v>
      </c>
      <c r="D6" s="46" t="s">
        <v>109</v>
      </c>
      <c r="E6" s="46" t="s">
        <v>110</v>
      </c>
      <c r="F6" s="46" t="s">
        <v>111</v>
      </c>
      <c r="G6" s="46" t="s">
        <v>80</v>
      </c>
      <c r="H6" s="46" t="s">
        <v>112</v>
      </c>
      <c r="I6" s="46" t="s">
        <v>113</v>
      </c>
      <c r="J6" s="46" t="s">
        <v>114</v>
      </c>
      <c r="K6" s="46" t="s">
        <v>115</v>
      </c>
      <c r="L6" s="46" t="s">
        <v>117</v>
      </c>
      <c r="M6" s="46" t="s">
        <v>116</v>
      </c>
      <c r="N6" s="27"/>
      <c r="O6" s="27"/>
      <c r="P6" s="27"/>
      <c r="Q6" s="27"/>
      <c r="R6" s="27"/>
    </row>
    <row r="7" spans="1:18" ht="13" x14ac:dyDescent="0.25">
      <c r="C7" s="46" t="s">
        <v>81</v>
      </c>
      <c r="D7" s="46" t="s">
        <v>81</v>
      </c>
      <c r="E7" s="46" t="s">
        <v>81</v>
      </c>
      <c r="F7" s="46" t="s">
        <v>81</v>
      </c>
      <c r="G7" s="46" t="s">
        <v>81</v>
      </c>
      <c r="H7" s="46" t="s">
        <v>81</v>
      </c>
      <c r="I7" s="46" t="s">
        <v>81</v>
      </c>
      <c r="J7" s="46" t="s">
        <v>81</v>
      </c>
      <c r="K7" s="46" t="s">
        <v>81</v>
      </c>
      <c r="L7" s="46" t="s">
        <v>81</v>
      </c>
      <c r="M7" s="46" t="s">
        <v>81</v>
      </c>
      <c r="N7" s="27"/>
      <c r="O7" s="27"/>
      <c r="P7" s="27"/>
      <c r="Q7" s="27"/>
      <c r="R7" s="27"/>
    </row>
    <row r="8" spans="1:18" ht="13" x14ac:dyDescent="0.25"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27"/>
      <c r="O8" s="27"/>
      <c r="P8" s="27"/>
      <c r="Q8" s="27"/>
      <c r="R8" s="27"/>
    </row>
    <row r="9" spans="1:18" ht="13" customHeight="1" x14ac:dyDescent="0.25">
      <c r="B9" s="61" t="s">
        <v>119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27"/>
      <c r="O9" s="27"/>
      <c r="P9" s="27"/>
      <c r="Q9" s="27"/>
      <c r="R9" s="27"/>
    </row>
    <row r="10" spans="1:18" x14ac:dyDescent="0.25">
      <c r="B10" s="62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27"/>
      <c r="O10" s="27"/>
      <c r="P10" s="27"/>
      <c r="Q10" s="27"/>
      <c r="R10" s="27"/>
    </row>
    <row r="11" spans="1:18" x14ac:dyDescent="0.25">
      <c r="B11" s="63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27"/>
      <c r="O11" s="27"/>
      <c r="P11" s="27"/>
      <c r="Q11" s="27"/>
      <c r="R11" s="27"/>
    </row>
    <row r="12" spans="1:18" ht="7" customHeight="1" x14ac:dyDescent="0.25">
      <c r="N12" s="27"/>
      <c r="O12" s="27"/>
      <c r="P12" s="27"/>
      <c r="Q12" s="27"/>
      <c r="R12" s="27"/>
    </row>
    <row r="13" spans="1:18" ht="6" customHeight="1" x14ac:dyDescent="0.25">
      <c r="N13" s="27"/>
      <c r="O13" s="27"/>
      <c r="P13" s="27"/>
      <c r="Q13" s="27"/>
      <c r="R13" s="27"/>
    </row>
    <row r="14" spans="1:18" ht="17.5" customHeight="1" x14ac:dyDescent="0.25">
      <c r="B14" s="49" t="s">
        <v>78</v>
      </c>
      <c r="N14" s="27"/>
      <c r="O14" s="27"/>
      <c r="P14" s="27"/>
      <c r="Q14" s="27"/>
      <c r="R14" s="27"/>
    </row>
    <row r="15" spans="1:18" x14ac:dyDescent="0.25">
      <c r="N15" s="27"/>
      <c r="O15" s="27"/>
      <c r="P15" s="27"/>
      <c r="Q15" s="27"/>
      <c r="R15" s="27"/>
    </row>
    <row r="16" spans="1:18" ht="55.5" customHeight="1" x14ac:dyDescent="0.25">
      <c r="A16" s="1">
        <v>1</v>
      </c>
      <c r="B16" s="18" t="s">
        <v>82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7"/>
      <c r="O16" s="27"/>
      <c r="P16" s="27"/>
      <c r="Q16" s="27"/>
      <c r="R16" s="27"/>
    </row>
    <row r="17" spans="1:18" ht="28" customHeight="1" x14ac:dyDescent="0.25">
      <c r="B17" s="30" t="s">
        <v>4</v>
      </c>
      <c r="C17" s="29">
        <f>SUM(D17:M17)</f>
        <v>-3635312.3027302604</v>
      </c>
      <c r="D17" s="29">
        <v>-626296.68584235758</v>
      </c>
      <c r="E17" s="29">
        <v>-490471.49758866988</v>
      </c>
      <c r="F17" s="29">
        <v>-269022.37159135781</v>
      </c>
      <c r="G17" s="29">
        <v>-693881.35615723894</v>
      </c>
      <c r="H17" s="29">
        <v>-466876.47100220004</v>
      </c>
      <c r="I17" s="29">
        <v>-364501.64852805249</v>
      </c>
      <c r="J17" s="29">
        <v>-376362.6632880168</v>
      </c>
      <c r="K17" s="29">
        <v>-418375.6102824902</v>
      </c>
      <c r="L17" s="29">
        <v>42679.152407424095</v>
      </c>
      <c r="M17" s="29">
        <v>27796.849142699211</v>
      </c>
    </row>
    <row r="18" spans="1:18" x14ac:dyDescent="0.25">
      <c r="N18" s="27"/>
      <c r="O18" s="27"/>
      <c r="P18" s="27"/>
      <c r="Q18" s="27"/>
      <c r="R18" s="27"/>
    </row>
    <row r="19" spans="1:18" ht="72.75" customHeight="1" x14ac:dyDescent="0.25">
      <c r="A19" s="1">
        <f>+A16+1</f>
        <v>2</v>
      </c>
      <c r="B19" s="18" t="s">
        <v>39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8" ht="28" customHeight="1" x14ac:dyDescent="0.25">
      <c r="B20" s="30" t="s">
        <v>4</v>
      </c>
      <c r="C20" s="29">
        <f>SUM(D20:M20)</f>
        <v>22920537.836806756</v>
      </c>
      <c r="D20" s="29">
        <v>2759532.4361377056</v>
      </c>
      <c r="E20" s="29">
        <v>-1032396.4164410417</v>
      </c>
      <c r="F20" s="29">
        <v>-349854.79445330281</v>
      </c>
      <c r="G20" s="29">
        <v>4658859.0727518192</v>
      </c>
      <c r="H20" s="29">
        <v>4242567.7829521038</v>
      </c>
      <c r="I20" s="29">
        <v>1878015.3075411988</v>
      </c>
      <c r="J20" s="29">
        <v>4971744.2147720782</v>
      </c>
      <c r="K20" s="29">
        <v>4603483.5347770425</v>
      </c>
      <c r="L20" s="29">
        <v>548202.6245939869</v>
      </c>
      <c r="M20" s="29">
        <v>640384.07417516259</v>
      </c>
    </row>
    <row r="21" spans="1:18" x14ac:dyDescent="0.25">
      <c r="N21" s="27"/>
      <c r="O21" s="27"/>
      <c r="P21" s="27"/>
      <c r="Q21" s="27"/>
      <c r="R21" s="27"/>
    </row>
    <row r="22" spans="1:18" ht="59.25" customHeight="1" x14ac:dyDescent="0.25">
      <c r="A22" s="1">
        <f>A19+1</f>
        <v>3</v>
      </c>
      <c r="B22" s="18" t="s">
        <v>38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8" ht="28" customHeight="1" x14ac:dyDescent="0.25">
      <c r="B23" s="30" t="s">
        <v>4</v>
      </c>
      <c r="C23" s="5">
        <f>SUM(D23:M23)</f>
        <v>-3054156.0826154477</v>
      </c>
      <c r="D23" s="5">
        <v>-438489.66461357888</v>
      </c>
      <c r="E23" s="5">
        <v>-326782.87214873306</v>
      </c>
      <c r="F23" s="5">
        <v>-119680.89883262537</v>
      </c>
      <c r="G23" s="5">
        <v>-513291.56757134385</v>
      </c>
      <c r="H23" s="5">
        <v>-563898.67030649853</v>
      </c>
      <c r="I23" s="5">
        <v>-253564.19565395953</v>
      </c>
      <c r="J23" s="5">
        <v>-215174.52784205042</v>
      </c>
      <c r="K23" s="5">
        <v>-482685.69565667748</v>
      </c>
      <c r="L23" s="5">
        <v>-82801.671179886209</v>
      </c>
      <c r="M23" s="5">
        <v>-57786.318810094468</v>
      </c>
    </row>
    <row r="24" spans="1:18" x14ac:dyDescent="0.25">
      <c r="B24" s="36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8" ht="59.25" customHeight="1" x14ac:dyDescent="0.25">
      <c r="A25" s="1">
        <f>+A22+1</f>
        <v>4</v>
      </c>
      <c r="B25" s="18" t="s">
        <v>77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8" ht="28" customHeight="1" x14ac:dyDescent="0.25">
      <c r="B26" s="30" t="s">
        <v>4</v>
      </c>
      <c r="C26" s="42">
        <f>SUM(D26:M26)</f>
        <v>27524.819595334877</v>
      </c>
      <c r="D26" s="42">
        <v>18790.279540976262</v>
      </c>
      <c r="E26" s="42">
        <v>-15129.086666633608</v>
      </c>
      <c r="F26" s="42">
        <v>-3388.4708476786618</v>
      </c>
      <c r="G26" s="42">
        <v>-10071.285775</v>
      </c>
      <c r="H26" s="42">
        <v>5777.3907749999998</v>
      </c>
      <c r="I26" s="42">
        <v>-2151.855</v>
      </c>
      <c r="J26" s="42">
        <v>33649.120560001538</v>
      </c>
      <c r="K26" s="42">
        <v>-3206.875</v>
      </c>
      <c r="L26" s="42">
        <v>-1011.8679913306551</v>
      </c>
      <c r="M26" s="42">
        <v>4267.47</v>
      </c>
    </row>
    <row r="27" spans="1:18" x14ac:dyDescent="0.25">
      <c r="B27" s="36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1:18" ht="31.5" customHeight="1" x14ac:dyDescent="0.25">
      <c r="A28" s="1">
        <f>+A25+1</f>
        <v>5</v>
      </c>
      <c r="B28" s="18" t="s">
        <v>76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8" ht="28" customHeight="1" x14ac:dyDescent="0.25">
      <c r="B29" s="30" t="s">
        <v>4</v>
      </c>
      <c r="C29" s="29">
        <f>SUM(D29:M29)</f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</row>
    <row r="30" spans="1:18" x14ac:dyDescent="0.25">
      <c r="B30" s="20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</row>
    <row r="31" spans="1:18" ht="31" customHeight="1" x14ac:dyDescent="0.25">
      <c r="A31" s="1">
        <f>+A28+1</f>
        <v>6</v>
      </c>
      <c r="B31" s="31" t="s">
        <v>75</v>
      </c>
      <c r="C31" s="26">
        <f t="shared" ref="C31" si="0">C32*C39</f>
        <v>0</v>
      </c>
      <c r="D31" s="26">
        <f t="shared" ref="D31:E31" si="1">D32*D39</f>
        <v>0</v>
      </c>
      <c r="E31" s="26">
        <f t="shared" si="1"/>
        <v>0</v>
      </c>
      <c r="F31" s="26">
        <f t="shared" ref="F31" si="2">F32*F39</f>
        <v>0</v>
      </c>
      <c r="G31" s="26">
        <f t="shared" ref="G31" si="3">G32*G39</f>
        <v>0</v>
      </c>
      <c r="H31" s="26">
        <f t="shared" ref="H31" si="4">H32*H39</f>
        <v>0</v>
      </c>
      <c r="I31" s="26">
        <f t="shared" ref="I31:J31" si="5">I32*I39</f>
        <v>0</v>
      </c>
      <c r="J31" s="26">
        <f t="shared" si="5"/>
        <v>0</v>
      </c>
      <c r="K31" s="26">
        <f t="shared" ref="J31:K31" si="6">K32*K39</f>
        <v>0</v>
      </c>
      <c r="L31" s="26">
        <f t="shared" ref="L31:M31" si="7">L32*L39</f>
        <v>0</v>
      </c>
      <c r="M31" s="26">
        <f t="shared" si="7"/>
        <v>0</v>
      </c>
    </row>
    <row r="32" spans="1:18" ht="48" customHeight="1" x14ac:dyDescent="0.25">
      <c r="B32" s="43" t="s">
        <v>83</v>
      </c>
      <c r="C32" s="55">
        <f t="shared" ref="C32" si="8">+AVERAGE(C33,C36)</f>
        <v>0</v>
      </c>
      <c r="D32" s="55">
        <f t="shared" ref="D32:E32" si="9">+AVERAGE(D33,D36)</f>
        <v>0</v>
      </c>
      <c r="E32" s="55">
        <f t="shared" si="9"/>
        <v>0</v>
      </c>
      <c r="F32" s="55">
        <f t="shared" ref="F32" si="10">+AVERAGE(F33,F36)</f>
        <v>0</v>
      </c>
      <c r="G32" s="55">
        <f t="shared" ref="G32" si="11">+AVERAGE(G33,G36)</f>
        <v>0</v>
      </c>
      <c r="H32" s="55">
        <f t="shared" ref="H32" si="12">+AVERAGE(H33,H36)</f>
        <v>0</v>
      </c>
      <c r="I32" s="55">
        <f t="shared" ref="I32:J32" si="13">+AVERAGE(I33,I36)</f>
        <v>0</v>
      </c>
      <c r="J32" s="55">
        <f t="shared" si="13"/>
        <v>0</v>
      </c>
      <c r="K32" s="55">
        <f t="shared" ref="J32:K32" si="14">+AVERAGE(K33,K36)</f>
        <v>0</v>
      </c>
      <c r="L32" s="55">
        <f t="shared" ref="L32:M32" si="15">+AVERAGE(L33,L36)</f>
        <v>0</v>
      </c>
      <c r="M32" s="55">
        <f t="shared" si="15"/>
        <v>0</v>
      </c>
    </row>
    <row r="33" spans="1:13" ht="36.75" customHeight="1" x14ac:dyDescent="0.25">
      <c r="B33" s="30" t="s">
        <v>84</v>
      </c>
      <c r="C33" s="56">
        <f t="shared" ref="C33" si="16">+SUM(C34:C35)</f>
        <v>0</v>
      </c>
      <c r="D33" s="56">
        <f t="shared" ref="D33:E33" si="17">+SUM(D34:D35)</f>
        <v>0</v>
      </c>
      <c r="E33" s="56">
        <f t="shared" si="17"/>
        <v>0</v>
      </c>
      <c r="F33" s="56">
        <f t="shared" ref="F33" si="18">+SUM(F34:F35)</f>
        <v>0</v>
      </c>
      <c r="G33" s="56">
        <f t="shared" ref="G33" si="19">+SUM(G34:G35)</f>
        <v>0</v>
      </c>
      <c r="H33" s="56">
        <f t="shared" ref="H33" si="20">+SUM(H34:H35)</f>
        <v>0</v>
      </c>
      <c r="I33" s="56">
        <f t="shared" ref="I33" si="21">+SUM(I34:I35)</f>
        <v>0</v>
      </c>
      <c r="J33" s="56">
        <f t="shared" ref="J33:K33" si="22">+SUM(J34:J35)</f>
        <v>0</v>
      </c>
      <c r="K33" s="56">
        <f t="shared" si="22"/>
        <v>0</v>
      </c>
      <c r="L33" s="56">
        <f t="shared" ref="L33:M33" si="23">+SUM(L34:L35)</f>
        <v>0</v>
      </c>
      <c r="M33" s="56">
        <f t="shared" si="23"/>
        <v>0</v>
      </c>
    </row>
    <row r="34" spans="1:13" ht="36.75" customHeight="1" x14ac:dyDescent="0.25">
      <c r="B34" s="41" t="s">
        <v>85</v>
      </c>
      <c r="C34" s="37">
        <f t="shared" ref="C34:C35" si="24">SUM(D34:M34)</f>
        <v>0</v>
      </c>
      <c r="D34" s="37">
        <v>0</v>
      </c>
      <c r="E34" s="37">
        <v>0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</row>
    <row r="35" spans="1:13" ht="36.75" customHeight="1" x14ac:dyDescent="0.25">
      <c r="B35" s="41" t="s">
        <v>86</v>
      </c>
      <c r="C35" s="37">
        <f t="shared" si="24"/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</row>
    <row r="36" spans="1:13" ht="33.65" customHeight="1" x14ac:dyDescent="0.25">
      <c r="B36" s="30" t="s">
        <v>87</v>
      </c>
      <c r="C36" s="56">
        <f t="shared" ref="C36" si="25">+SUM(C37:C38)</f>
        <v>0</v>
      </c>
      <c r="D36" s="56">
        <f t="shared" ref="D36:E36" si="26">+SUM(D37:D38)</f>
        <v>0</v>
      </c>
      <c r="E36" s="56">
        <f t="shared" si="26"/>
        <v>0</v>
      </c>
      <c r="F36" s="56">
        <f t="shared" ref="F36" si="27">+SUM(F37:F38)</f>
        <v>0</v>
      </c>
      <c r="G36" s="56">
        <f t="shared" ref="G36" si="28">+SUM(G37:G38)</f>
        <v>0</v>
      </c>
      <c r="H36" s="56">
        <f t="shared" ref="H36" si="29">+SUM(H37:H38)</f>
        <v>0</v>
      </c>
      <c r="I36" s="56">
        <f t="shared" ref="I36" si="30">+SUM(I37:I38)</f>
        <v>0</v>
      </c>
      <c r="J36" s="56">
        <f t="shared" ref="J36:K36" si="31">+SUM(J37:J38)</f>
        <v>0</v>
      </c>
      <c r="K36" s="56">
        <f t="shared" si="31"/>
        <v>0</v>
      </c>
      <c r="L36" s="56">
        <f t="shared" ref="L36:M36" si="32">+SUM(L37:L38)</f>
        <v>0</v>
      </c>
      <c r="M36" s="56">
        <f t="shared" si="32"/>
        <v>0</v>
      </c>
    </row>
    <row r="37" spans="1:13" ht="36.75" customHeight="1" x14ac:dyDescent="0.25">
      <c r="B37" s="41" t="s">
        <v>88</v>
      </c>
      <c r="C37" s="37">
        <f t="shared" ref="C37:C38" si="33">SUM(D37:M37)</f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</row>
    <row r="38" spans="1:13" ht="36.75" customHeight="1" x14ac:dyDescent="0.25">
      <c r="B38" s="41" t="s">
        <v>89</v>
      </c>
      <c r="C38" s="37">
        <f t="shared" si="33"/>
        <v>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</row>
    <row r="39" spans="1:13" ht="29.25" customHeight="1" x14ac:dyDescent="0.25">
      <c r="B39" s="4" t="s">
        <v>90</v>
      </c>
      <c r="C39" s="57">
        <v>6.1000000000000004E-3</v>
      </c>
      <c r="D39" s="57">
        <v>6.1000000000000004E-3</v>
      </c>
      <c r="E39" s="57">
        <v>6.1000000000000004E-3</v>
      </c>
      <c r="F39" s="57">
        <v>6.1000000000000004E-3</v>
      </c>
      <c r="G39" s="57">
        <v>6.1000000000000004E-3</v>
      </c>
      <c r="H39" s="57">
        <v>6.1000000000000004E-3</v>
      </c>
      <c r="I39" s="57">
        <v>6.1000000000000004E-3</v>
      </c>
      <c r="J39" s="57">
        <v>6.1000000000000004E-3</v>
      </c>
      <c r="K39" s="57">
        <v>6.1000000000000004E-3</v>
      </c>
      <c r="L39" s="57">
        <v>6.1000000000000004E-3</v>
      </c>
      <c r="M39" s="57">
        <v>6.1000000000000004E-3</v>
      </c>
    </row>
    <row r="40" spans="1:13" x14ac:dyDescent="0.25">
      <c r="B40" s="20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</row>
    <row r="41" spans="1:13" ht="32.25" customHeight="1" x14ac:dyDescent="0.25">
      <c r="A41" s="1">
        <f>+A31+1</f>
        <v>7</v>
      </c>
      <c r="B41" s="18" t="s">
        <v>91</v>
      </c>
      <c r="C41" s="26">
        <f t="shared" ref="C41" si="34">+C42*C43</f>
        <v>-114779.23405251051</v>
      </c>
      <c r="D41" s="26">
        <f t="shared" ref="D41:E41" si="35">+D42*D43</f>
        <v>-26740.055162222452</v>
      </c>
      <c r="E41" s="26">
        <f t="shared" si="35"/>
        <v>-23954.059109364822</v>
      </c>
      <c r="F41" s="26">
        <f t="shared" ref="F41" si="36">+F42*F43</f>
        <v>-8878.157371749372</v>
      </c>
      <c r="G41" s="26">
        <f t="shared" ref="G41" si="37">+G42*G43</f>
        <v>-6156.2702877320817</v>
      </c>
      <c r="H41" s="26">
        <f t="shared" ref="H41" si="38">+H42*H43</f>
        <v>-21174.400722386148</v>
      </c>
      <c r="I41" s="26">
        <f t="shared" ref="I41" si="39">+I42*I43</f>
        <v>-13320.422986688309</v>
      </c>
      <c r="J41" s="26">
        <f t="shared" ref="J41:K41" si="40">+J42*J43</f>
        <v>1298.0552638179345</v>
      </c>
      <c r="K41" s="26">
        <f t="shared" si="40"/>
        <v>-12146.209360346735</v>
      </c>
      <c r="L41" s="26">
        <f t="shared" ref="L41:M41" si="41">+L42*L43</f>
        <v>-2994.362845007769</v>
      </c>
      <c r="M41" s="26">
        <f t="shared" si="41"/>
        <v>-713.35147083076811</v>
      </c>
    </row>
    <row r="42" spans="1:13" ht="48.75" customHeight="1" x14ac:dyDescent="0.25">
      <c r="B42" s="4" t="s">
        <v>92</v>
      </c>
      <c r="C42" s="42">
        <f>SUM(D42:M42)</f>
        <v>-76519489.368340343</v>
      </c>
      <c r="D42" s="42">
        <v>-17826703.441481635</v>
      </c>
      <c r="E42" s="42">
        <v>-15969372.739576546</v>
      </c>
      <c r="F42" s="42">
        <v>-5918771.5811662478</v>
      </c>
      <c r="G42" s="42">
        <v>-4104180.191821388</v>
      </c>
      <c r="H42" s="42">
        <v>-14116267.148257431</v>
      </c>
      <c r="I42" s="42">
        <v>-8880281.9911255389</v>
      </c>
      <c r="J42" s="42">
        <v>865370.17587862303</v>
      </c>
      <c r="K42" s="42">
        <v>-8097472.9068978233</v>
      </c>
      <c r="L42" s="42">
        <v>-1996241.896671846</v>
      </c>
      <c r="M42" s="42">
        <v>-475567.6472205121</v>
      </c>
    </row>
    <row r="43" spans="1:13" ht="33" customHeight="1" x14ac:dyDescent="0.25">
      <c r="B43" s="4" t="s">
        <v>90</v>
      </c>
      <c r="C43" s="50">
        <v>1.5E-3</v>
      </c>
      <c r="D43" s="50">
        <v>1.5E-3</v>
      </c>
      <c r="E43" s="50">
        <v>1.5E-3</v>
      </c>
      <c r="F43" s="50">
        <v>1.5E-3</v>
      </c>
      <c r="G43" s="50">
        <v>1.5E-3</v>
      </c>
      <c r="H43" s="50">
        <v>1.5E-3</v>
      </c>
      <c r="I43" s="50">
        <v>1.5E-3</v>
      </c>
      <c r="J43" s="50">
        <v>1.5E-3</v>
      </c>
      <c r="K43" s="50">
        <v>1.5E-3</v>
      </c>
      <c r="L43" s="50">
        <v>1.5E-3</v>
      </c>
      <c r="M43" s="50">
        <v>1.5E-3</v>
      </c>
    </row>
    <row r="44" spans="1:13" x14ac:dyDescent="0.25">
      <c r="B44" s="20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</row>
    <row r="45" spans="1:13" ht="36.65" customHeight="1" x14ac:dyDescent="0.25">
      <c r="A45" s="1">
        <f>A41+1</f>
        <v>8</v>
      </c>
      <c r="B45" s="18" t="s">
        <v>74</v>
      </c>
      <c r="C45" s="26">
        <f t="shared" ref="C45" si="42">C46*C49</f>
        <v>51962.552051662919</v>
      </c>
      <c r="D45" s="26">
        <f t="shared" ref="D45:E45" si="43">D46*D49</f>
        <v>6369.1558194600784</v>
      </c>
      <c r="E45" s="26">
        <f t="shared" si="43"/>
        <v>-1830.4199483501973</v>
      </c>
      <c r="F45" s="26">
        <f t="shared" ref="F45" si="44">F46*F49</f>
        <v>-631.57232350547872</v>
      </c>
      <c r="G45" s="26">
        <f t="shared" ref="G45" si="45">G46*G49</f>
        <v>11031.701714555193</v>
      </c>
      <c r="H45" s="26">
        <f t="shared" ref="H45" si="46">H46*H49</f>
        <v>10010.97119814189</v>
      </c>
      <c r="I45" s="26">
        <f t="shared" ref="I45:J45" si="47">I46*I49</f>
        <v>4381.5607136863364</v>
      </c>
      <c r="J45" s="26">
        <f t="shared" ref="J45:K45" si="48">J46*J49</f>
        <v>8665.6109235229433</v>
      </c>
      <c r="K45" s="26">
        <f t="shared" si="48"/>
        <v>10961.538994164013</v>
      </c>
      <c r="L45" s="26">
        <f t="shared" ref="L45:M45" si="49">L46*L49</f>
        <v>1458.2207121764991</v>
      </c>
      <c r="M45" s="26">
        <f t="shared" si="49"/>
        <v>1545.7842478116386</v>
      </c>
    </row>
    <row r="46" spans="1:13" ht="51" customHeight="1" x14ac:dyDescent="0.25">
      <c r="B46" s="4" t="s">
        <v>93</v>
      </c>
      <c r="C46" s="54">
        <f t="shared" ref="C46" si="50">AVERAGE(C47:C48)</f>
        <v>34641701.367775276</v>
      </c>
      <c r="D46" s="54">
        <f t="shared" ref="D46:E46" si="51">AVERAGE(D47:D48)</f>
        <v>4246103.8796400521</v>
      </c>
      <c r="E46" s="54">
        <f t="shared" si="51"/>
        <v>-1220279.9655667981</v>
      </c>
      <c r="F46" s="54">
        <f t="shared" ref="F46" si="52">AVERAGE(F47:F48)</f>
        <v>-421048.21567031916</v>
      </c>
      <c r="G46" s="54">
        <f t="shared" ref="G46" si="53">AVERAGE(G47:G48)</f>
        <v>7354467.8097034618</v>
      </c>
      <c r="H46" s="54">
        <f t="shared" ref="H46" si="54">AVERAGE(H47:H48)</f>
        <v>6673980.7987612598</v>
      </c>
      <c r="I46" s="54">
        <f t="shared" ref="I46:J46" si="55">AVERAGE(I47:I48)</f>
        <v>2921040.4757908909</v>
      </c>
      <c r="J46" s="54">
        <f t="shared" ref="J46:K46" si="56">AVERAGE(J47:J48)</f>
        <v>5777073.9490152951</v>
      </c>
      <c r="K46" s="54">
        <f t="shared" si="56"/>
        <v>7307692.6627760082</v>
      </c>
      <c r="L46" s="54">
        <f t="shared" ref="L46:M46" si="57">AVERAGE(L47:L48)</f>
        <v>972147.14145099942</v>
      </c>
      <c r="M46" s="54">
        <f t="shared" si="57"/>
        <v>1030522.8318744258</v>
      </c>
    </row>
    <row r="47" spans="1:13" ht="46" customHeight="1" x14ac:dyDescent="0.25">
      <c r="B47" s="30" t="s">
        <v>94</v>
      </c>
      <c r="C47" s="42">
        <f t="shared" ref="C47:C48" si="58">SUM(D47:M47)</f>
        <v>46188935.157033697</v>
      </c>
      <c r="D47" s="42">
        <v>5661471.8395200688</v>
      </c>
      <c r="E47" s="42">
        <v>-1627039.9540890637</v>
      </c>
      <c r="F47" s="42">
        <v>-561397.62089375872</v>
      </c>
      <c r="G47" s="42">
        <v>9805957.0796046164</v>
      </c>
      <c r="H47" s="42">
        <v>8898641.0650150124</v>
      </c>
      <c r="I47" s="42">
        <v>3894720.634387854</v>
      </c>
      <c r="J47" s="42">
        <v>7702765.2653537281</v>
      </c>
      <c r="K47" s="42">
        <v>9743590.2170346789</v>
      </c>
      <c r="L47" s="42">
        <v>1296196.1886013323</v>
      </c>
      <c r="M47" s="42">
        <v>1374030.4424992346</v>
      </c>
    </row>
    <row r="48" spans="1:13" ht="46" customHeight="1" x14ac:dyDescent="0.25">
      <c r="B48" s="30" t="s">
        <v>95</v>
      </c>
      <c r="C48" s="42">
        <f t="shared" si="58"/>
        <v>23094467.578516848</v>
      </c>
      <c r="D48" s="42">
        <v>2830735.9197600349</v>
      </c>
      <c r="E48" s="42">
        <v>-813519.97704453254</v>
      </c>
      <c r="F48" s="42">
        <v>-280698.81044687959</v>
      </c>
      <c r="G48" s="42">
        <v>4902978.5398023082</v>
      </c>
      <c r="H48" s="42">
        <v>4449320.5325075081</v>
      </c>
      <c r="I48" s="42">
        <v>1947360.3171939272</v>
      </c>
      <c r="J48" s="42">
        <v>3851382.6326768631</v>
      </c>
      <c r="K48" s="42">
        <v>4871795.1085173385</v>
      </c>
      <c r="L48" s="42">
        <v>648098.09430066659</v>
      </c>
      <c r="M48" s="42">
        <v>687015.22124961705</v>
      </c>
    </row>
    <row r="49" spans="1:13" ht="32.25" customHeight="1" x14ac:dyDescent="0.25">
      <c r="B49" s="4" t="s">
        <v>90</v>
      </c>
      <c r="C49" s="58">
        <f t="shared" ref="C49:M49" si="59">+$D$43</f>
        <v>1.5E-3</v>
      </c>
      <c r="D49" s="58">
        <f t="shared" si="59"/>
        <v>1.5E-3</v>
      </c>
      <c r="E49" s="58">
        <f t="shared" si="59"/>
        <v>1.5E-3</v>
      </c>
      <c r="F49" s="58">
        <f t="shared" si="59"/>
        <v>1.5E-3</v>
      </c>
      <c r="G49" s="58">
        <f t="shared" si="59"/>
        <v>1.5E-3</v>
      </c>
      <c r="H49" s="58">
        <f t="shared" si="59"/>
        <v>1.5E-3</v>
      </c>
      <c r="I49" s="58">
        <f t="shared" si="59"/>
        <v>1.5E-3</v>
      </c>
      <c r="J49" s="58">
        <f t="shared" si="59"/>
        <v>1.5E-3</v>
      </c>
      <c r="K49" s="58">
        <f t="shared" si="59"/>
        <v>1.5E-3</v>
      </c>
      <c r="L49" s="58">
        <f t="shared" si="59"/>
        <v>1.5E-3</v>
      </c>
      <c r="M49" s="58">
        <f t="shared" si="59"/>
        <v>1.5E-3</v>
      </c>
    </row>
    <row r="50" spans="1:13" x14ac:dyDescent="0.25">
      <c r="B50" s="2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</row>
    <row r="51" spans="1:13" ht="42" customHeight="1" x14ac:dyDescent="0.25">
      <c r="A51" s="1">
        <f>+A45+1</f>
        <v>9</v>
      </c>
      <c r="B51" s="18" t="s">
        <v>73</v>
      </c>
      <c r="C51" s="26">
        <f t="shared" ref="C51" si="60">C52*C55</f>
        <v>-7489.7195460443309</v>
      </c>
      <c r="D51" s="26">
        <f t="shared" ref="D51:E51" si="61">D52*D55</f>
        <v>-1080.1788321849522</v>
      </c>
      <c r="E51" s="26">
        <f t="shared" si="61"/>
        <v>-846.35897184756186</v>
      </c>
      <c r="F51" s="26">
        <f t="shared" ref="F51" si="62">F52*F55</f>
        <v>-301.74834600521478</v>
      </c>
      <c r="G51" s="26">
        <f t="shared" ref="G51" si="63">G52*G55</f>
        <v>-1226.3561399011166</v>
      </c>
      <c r="H51" s="26">
        <f t="shared" ref="H51" si="64">H52*H55</f>
        <v>-1364.4370428792058</v>
      </c>
      <c r="I51" s="26">
        <f t="shared" ref="I51:J51" si="65">I52*I55</f>
        <v>-626.10952530676684</v>
      </c>
      <c r="J51" s="26">
        <f t="shared" si="65"/>
        <v>-525.20005356079162</v>
      </c>
      <c r="K51" s="26">
        <f t="shared" ref="J51:K51" si="66">K52*K55</f>
        <v>-1157.8773793004127</v>
      </c>
      <c r="L51" s="26">
        <f t="shared" ref="L51:M51" si="67">L52*L55</f>
        <v>-220.807351526986</v>
      </c>
      <c r="M51" s="26">
        <f t="shared" si="67"/>
        <v>-140.64590353132297</v>
      </c>
    </row>
    <row r="52" spans="1:13" ht="51" customHeight="1" x14ac:dyDescent="0.25">
      <c r="B52" s="4" t="s">
        <v>96</v>
      </c>
      <c r="C52" s="54">
        <f t="shared" ref="C52" si="68">AVERAGE(C53:C54)</f>
        <v>-4993146.3640295537</v>
      </c>
      <c r="D52" s="54">
        <f t="shared" ref="D52:E52" si="69">AVERAGE(D53:D54)</f>
        <v>-720119.2214566347</v>
      </c>
      <c r="E52" s="54">
        <f t="shared" si="69"/>
        <v>-564239.31456504122</v>
      </c>
      <c r="F52" s="54">
        <f t="shared" ref="F52" si="70">AVERAGE(F53:F54)</f>
        <v>-201165.56400347652</v>
      </c>
      <c r="G52" s="54">
        <f t="shared" ref="G52" si="71">AVERAGE(G53:G54)</f>
        <v>-817570.75993407774</v>
      </c>
      <c r="H52" s="54">
        <f t="shared" ref="H52" si="72">AVERAGE(H53:H54)</f>
        <v>-909624.69525280385</v>
      </c>
      <c r="I52" s="54">
        <f t="shared" ref="I52:J52" si="73">AVERAGE(I53:I54)</f>
        <v>-417406.3502045112</v>
      </c>
      <c r="J52" s="54">
        <f t="shared" si="73"/>
        <v>-350133.36904052773</v>
      </c>
      <c r="K52" s="54">
        <f t="shared" ref="J52:K52" si="74">AVERAGE(K53:K54)</f>
        <v>-771918.25286694174</v>
      </c>
      <c r="L52" s="54">
        <f t="shared" ref="L52:M52" si="75">AVERAGE(L53:L54)</f>
        <v>-147204.90101799066</v>
      </c>
      <c r="M52" s="54">
        <f t="shared" si="75"/>
        <v>-93763.935687548641</v>
      </c>
    </row>
    <row r="53" spans="1:13" ht="46.5" customHeight="1" x14ac:dyDescent="0.25">
      <c r="B53" s="30" t="s">
        <v>97</v>
      </c>
      <c r="C53" s="42">
        <f t="shared" ref="C53:C54" si="76">SUM(D53:M53)</f>
        <v>-6657528.4855316868</v>
      </c>
      <c r="D53" s="42">
        <v>-960158.96210112784</v>
      </c>
      <c r="E53" s="42">
        <v>-752319.08608672163</v>
      </c>
      <c r="F53" s="42">
        <v>-268220.7520046354</v>
      </c>
      <c r="G53" s="42">
        <v>-1090094.3465787703</v>
      </c>
      <c r="H53" s="42">
        <v>-1212832.9270037385</v>
      </c>
      <c r="I53" s="42">
        <v>-556541.80027268163</v>
      </c>
      <c r="J53" s="42">
        <v>-466844.49205403693</v>
      </c>
      <c r="K53" s="42">
        <v>-1029224.3371559223</v>
      </c>
      <c r="L53" s="42">
        <v>-196273.20135732088</v>
      </c>
      <c r="M53" s="42">
        <v>-125018.58091673152</v>
      </c>
    </row>
    <row r="54" spans="1:13" ht="45" customHeight="1" x14ac:dyDescent="0.25">
      <c r="B54" s="30" t="s">
        <v>98</v>
      </c>
      <c r="C54" s="42">
        <f t="shared" si="76"/>
        <v>-3328764.2425274211</v>
      </c>
      <c r="D54" s="42">
        <v>-480079.4808121415</v>
      </c>
      <c r="E54" s="42">
        <v>-376159.54304336075</v>
      </c>
      <c r="F54" s="42">
        <v>-134110.37600231767</v>
      </c>
      <c r="G54" s="42">
        <v>-545047.17328938516</v>
      </c>
      <c r="H54" s="42">
        <v>-606416.46350186935</v>
      </c>
      <c r="I54" s="42">
        <v>-278270.90013634082</v>
      </c>
      <c r="J54" s="42">
        <v>-233422.24602701847</v>
      </c>
      <c r="K54" s="42">
        <v>-514612.1685779611</v>
      </c>
      <c r="L54" s="42">
        <v>-98136.600678660456</v>
      </c>
      <c r="M54" s="42">
        <v>-62509.290458365773</v>
      </c>
    </row>
    <row r="55" spans="1:13" ht="32.25" customHeight="1" x14ac:dyDescent="0.25">
      <c r="B55" s="4" t="s">
        <v>90</v>
      </c>
      <c r="C55" s="58">
        <f t="shared" ref="C55:M55" si="77">+$D$43</f>
        <v>1.5E-3</v>
      </c>
      <c r="D55" s="58">
        <f t="shared" si="77"/>
        <v>1.5E-3</v>
      </c>
      <c r="E55" s="58">
        <f t="shared" si="77"/>
        <v>1.5E-3</v>
      </c>
      <c r="F55" s="58">
        <f t="shared" si="77"/>
        <v>1.5E-3</v>
      </c>
      <c r="G55" s="58">
        <f t="shared" si="77"/>
        <v>1.5E-3</v>
      </c>
      <c r="H55" s="58">
        <f t="shared" si="77"/>
        <v>1.5E-3</v>
      </c>
      <c r="I55" s="58">
        <f t="shared" si="77"/>
        <v>1.5E-3</v>
      </c>
      <c r="J55" s="58">
        <f t="shared" si="77"/>
        <v>1.5E-3</v>
      </c>
      <c r="K55" s="58">
        <f t="shared" si="77"/>
        <v>1.5E-3</v>
      </c>
      <c r="L55" s="58">
        <f t="shared" si="77"/>
        <v>1.5E-3</v>
      </c>
      <c r="M55" s="58">
        <f t="shared" si="77"/>
        <v>1.5E-3</v>
      </c>
    </row>
    <row r="56" spans="1:13" x14ac:dyDescent="0.25">
      <c r="B56" s="2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36" customHeight="1" x14ac:dyDescent="0.25">
      <c r="A57" s="1">
        <f>+A51+1</f>
        <v>10</v>
      </c>
      <c r="B57" s="18" t="s">
        <v>72</v>
      </c>
      <c r="C57" s="26">
        <f t="shared" ref="C57" si="78">C58*C61</f>
        <v>61.930844089503474</v>
      </c>
      <c r="D57" s="26">
        <f t="shared" ref="D57:E57" si="79">D58*D61</f>
        <v>42.278128967196594</v>
      </c>
      <c r="E57" s="26">
        <f t="shared" si="79"/>
        <v>-34.040444999925619</v>
      </c>
      <c r="F57" s="26">
        <f t="shared" ref="F57" si="80">F58*F61</f>
        <v>-7.6240594072769889</v>
      </c>
      <c r="G57" s="26">
        <f t="shared" ref="G57" si="81">G58*G61</f>
        <v>-22.660392993750001</v>
      </c>
      <c r="H57" s="26">
        <f t="shared" ref="H57" si="82">H58*H61</f>
        <v>12.99912924375</v>
      </c>
      <c r="I57" s="26">
        <f t="shared" ref="I57:J57" si="83">I58*I61</f>
        <v>-4.8416737500000009</v>
      </c>
      <c r="J57" s="26">
        <f t="shared" si="83"/>
        <v>75.71052126000346</v>
      </c>
      <c r="K57" s="26">
        <f t="shared" ref="J57:K57" si="84">K58*K61</f>
        <v>-7.2154687500000003</v>
      </c>
      <c r="L57" s="26">
        <f t="shared" ref="L57:M57" si="85">L58*L61</f>
        <v>-2.2767029804939738</v>
      </c>
      <c r="M57" s="26">
        <f t="shared" si="85"/>
        <v>9.6018074999999996</v>
      </c>
    </row>
    <row r="58" spans="1:13" ht="44.25" customHeight="1" x14ac:dyDescent="0.25">
      <c r="B58" s="4" t="s">
        <v>99</v>
      </c>
      <c r="C58" s="54">
        <f t="shared" ref="C58" si="86">AVERAGE(C59:C60)</f>
        <v>41287.229393002315</v>
      </c>
      <c r="D58" s="54">
        <f t="shared" ref="D58:E58" si="87">AVERAGE(D59:D60)</f>
        <v>28185.419311464393</v>
      </c>
      <c r="E58" s="54">
        <f t="shared" si="87"/>
        <v>-22693.629999950412</v>
      </c>
      <c r="F58" s="54">
        <f t="shared" ref="F58" si="88">AVERAGE(F59:F60)</f>
        <v>-5082.7062715179927</v>
      </c>
      <c r="G58" s="54">
        <f t="shared" ref="G58" si="89">AVERAGE(G59:G60)</f>
        <v>-15106.9286625</v>
      </c>
      <c r="H58" s="54">
        <f t="shared" ref="H58" si="90">AVERAGE(H59:H60)</f>
        <v>8666.0861624999998</v>
      </c>
      <c r="I58" s="54">
        <f t="shared" ref="I58:J58" si="91">AVERAGE(I59:I60)</f>
        <v>-3227.7825000000003</v>
      </c>
      <c r="J58" s="54">
        <f t="shared" si="91"/>
        <v>50473.680840002307</v>
      </c>
      <c r="K58" s="54">
        <f t="shared" ref="J58:K58" si="92">AVERAGE(K59:K60)</f>
        <v>-4810.3125</v>
      </c>
      <c r="L58" s="54">
        <f t="shared" ref="L58:M58" si="93">AVERAGE(L59:L60)</f>
        <v>-1517.8019869959826</v>
      </c>
      <c r="M58" s="54">
        <f t="shared" si="93"/>
        <v>6401.2049999999999</v>
      </c>
    </row>
    <row r="59" spans="1:13" ht="46.5" customHeight="1" x14ac:dyDescent="0.25">
      <c r="B59" s="30" t="s">
        <v>100</v>
      </c>
      <c r="C59" s="42">
        <f t="shared" ref="C59:C60" si="94">SUM(D59:M59)</f>
        <v>55049.639190669754</v>
      </c>
      <c r="D59" s="42">
        <v>37580.559081952524</v>
      </c>
      <c r="E59" s="42">
        <v>-30258.173333267216</v>
      </c>
      <c r="F59" s="42">
        <v>-6776.9416953573236</v>
      </c>
      <c r="G59" s="42">
        <v>-20142.571550000001</v>
      </c>
      <c r="H59" s="42">
        <v>11554.78155</v>
      </c>
      <c r="I59" s="42">
        <v>-4303.71</v>
      </c>
      <c r="J59" s="42">
        <v>67298.241120003077</v>
      </c>
      <c r="K59" s="42">
        <v>-6413.75</v>
      </c>
      <c r="L59" s="42">
        <v>-2023.7359826613101</v>
      </c>
      <c r="M59" s="42">
        <v>8534.94</v>
      </c>
    </row>
    <row r="60" spans="1:13" ht="45" customHeight="1" x14ac:dyDescent="0.25">
      <c r="B60" s="30" t="s">
        <v>101</v>
      </c>
      <c r="C60" s="42">
        <f t="shared" si="94"/>
        <v>27524.819595334877</v>
      </c>
      <c r="D60" s="42">
        <v>18790.279540976262</v>
      </c>
      <c r="E60" s="42">
        <v>-15129.086666633608</v>
      </c>
      <c r="F60" s="42">
        <v>-3388.4708476786618</v>
      </c>
      <c r="G60" s="42">
        <v>-10071.285775</v>
      </c>
      <c r="H60" s="42">
        <v>5777.3907749999998</v>
      </c>
      <c r="I60" s="42">
        <v>-2151.855</v>
      </c>
      <c r="J60" s="42">
        <v>33649.120560001538</v>
      </c>
      <c r="K60" s="42">
        <v>-3206.875</v>
      </c>
      <c r="L60" s="42">
        <v>-1011.8679913306551</v>
      </c>
      <c r="M60" s="42">
        <v>4267.47</v>
      </c>
    </row>
    <row r="61" spans="1:13" ht="32.25" customHeight="1" x14ac:dyDescent="0.25">
      <c r="B61" s="4" t="s">
        <v>90</v>
      </c>
      <c r="C61" s="58">
        <f t="shared" ref="C61:M61" si="95">+$D$43</f>
        <v>1.5E-3</v>
      </c>
      <c r="D61" s="58">
        <f t="shared" si="95"/>
        <v>1.5E-3</v>
      </c>
      <c r="E61" s="58">
        <f t="shared" si="95"/>
        <v>1.5E-3</v>
      </c>
      <c r="F61" s="58">
        <f t="shared" si="95"/>
        <v>1.5E-3</v>
      </c>
      <c r="G61" s="58">
        <f t="shared" si="95"/>
        <v>1.5E-3</v>
      </c>
      <c r="H61" s="58">
        <f t="shared" si="95"/>
        <v>1.5E-3</v>
      </c>
      <c r="I61" s="58">
        <f t="shared" si="95"/>
        <v>1.5E-3</v>
      </c>
      <c r="J61" s="58">
        <f t="shared" si="95"/>
        <v>1.5E-3</v>
      </c>
      <c r="K61" s="58">
        <f t="shared" si="95"/>
        <v>1.5E-3</v>
      </c>
      <c r="L61" s="58">
        <f t="shared" si="95"/>
        <v>1.5E-3</v>
      </c>
      <c r="M61" s="58">
        <f t="shared" si="95"/>
        <v>1.5E-3</v>
      </c>
    </row>
    <row r="62" spans="1:13" x14ac:dyDescent="0.25">
      <c r="B62" s="2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36" customHeight="1" x14ac:dyDescent="0.25">
      <c r="A63" s="1">
        <f>+A57+1</f>
        <v>11</v>
      </c>
      <c r="B63" s="18" t="s">
        <v>71</v>
      </c>
      <c r="C63" s="26">
        <f t="shared" ref="C63" si="96">C64*C67</f>
        <v>0</v>
      </c>
      <c r="D63" s="26">
        <f t="shared" ref="D63:E63" si="97">D64*D67</f>
        <v>0</v>
      </c>
      <c r="E63" s="26">
        <f t="shared" si="97"/>
        <v>0</v>
      </c>
      <c r="F63" s="26">
        <f t="shared" ref="F63" si="98">F64*F67</f>
        <v>0</v>
      </c>
      <c r="G63" s="26">
        <f t="shared" ref="G63" si="99">G64*G67</f>
        <v>0</v>
      </c>
      <c r="H63" s="26">
        <f t="shared" ref="H63" si="100">H64*H67</f>
        <v>0</v>
      </c>
      <c r="I63" s="26">
        <f t="shared" ref="I63:J63" si="101">I64*I67</f>
        <v>0</v>
      </c>
      <c r="J63" s="26">
        <f t="shared" si="101"/>
        <v>0</v>
      </c>
      <c r="K63" s="26">
        <f t="shared" ref="J63:K63" si="102">K64*K67</f>
        <v>0</v>
      </c>
      <c r="L63" s="26">
        <f t="shared" ref="L63:M63" si="103">L64*L67</f>
        <v>0</v>
      </c>
      <c r="M63" s="26">
        <f t="shared" si="103"/>
        <v>0</v>
      </c>
    </row>
    <row r="64" spans="1:13" ht="44.25" customHeight="1" x14ac:dyDescent="0.25">
      <c r="B64" s="4" t="s">
        <v>102</v>
      </c>
      <c r="C64" s="54">
        <f t="shared" ref="C64" si="104">AVERAGE(C65:C66)</f>
        <v>0</v>
      </c>
      <c r="D64" s="54">
        <f t="shared" ref="D64:E64" si="105">AVERAGE(D65:D66)</f>
        <v>0</v>
      </c>
      <c r="E64" s="54">
        <f t="shared" si="105"/>
        <v>0</v>
      </c>
      <c r="F64" s="54">
        <f t="shared" ref="F64" si="106">AVERAGE(F65:F66)</f>
        <v>0</v>
      </c>
      <c r="G64" s="54">
        <f t="shared" ref="G64" si="107">AVERAGE(G65:G66)</f>
        <v>0</v>
      </c>
      <c r="H64" s="54">
        <f t="shared" ref="H64" si="108">AVERAGE(H65:H66)</f>
        <v>0</v>
      </c>
      <c r="I64" s="54">
        <f t="shared" ref="I64:J64" si="109">AVERAGE(I65:I66)</f>
        <v>0</v>
      </c>
      <c r="J64" s="54">
        <f t="shared" si="109"/>
        <v>0</v>
      </c>
      <c r="K64" s="54">
        <f t="shared" ref="J64:K64" si="110">AVERAGE(K65:K66)</f>
        <v>0</v>
      </c>
      <c r="L64" s="54">
        <f t="shared" ref="L64:M64" si="111">AVERAGE(L65:L66)</f>
        <v>0</v>
      </c>
      <c r="M64" s="54">
        <f t="shared" si="111"/>
        <v>0</v>
      </c>
    </row>
    <row r="65" spans="1:18" ht="46.5" customHeight="1" x14ac:dyDescent="0.25">
      <c r="B65" s="30" t="s">
        <v>103</v>
      </c>
      <c r="C65" s="42">
        <f t="shared" ref="C65:C66" si="112">SUM(D65:M65)</f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</row>
    <row r="66" spans="1:18" ht="45" customHeight="1" x14ac:dyDescent="0.25">
      <c r="B66" s="30" t="s">
        <v>104</v>
      </c>
      <c r="C66" s="42">
        <f t="shared" si="112"/>
        <v>0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42">
        <v>0</v>
      </c>
      <c r="J66" s="42">
        <v>0</v>
      </c>
      <c r="K66" s="42">
        <v>0</v>
      </c>
      <c r="L66" s="42">
        <v>0</v>
      </c>
      <c r="M66" s="42">
        <v>0</v>
      </c>
    </row>
    <row r="67" spans="1:18" ht="32.25" customHeight="1" x14ac:dyDescent="0.25">
      <c r="B67" s="4" t="s">
        <v>90</v>
      </c>
      <c r="C67" s="58">
        <f t="shared" ref="C67:M67" si="113">+$D$43</f>
        <v>1.5E-3</v>
      </c>
      <c r="D67" s="58">
        <f t="shared" si="113"/>
        <v>1.5E-3</v>
      </c>
      <c r="E67" s="58">
        <f t="shared" si="113"/>
        <v>1.5E-3</v>
      </c>
      <c r="F67" s="58">
        <f t="shared" si="113"/>
        <v>1.5E-3</v>
      </c>
      <c r="G67" s="58">
        <f t="shared" si="113"/>
        <v>1.5E-3</v>
      </c>
      <c r="H67" s="58">
        <f t="shared" si="113"/>
        <v>1.5E-3</v>
      </c>
      <c r="I67" s="58">
        <f t="shared" si="113"/>
        <v>1.5E-3</v>
      </c>
      <c r="J67" s="58">
        <f t="shared" si="113"/>
        <v>1.5E-3</v>
      </c>
      <c r="K67" s="58">
        <f t="shared" si="113"/>
        <v>1.5E-3</v>
      </c>
      <c r="L67" s="58">
        <f t="shared" si="113"/>
        <v>1.5E-3</v>
      </c>
      <c r="M67" s="58">
        <f t="shared" si="113"/>
        <v>1.5E-3</v>
      </c>
    </row>
    <row r="68" spans="1:18" x14ac:dyDescent="0.25">
      <c r="N68" s="27"/>
      <c r="O68" s="27"/>
      <c r="P68" s="27"/>
      <c r="Q68" s="27"/>
      <c r="R68" s="27"/>
    </row>
    <row r="69" spans="1:18" x14ac:dyDescent="0.25">
      <c r="N69" s="27"/>
      <c r="O69" s="27"/>
      <c r="P69" s="27"/>
      <c r="Q69" s="27"/>
      <c r="R69" s="27"/>
    </row>
    <row r="70" spans="1:18" ht="17.5" customHeight="1" x14ac:dyDescent="0.25">
      <c r="B70" s="49" t="s">
        <v>70</v>
      </c>
      <c r="N70" s="27"/>
      <c r="O70" s="27"/>
      <c r="P70" s="27"/>
      <c r="Q70" s="27"/>
      <c r="R70" s="27"/>
    </row>
    <row r="71" spans="1:18" x14ac:dyDescent="0.25">
      <c r="N71" s="27"/>
      <c r="O71" s="27"/>
      <c r="P71" s="27"/>
      <c r="Q71" s="27"/>
      <c r="R71" s="27"/>
    </row>
    <row r="72" spans="1:18" ht="55.5" customHeight="1" x14ac:dyDescent="0.25">
      <c r="A72" s="1">
        <f>+A63+1</f>
        <v>12</v>
      </c>
      <c r="B72" s="18" t="s">
        <v>82</v>
      </c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7"/>
      <c r="O72" s="27"/>
      <c r="P72" s="27"/>
      <c r="Q72" s="27"/>
      <c r="R72" s="27"/>
    </row>
    <row r="73" spans="1:18" ht="28" customHeight="1" x14ac:dyDescent="0.25">
      <c r="B73" s="30" t="s">
        <v>3</v>
      </c>
      <c r="C73" s="29">
        <f>SUM(D73:M73)</f>
        <v>80052.510290569902</v>
      </c>
      <c r="D73" s="29">
        <v>81096.052299393545</v>
      </c>
      <c r="E73" s="29">
        <v>-2546.1840073614007</v>
      </c>
      <c r="F73" s="29">
        <v>51.105113556486117</v>
      </c>
      <c r="G73" s="29">
        <v>-766.37625910349948</v>
      </c>
      <c r="H73" s="29">
        <v>-98.006164970539999</v>
      </c>
      <c r="I73" s="29">
        <v>-2442.677354752454</v>
      </c>
      <c r="J73" s="29">
        <v>2260.8180828767872</v>
      </c>
      <c r="K73" s="29">
        <v>-2357.2146988830305</v>
      </c>
      <c r="L73" s="29">
        <v>1098.4601767968845</v>
      </c>
      <c r="M73" s="29">
        <v>3756.5331030171219</v>
      </c>
    </row>
    <row r="74" spans="1:18" x14ac:dyDescent="0.25">
      <c r="N74" s="27"/>
      <c r="O74" s="27"/>
      <c r="P74" s="27"/>
      <c r="Q74" s="27"/>
      <c r="R74" s="27"/>
    </row>
    <row r="75" spans="1:18" ht="72.75" customHeight="1" x14ac:dyDescent="0.25">
      <c r="A75" s="1">
        <f>+A72+1</f>
        <v>13</v>
      </c>
      <c r="B75" s="18" t="s">
        <v>39</v>
      </c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</row>
    <row r="76" spans="1:18" ht="28" customHeight="1" x14ac:dyDescent="0.25">
      <c r="B76" s="30" t="s">
        <v>3</v>
      </c>
      <c r="C76" s="29">
        <f>SUM(D76:M76)</f>
        <v>-97692.698505764565</v>
      </c>
      <c r="D76" s="29">
        <v>-93833.566270823969</v>
      </c>
      <c r="E76" s="29">
        <v>-9718.9896806533034</v>
      </c>
      <c r="F76" s="29">
        <v>1285.0415613411096</v>
      </c>
      <c r="G76" s="29">
        <v>7186.4417431336606</v>
      </c>
      <c r="H76" s="29">
        <v>6648.3178148867792</v>
      </c>
      <c r="I76" s="29">
        <v>-23700.710958828338</v>
      </c>
      <c r="J76" s="29">
        <v>-25225.586574158624</v>
      </c>
      <c r="K76" s="29">
        <v>20123.666960320872</v>
      </c>
      <c r="L76" s="29">
        <v>10939.498616196288</v>
      </c>
      <c r="M76" s="29">
        <v>8603.1882828209673</v>
      </c>
    </row>
    <row r="77" spans="1:18" x14ac:dyDescent="0.25">
      <c r="N77" s="27"/>
      <c r="O77" s="27"/>
      <c r="P77" s="27"/>
      <c r="Q77" s="27"/>
      <c r="R77" s="27"/>
    </row>
    <row r="78" spans="1:18" ht="59.25" customHeight="1" x14ac:dyDescent="0.25">
      <c r="A78" s="1">
        <f>A75+1</f>
        <v>14</v>
      </c>
      <c r="B78" s="18" t="s">
        <v>38</v>
      </c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</row>
    <row r="79" spans="1:18" ht="28" customHeight="1" x14ac:dyDescent="0.25">
      <c r="B79" s="30" t="s">
        <v>3</v>
      </c>
      <c r="C79" s="5">
        <f>SUM(D79:M79)</f>
        <v>-31108.503403067865</v>
      </c>
      <c r="D79" s="5">
        <v>-5069.5000558154397</v>
      </c>
      <c r="E79" s="5">
        <v>-2887.1620539730461</v>
      </c>
      <c r="F79" s="5">
        <v>-1134.482420217322</v>
      </c>
      <c r="G79" s="5">
        <v>-4524.5627964400237</v>
      </c>
      <c r="H79" s="5">
        <v>-5969.8006866976575</v>
      </c>
      <c r="I79" s="5">
        <v>-2919.0933293804837</v>
      </c>
      <c r="J79" s="5">
        <v>-2420.3113374879331</v>
      </c>
      <c r="K79" s="5">
        <v>-4710.2950501326577</v>
      </c>
      <c r="L79" s="5">
        <v>-845.45789573099569</v>
      </c>
      <c r="M79" s="5">
        <v>-627.83777719230807</v>
      </c>
    </row>
    <row r="80" spans="1:18" x14ac:dyDescent="0.25">
      <c r="N80" s="27"/>
      <c r="O80" s="27"/>
      <c r="P80" s="27"/>
      <c r="Q80" s="27"/>
      <c r="R80" s="27"/>
    </row>
    <row r="81" spans="1:18" x14ac:dyDescent="0.25">
      <c r="N81" s="27"/>
      <c r="O81" s="27"/>
      <c r="P81" s="27"/>
      <c r="Q81" s="27"/>
      <c r="R81" s="27"/>
    </row>
    <row r="82" spans="1:18" ht="17.5" customHeight="1" x14ac:dyDescent="0.25">
      <c r="B82" s="49" t="s">
        <v>69</v>
      </c>
      <c r="N82" s="27"/>
      <c r="O82" s="27"/>
      <c r="P82" s="27"/>
      <c r="Q82" s="27"/>
      <c r="R82" s="27"/>
    </row>
    <row r="83" spans="1:18" x14ac:dyDescent="0.25">
      <c r="N83" s="27"/>
      <c r="O83" s="27"/>
      <c r="P83" s="27"/>
      <c r="Q83" s="27"/>
      <c r="R83" s="27"/>
    </row>
    <row r="84" spans="1:18" x14ac:dyDescent="0.25">
      <c r="N84" s="27"/>
      <c r="O84" s="27"/>
      <c r="P84" s="27"/>
      <c r="Q84" s="27"/>
      <c r="R84" s="27"/>
    </row>
    <row r="85" spans="1:18" ht="17.5" customHeight="1" x14ac:dyDescent="0.25">
      <c r="B85" s="49" t="s">
        <v>68</v>
      </c>
      <c r="N85" s="27"/>
      <c r="O85" s="27"/>
      <c r="P85" s="27"/>
      <c r="Q85" s="27"/>
      <c r="R85" s="27"/>
    </row>
    <row r="86" spans="1:18" x14ac:dyDescent="0.25">
      <c r="N86" s="27"/>
      <c r="O86" s="27"/>
      <c r="P86" s="27"/>
      <c r="Q86" s="27"/>
      <c r="R86" s="27"/>
    </row>
    <row r="87" spans="1:18" ht="55.5" customHeight="1" x14ac:dyDescent="0.25">
      <c r="A87" s="1">
        <f>+A78+1</f>
        <v>15</v>
      </c>
      <c r="B87" s="18" t="s">
        <v>82</v>
      </c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7"/>
      <c r="O87" s="27"/>
      <c r="P87" s="27"/>
      <c r="Q87" s="27"/>
      <c r="R87" s="27"/>
    </row>
    <row r="88" spans="1:18" ht="28" customHeight="1" x14ac:dyDescent="0.25">
      <c r="B88" s="30" t="s">
        <v>2</v>
      </c>
      <c r="C88" s="29">
        <f>SUM(D88:M88)</f>
        <v>-32740835.575817026</v>
      </c>
      <c r="D88" s="29">
        <v>-7645161.017699495</v>
      </c>
      <c r="E88" s="29">
        <v>-7610680.2463371232</v>
      </c>
      <c r="F88" s="29">
        <v>-2671346.5164802982</v>
      </c>
      <c r="G88" s="29">
        <v>-1096439.1167034258</v>
      </c>
      <c r="H88" s="29">
        <v>-6162109.8273776099</v>
      </c>
      <c r="I88" s="29">
        <v>-3790878.2457013773</v>
      </c>
      <c r="J88" s="29">
        <v>909534.16444666905</v>
      </c>
      <c r="K88" s="29">
        <v>-3232125.8121783133</v>
      </c>
      <c r="L88" s="29">
        <v>-1238232.1586301378</v>
      </c>
      <c r="M88" s="29">
        <v>-203396.7991559208</v>
      </c>
    </row>
    <row r="89" spans="1:18" x14ac:dyDescent="0.25">
      <c r="N89" s="27"/>
      <c r="O89" s="27"/>
      <c r="P89" s="27"/>
      <c r="Q89" s="27"/>
      <c r="R89" s="27"/>
    </row>
    <row r="90" spans="1:18" ht="72.75" customHeight="1" x14ac:dyDescent="0.25">
      <c r="A90" s="1">
        <f>+A87+1</f>
        <v>16</v>
      </c>
      <c r="B90" s="18" t="s">
        <v>39</v>
      </c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</row>
    <row r="91" spans="1:18" ht="28" customHeight="1" x14ac:dyDescent="0.25">
      <c r="B91" s="30" t="s">
        <v>2</v>
      </c>
      <c r="C91" s="29">
        <f>SUM(D91:M91)</f>
        <v>970079.43247232959</v>
      </c>
      <c r="D91" s="29">
        <v>166639.61866753927</v>
      </c>
      <c r="E91" s="29">
        <v>100877.59207383548</v>
      </c>
      <c r="F91" s="29">
        <v>5040.5555056162411</v>
      </c>
      <c r="G91" s="29">
        <v>149699.49695941442</v>
      </c>
      <c r="H91" s="29">
        <v>139834.33314999766</v>
      </c>
      <c r="I91" s="29">
        <v>73470.801126728737</v>
      </c>
      <c r="J91" s="29">
        <v>131440.56182464317</v>
      </c>
      <c r="K91" s="29">
        <v>157819.57210812121</v>
      </c>
      <c r="L91" s="29">
        <v>23877.94044380261</v>
      </c>
      <c r="M91" s="29">
        <v>21378.960612630755</v>
      </c>
    </row>
    <row r="92" spans="1:18" x14ac:dyDescent="0.25">
      <c r="N92" s="27"/>
      <c r="O92" s="27"/>
      <c r="P92" s="27"/>
      <c r="Q92" s="27"/>
      <c r="R92" s="27"/>
    </row>
    <row r="93" spans="1:18" ht="59.25" customHeight="1" x14ac:dyDescent="0.25">
      <c r="A93" s="1">
        <f>A90+1</f>
        <v>17</v>
      </c>
      <c r="B93" s="18" t="s">
        <v>38</v>
      </c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</row>
    <row r="94" spans="1:18" ht="28" customHeight="1" x14ac:dyDescent="0.25">
      <c r="B94" s="30" t="s">
        <v>2</v>
      </c>
      <c r="C94" s="5">
        <f>SUM(D94:M94)</f>
        <v>-127716.3697812201</v>
      </c>
      <c r="D94" s="5">
        <v>-20256.088525963431</v>
      </c>
      <c r="E94" s="5">
        <v>-21643.602672198875</v>
      </c>
      <c r="F94" s="5">
        <v>-7383.8060302439644</v>
      </c>
      <c r="G94" s="5">
        <v>-15616.226168019191</v>
      </c>
      <c r="H94" s="5">
        <v>-20016.005603906673</v>
      </c>
      <c r="I94" s="5">
        <v>-10477.175582859196</v>
      </c>
      <c r="J94" s="5">
        <v>-8138.4619727586687</v>
      </c>
      <c r="K94" s="5">
        <v>-16028.288581899495</v>
      </c>
      <c r="L94" s="5">
        <v>-5955.8503617312144</v>
      </c>
      <c r="M94" s="5">
        <v>-2200.8642816393931</v>
      </c>
    </row>
    <row r="95" spans="1:18" x14ac:dyDescent="0.25"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</row>
    <row r="96" spans="1:18" ht="29.25" customHeight="1" x14ac:dyDescent="0.25">
      <c r="A96" s="1">
        <f>+A93+1</f>
        <v>18</v>
      </c>
      <c r="B96" s="18" t="s">
        <v>67</v>
      </c>
      <c r="C96" s="59">
        <f t="shared" ref="C96" si="114">SUM(C97:C99)</f>
        <v>67216246.097186029</v>
      </c>
      <c r="D96" s="59">
        <f t="shared" ref="D96:E96" si="115">SUM(D97:D99)</f>
        <v>7948503.5276207915</v>
      </c>
      <c r="E96" s="59">
        <f t="shared" si="115"/>
        <v>9055467.4141055886</v>
      </c>
      <c r="F96" s="59">
        <f t="shared" ref="F96" si="116">SUM(F97:F99)</f>
        <v>2661423.5385806081</v>
      </c>
      <c r="G96" s="59">
        <f t="shared" ref="G96" si="117">SUM(G97:G99)</f>
        <v>9552398.040348798</v>
      </c>
      <c r="H96" s="59">
        <f t="shared" ref="H96" si="118">SUM(H97:H99)</f>
        <v>11915746.647651203</v>
      </c>
      <c r="I96" s="59">
        <f t="shared" ref="I96" si="119">SUM(I97:I99)</f>
        <v>7006473.1239999998</v>
      </c>
      <c r="J96" s="59">
        <f t="shared" ref="J96:K96" si="120">SUM(J97:J99)</f>
        <v>6041698.7390357861</v>
      </c>
      <c r="K96" s="59">
        <f t="shared" si="120"/>
        <v>10180965.948000001</v>
      </c>
      <c r="L96" s="59">
        <f t="shared" ref="L96:M96" si="121">SUM(L97:L99)</f>
        <v>2133754.0558432704</v>
      </c>
      <c r="M96" s="59">
        <f t="shared" si="121"/>
        <v>719815.06199999992</v>
      </c>
    </row>
    <row r="97" spans="1:13" ht="29.25" customHeight="1" x14ac:dyDescent="0.25">
      <c r="B97" s="22" t="s">
        <v>66</v>
      </c>
      <c r="C97" s="37">
        <f t="shared" ref="C97:C99" si="122">SUM(D97:M97)</f>
        <v>61506725.129541464</v>
      </c>
      <c r="D97" s="37">
        <v>7193507.4379231585</v>
      </c>
      <c r="E97" s="37">
        <v>8459111.5407743789</v>
      </c>
      <c r="F97" s="37">
        <v>2582646.6487181317</v>
      </c>
      <c r="G97" s="37">
        <v>8468677.6957327984</v>
      </c>
      <c r="H97" s="37">
        <v>10870829.002267202</v>
      </c>
      <c r="I97" s="37">
        <v>6213794.4139999999</v>
      </c>
      <c r="J97" s="37">
        <v>5688597.7912240094</v>
      </c>
      <c r="K97" s="37">
        <v>9322104.0580000002</v>
      </c>
      <c r="L97" s="37">
        <v>2101130.1089017922</v>
      </c>
      <c r="M97" s="37">
        <v>606326.43199999991</v>
      </c>
    </row>
    <row r="98" spans="1:13" ht="29.25" customHeight="1" x14ac:dyDescent="0.25">
      <c r="B98" s="22" t="s">
        <v>65</v>
      </c>
      <c r="C98" s="37">
        <f t="shared" si="122"/>
        <v>4521576.13670268</v>
      </c>
      <c r="D98" s="37">
        <v>702042.81992102391</v>
      </c>
      <c r="E98" s="37">
        <v>139948.48000000001</v>
      </c>
      <c r="F98" s="37">
        <v>31931</v>
      </c>
      <c r="G98" s="37">
        <v>869638.26494999998</v>
      </c>
      <c r="H98" s="37">
        <v>816989.90504999994</v>
      </c>
      <c r="I98" s="37">
        <v>725059.01</v>
      </c>
      <c r="J98" s="37">
        <v>276144.98678165657</v>
      </c>
      <c r="K98" s="37">
        <v>829618.04</v>
      </c>
      <c r="L98" s="37">
        <v>17945</v>
      </c>
      <c r="M98" s="37">
        <v>112258.63</v>
      </c>
    </row>
    <row r="99" spans="1:13" ht="29.25" customHeight="1" x14ac:dyDescent="0.25">
      <c r="B99" s="22" t="s">
        <v>64</v>
      </c>
      <c r="C99" s="37">
        <f t="shared" si="122"/>
        <v>1187944.8309418927</v>
      </c>
      <c r="D99" s="37">
        <v>52953.269776609013</v>
      </c>
      <c r="E99" s="37">
        <v>456407.39333120856</v>
      </c>
      <c r="F99" s="37">
        <v>46845.889862476593</v>
      </c>
      <c r="G99" s="37">
        <v>214082.07966599998</v>
      </c>
      <c r="H99" s="37">
        <v>227927.74033400003</v>
      </c>
      <c r="I99" s="37">
        <v>67619.7</v>
      </c>
      <c r="J99" s="37">
        <v>76955.961030120277</v>
      </c>
      <c r="K99" s="37">
        <v>29243.85</v>
      </c>
      <c r="L99" s="37">
        <v>14678.94694147812</v>
      </c>
      <c r="M99" s="37">
        <v>1230</v>
      </c>
    </row>
    <row r="100" spans="1:13" ht="36.75" customHeight="1" x14ac:dyDescent="0.25">
      <c r="B100" s="18" t="s">
        <v>63</v>
      </c>
      <c r="C100" s="59">
        <f t="shared" ref="C100" si="123">SUM(C101:C103)</f>
        <v>2858343.7059459998</v>
      </c>
      <c r="D100" s="59">
        <f t="shared" ref="D100:E100" si="124">SUM(D101:D103)</f>
        <v>374206.35785124003</v>
      </c>
      <c r="E100" s="59">
        <f t="shared" si="124"/>
        <v>663296.21</v>
      </c>
      <c r="F100" s="59">
        <f t="shared" ref="F100" si="125">SUM(F101:F103)</f>
        <v>136467.62</v>
      </c>
      <c r="G100" s="59">
        <f t="shared" ref="G100" si="126">SUM(G101:G103)</f>
        <v>470641.18847200001</v>
      </c>
      <c r="H100" s="59">
        <f t="shared" ref="H100" si="127">SUM(H101:H103)</f>
        <v>393853.55747400003</v>
      </c>
      <c r="I100" s="59">
        <f t="shared" ref="I100" si="128">SUM(I101:I103)</f>
        <v>269624.63</v>
      </c>
      <c r="J100" s="59">
        <f t="shared" ref="J100:K100" si="129">SUM(J101:J103)</f>
        <v>141266.98214876</v>
      </c>
      <c r="K100" s="59">
        <f t="shared" si="129"/>
        <v>242568.34</v>
      </c>
      <c r="L100" s="59">
        <f t="shared" ref="L100:M100" si="130">SUM(L101:L103)</f>
        <v>132670.41999999998</v>
      </c>
      <c r="M100" s="59">
        <f t="shared" si="130"/>
        <v>33748.400000000001</v>
      </c>
    </row>
    <row r="101" spans="1:13" ht="29.25" customHeight="1" x14ac:dyDescent="0.25">
      <c r="B101" s="22" t="s">
        <v>62</v>
      </c>
      <c r="C101" s="37">
        <f t="shared" ref="C101:C103" si="131">SUM(D101:M101)</f>
        <v>492801.70099999994</v>
      </c>
      <c r="D101" s="37">
        <v>129084.09384623999</v>
      </c>
      <c r="E101" s="37">
        <v>87920</v>
      </c>
      <c r="F101" s="37">
        <v>8240</v>
      </c>
      <c r="G101" s="37">
        <v>39047.008000000002</v>
      </c>
      <c r="H101" s="37">
        <v>26632.991999999998</v>
      </c>
      <c r="I101" s="37">
        <v>23200</v>
      </c>
      <c r="J101" s="37">
        <v>29841.606153760004</v>
      </c>
      <c r="K101" s="37">
        <v>41200</v>
      </c>
      <c r="L101" s="37">
        <v>104836.001</v>
      </c>
      <c r="M101" s="37">
        <v>2800</v>
      </c>
    </row>
    <row r="102" spans="1:13" ht="29.25" customHeight="1" x14ac:dyDescent="0.25">
      <c r="B102" s="22" t="s">
        <v>61</v>
      </c>
      <c r="C102" s="37">
        <f t="shared" si="131"/>
        <v>1239999.99</v>
      </c>
      <c r="D102" s="37">
        <v>166888.87754399999</v>
      </c>
      <c r="E102" s="37">
        <v>100541.91</v>
      </c>
      <c r="F102" s="37">
        <v>70187.210000000006</v>
      </c>
      <c r="G102" s="37">
        <v>228844.41452600001</v>
      </c>
      <c r="H102" s="37">
        <v>220965.14547399999</v>
      </c>
      <c r="I102" s="37">
        <v>182553.16</v>
      </c>
      <c r="J102" s="37">
        <v>42050.202455999999</v>
      </c>
      <c r="K102" s="37">
        <v>180800.38</v>
      </c>
      <c r="L102" s="37">
        <v>17450.29</v>
      </c>
      <c r="M102" s="37">
        <v>29718.400000000001</v>
      </c>
    </row>
    <row r="103" spans="1:13" ht="45" customHeight="1" x14ac:dyDescent="0.25">
      <c r="B103" s="22" t="s">
        <v>60</v>
      </c>
      <c r="C103" s="37">
        <f t="shared" si="131"/>
        <v>1125542.014946</v>
      </c>
      <c r="D103" s="37">
        <v>78233.386461000002</v>
      </c>
      <c r="E103" s="37">
        <v>474834.3</v>
      </c>
      <c r="F103" s="37">
        <v>58040.41</v>
      </c>
      <c r="G103" s="37">
        <v>202749.765946</v>
      </c>
      <c r="H103" s="37">
        <v>146255.42000000001</v>
      </c>
      <c r="I103" s="37">
        <v>63871.47</v>
      </c>
      <c r="J103" s="37">
        <v>69375.173538999996</v>
      </c>
      <c r="K103" s="37">
        <v>20567.96</v>
      </c>
      <c r="L103" s="37">
        <v>10384.129000000001</v>
      </c>
      <c r="M103" s="37">
        <v>1230</v>
      </c>
    </row>
    <row r="104" spans="1:13" x14ac:dyDescent="0.25">
      <c r="B104" s="40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</row>
    <row r="105" spans="1:13" ht="33.75" customHeight="1" x14ac:dyDescent="0.25">
      <c r="A105" s="1">
        <f>A96+1</f>
        <v>19</v>
      </c>
      <c r="B105" s="24" t="s">
        <v>59</v>
      </c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</row>
    <row r="106" spans="1:13" ht="17.5" customHeight="1" x14ac:dyDescent="0.25">
      <c r="B106" s="22" t="s">
        <v>58</v>
      </c>
      <c r="C106" s="37">
        <f t="shared" ref="C106:C107" si="132">SUM(D106:M106)</f>
        <v>820239500</v>
      </c>
      <c r="D106" s="37">
        <v>80225500</v>
      </c>
      <c r="E106" s="37">
        <v>168120900</v>
      </c>
      <c r="F106" s="37">
        <v>37221400</v>
      </c>
      <c r="G106" s="37">
        <v>143126200</v>
      </c>
      <c r="H106" s="37">
        <v>111329900</v>
      </c>
      <c r="I106" s="37">
        <v>83544500</v>
      </c>
      <c r="J106" s="37">
        <v>78340500</v>
      </c>
      <c r="K106" s="37">
        <v>86533500</v>
      </c>
      <c r="L106" s="37">
        <v>24863800</v>
      </c>
      <c r="M106" s="37">
        <v>6933300</v>
      </c>
    </row>
    <row r="107" spans="1:13" ht="17.5" customHeight="1" x14ac:dyDescent="0.25">
      <c r="B107" s="22" t="s">
        <v>57</v>
      </c>
      <c r="C107" s="37">
        <f t="shared" si="132"/>
        <v>119973400</v>
      </c>
      <c r="D107" s="37">
        <v>36446900</v>
      </c>
      <c r="E107" s="37">
        <v>6502900</v>
      </c>
      <c r="F107" s="37">
        <v>1956900</v>
      </c>
      <c r="G107" s="37">
        <v>13318300</v>
      </c>
      <c r="H107" s="37">
        <v>12321500</v>
      </c>
      <c r="I107" s="37">
        <v>12422000</v>
      </c>
      <c r="J107" s="37">
        <v>23239900</v>
      </c>
      <c r="K107" s="37">
        <v>13642700</v>
      </c>
      <c r="L107" s="37">
        <v>122100</v>
      </c>
      <c r="M107" s="37">
        <v>200</v>
      </c>
    </row>
    <row r="108" spans="1:13" ht="13" x14ac:dyDescent="0.25">
      <c r="B108" s="33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</row>
    <row r="109" spans="1:13" ht="19" customHeight="1" x14ac:dyDescent="0.25">
      <c r="A109" s="1">
        <f>+A105+1</f>
        <v>20</v>
      </c>
      <c r="B109" s="38" t="s">
        <v>56</v>
      </c>
      <c r="C109" s="59">
        <f t="shared" ref="C109" si="133">SUM(C110:C111)</f>
        <v>287575500</v>
      </c>
      <c r="D109" s="59">
        <f t="shared" ref="D109:E109" si="134">SUM(D110:D111)</f>
        <v>30827000</v>
      </c>
      <c r="E109" s="59">
        <f t="shared" si="134"/>
        <v>60032300</v>
      </c>
      <c r="F109" s="59">
        <f t="shared" ref="F109" si="135">SUM(F110:F111)</f>
        <v>10834900</v>
      </c>
      <c r="G109" s="59">
        <f t="shared" ref="G109" si="136">SUM(G110:G111)</f>
        <v>51515000</v>
      </c>
      <c r="H109" s="59">
        <f t="shared" ref="H109" si="137">SUM(H110:H111)</f>
        <v>38322200</v>
      </c>
      <c r="I109" s="59">
        <f t="shared" ref="I109" si="138">SUM(I110:I111)</f>
        <v>28902900</v>
      </c>
      <c r="J109" s="59">
        <f t="shared" ref="J109:K109" si="139">SUM(J110:J111)</f>
        <v>30981200</v>
      </c>
      <c r="K109" s="59">
        <f t="shared" si="139"/>
        <v>26832400</v>
      </c>
      <c r="L109" s="59">
        <f t="shared" ref="L109:M109" si="140">SUM(L110:L111)</f>
        <v>7406500</v>
      </c>
      <c r="M109" s="59">
        <f t="shared" si="140"/>
        <v>1921100</v>
      </c>
    </row>
    <row r="110" spans="1:13" ht="19" customHeight="1" x14ac:dyDescent="0.25">
      <c r="B110" s="22" t="s">
        <v>54</v>
      </c>
      <c r="C110" s="37">
        <f t="shared" ref="C110:C111" si="141">SUM(D110:M110)</f>
        <v>30000000.000000004</v>
      </c>
      <c r="D110" s="37">
        <v>2548731.84</v>
      </c>
      <c r="E110" s="37">
        <v>6526000</v>
      </c>
      <c r="F110" s="37">
        <v>1023200</v>
      </c>
      <c r="G110" s="37">
        <v>5360776.6000000006</v>
      </c>
      <c r="H110" s="37">
        <v>4624223.4000000004</v>
      </c>
      <c r="I110" s="37">
        <v>3390800</v>
      </c>
      <c r="J110" s="37">
        <v>2856668.16</v>
      </c>
      <c r="K110" s="37">
        <v>2695200</v>
      </c>
      <c r="L110" s="37">
        <v>784400</v>
      </c>
      <c r="M110" s="37">
        <v>190000</v>
      </c>
    </row>
    <row r="111" spans="1:13" ht="19" customHeight="1" x14ac:dyDescent="0.25">
      <c r="B111" s="22" t="s">
        <v>53</v>
      </c>
      <c r="C111" s="37">
        <f t="shared" si="141"/>
        <v>257575500</v>
      </c>
      <c r="D111" s="37">
        <v>28278268.16</v>
      </c>
      <c r="E111" s="37">
        <v>53506300</v>
      </c>
      <c r="F111" s="37">
        <v>9811700</v>
      </c>
      <c r="G111" s="37">
        <v>46154223.399999999</v>
      </c>
      <c r="H111" s="37">
        <v>33697976.600000001</v>
      </c>
      <c r="I111" s="37">
        <v>25512100</v>
      </c>
      <c r="J111" s="37">
        <v>28124531.84</v>
      </c>
      <c r="K111" s="37">
        <v>24137200</v>
      </c>
      <c r="L111" s="37">
        <v>6622100</v>
      </c>
      <c r="M111" s="37">
        <v>1731100</v>
      </c>
    </row>
    <row r="112" spans="1:13" ht="19" customHeight="1" x14ac:dyDescent="0.25">
      <c r="B112" s="38" t="s">
        <v>55</v>
      </c>
      <c r="C112" s="59">
        <f t="shared" ref="C112" si="142">SUM(C113:C114)</f>
        <v>119973330</v>
      </c>
      <c r="D112" s="59">
        <f t="shared" ref="D112:E112" si="143">SUM(D113:D114)</f>
        <v>36446900</v>
      </c>
      <c r="E112" s="59">
        <f t="shared" si="143"/>
        <v>6502946</v>
      </c>
      <c r="F112" s="59">
        <f t="shared" ref="F112" si="144">SUM(F113:F114)</f>
        <v>1956866</v>
      </c>
      <c r="G112" s="59">
        <f t="shared" ref="G112" si="145">SUM(G113:G114)</f>
        <v>13318353</v>
      </c>
      <c r="H112" s="59">
        <f t="shared" ref="H112" si="146">SUM(H113:H114)</f>
        <v>12321457</v>
      </c>
      <c r="I112" s="59">
        <f t="shared" ref="I112" si="147">SUM(I113:I114)</f>
        <v>12422033</v>
      </c>
      <c r="J112" s="59">
        <f t="shared" ref="J112:K112" si="148">SUM(J113:J114)</f>
        <v>23239817</v>
      </c>
      <c r="K112" s="59">
        <f t="shared" si="148"/>
        <v>13642696</v>
      </c>
      <c r="L112" s="59">
        <f t="shared" ref="L112:M112" si="149">SUM(L113:L114)</f>
        <v>122062</v>
      </c>
      <c r="M112" s="59">
        <f t="shared" si="149"/>
        <v>200</v>
      </c>
    </row>
    <row r="113" spans="1:13" ht="19" customHeight="1" x14ac:dyDescent="0.25">
      <c r="B113" s="22" t="s">
        <v>54</v>
      </c>
      <c r="C113" s="37">
        <f t="shared" ref="C113:C114" si="150">SUM(D113:M113)</f>
        <v>30000002</v>
      </c>
      <c r="D113" s="37">
        <v>10100792</v>
      </c>
      <c r="E113" s="37">
        <v>1740774</v>
      </c>
      <c r="F113" s="37">
        <v>777170</v>
      </c>
      <c r="G113" s="37">
        <v>4389228</v>
      </c>
      <c r="H113" s="37">
        <v>2211106</v>
      </c>
      <c r="I113" s="37">
        <v>2633760</v>
      </c>
      <c r="J113" s="37">
        <v>5306611</v>
      </c>
      <c r="K113" s="37">
        <v>2839848</v>
      </c>
      <c r="L113" s="37">
        <v>713</v>
      </c>
      <c r="M113" s="37">
        <v>0</v>
      </c>
    </row>
    <row r="114" spans="1:13" ht="19" customHeight="1" x14ac:dyDescent="0.25">
      <c r="B114" s="22" t="s">
        <v>53</v>
      </c>
      <c r="C114" s="37">
        <f t="shared" si="150"/>
        <v>89973328</v>
      </c>
      <c r="D114" s="37">
        <v>26346108</v>
      </c>
      <c r="E114" s="37">
        <v>4762172</v>
      </c>
      <c r="F114" s="37">
        <v>1179696</v>
      </c>
      <c r="G114" s="37">
        <v>8929125</v>
      </c>
      <c r="H114" s="37">
        <v>10110351</v>
      </c>
      <c r="I114" s="37">
        <v>9788273</v>
      </c>
      <c r="J114" s="37">
        <v>17933206</v>
      </c>
      <c r="K114" s="37">
        <v>10802848</v>
      </c>
      <c r="L114" s="37">
        <v>121349</v>
      </c>
      <c r="M114" s="37">
        <v>200</v>
      </c>
    </row>
    <row r="115" spans="1:13" ht="13" x14ac:dyDescent="0.25">
      <c r="B115" s="33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</row>
    <row r="116" spans="1:13" ht="33.75" customHeight="1" x14ac:dyDescent="0.25">
      <c r="A116" s="1">
        <f>+A109+1</f>
        <v>21</v>
      </c>
      <c r="B116" s="35" t="s">
        <v>52</v>
      </c>
      <c r="C116" s="23">
        <f>SUM(D116:M116)</f>
        <v>0</v>
      </c>
      <c r="D116" s="23">
        <v>0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</row>
    <row r="117" spans="1:13" x14ac:dyDescent="0.25">
      <c r="B117" s="36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</row>
    <row r="118" spans="1:13" ht="32.25" customHeight="1" x14ac:dyDescent="0.25">
      <c r="A118" s="1">
        <f>A116+1</f>
        <v>22</v>
      </c>
      <c r="B118" s="35" t="s">
        <v>51</v>
      </c>
      <c r="C118" s="23">
        <f>SUM(D118:M118)</f>
        <v>9613784</v>
      </c>
      <c r="D118" s="23">
        <v>2521644</v>
      </c>
      <c r="E118" s="23">
        <v>586800</v>
      </c>
      <c r="F118" s="23">
        <v>112500</v>
      </c>
      <c r="G118" s="23">
        <v>1025604</v>
      </c>
      <c r="H118" s="23">
        <v>1154532</v>
      </c>
      <c r="I118" s="23">
        <v>1061600</v>
      </c>
      <c r="J118" s="23">
        <v>1983604</v>
      </c>
      <c r="K118" s="23">
        <v>1165400</v>
      </c>
      <c r="L118" s="23">
        <v>2100</v>
      </c>
      <c r="M118" s="23">
        <v>0</v>
      </c>
    </row>
    <row r="119" spans="1:13" x14ac:dyDescent="0.25">
      <c r="B119" s="20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</row>
    <row r="120" spans="1:13" ht="61.5" customHeight="1" x14ac:dyDescent="0.25">
      <c r="A120" s="1">
        <f>A118+1</f>
        <v>23</v>
      </c>
      <c r="B120" s="24" t="s">
        <v>50</v>
      </c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</row>
    <row r="121" spans="1:13" ht="15.65" customHeight="1" x14ac:dyDescent="0.25">
      <c r="B121" s="22" t="s">
        <v>49</v>
      </c>
      <c r="C121" s="37">
        <f t="shared" ref="C121:C122" si="151">SUM(D121:M121)</f>
        <v>0</v>
      </c>
      <c r="D121" s="37">
        <v>24078000</v>
      </c>
      <c r="E121" s="37">
        <v>-38066000</v>
      </c>
      <c r="F121" s="37">
        <v>-7120000</v>
      </c>
      <c r="G121" s="37">
        <v>544000</v>
      </c>
      <c r="H121" s="37">
        <v>14347000</v>
      </c>
      <c r="I121" s="37">
        <v>-11160000</v>
      </c>
      <c r="J121" s="37">
        <v>480000</v>
      </c>
      <c r="K121" s="37">
        <v>19029000</v>
      </c>
      <c r="L121" s="37">
        <v>-6969000</v>
      </c>
      <c r="M121" s="37">
        <v>4837000</v>
      </c>
    </row>
    <row r="122" spans="1:13" ht="15.65" customHeight="1" x14ac:dyDescent="0.25">
      <c r="B122" s="22" t="s">
        <v>48</v>
      </c>
      <c r="C122" s="37">
        <f t="shared" si="151"/>
        <v>0</v>
      </c>
      <c r="D122" s="37">
        <v>-3203000</v>
      </c>
      <c r="E122" s="37">
        <v>1318000</v>
      </c>
      <c r="F122" s="37">
        <v>492000</v>
      </c>
      <c r="G122" s="37">
        <v>589000</v>
      </c>
      <c r="H122" s="37">
        <v>1151000</v>
      </c>
      <c r="I122" s="37">
        <v>-206000</v>
      </c>
      <c r="J122" s="37">
        <v>-1244000</v>
      </c>
      <c r="K122" s="37">
        <v>430000</v>
      </c>
      <c r="L122" s="37">
        <v>324000</v>
      </c>
      <c r="M122" s="37">
        <v>349000</v>
      </c>
    </row>
    <row r="123" spans="1:13" x14ac:dyDescent="0.25">
      <c r="B123" s="20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</row>
    <row r="124" spans="1:13" ht="36.65" customHeight="1" x14ac:dyDescent="0.25">
      <c r="A124" s="1">
        <f>+A120+1</f>
        <v>24</v>
      </c>
      <c r="B124" s="18" t="s">
        <v>47</v>
      </c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</row>
    <row r="125" spans="1:13" ht="20.149999999999999" customHeight="1" x14ac:dyDescent="0.25">
      <c r="B125" s="22" t="s">
        <v>45</v>
      </c>
      <c r="C125" s="37">
        <f>SUM(D125:M125)</f>
        <v>179516.69000000367</v>
      </c>
      <c r="D125" s="37">
        <v>113794.45853926628</v>
      </c>
      <c r="E125" s="37">
        <v>0</v>
      </c>
      <c r="F125" s="37">
        <v>0</v>
      </c>
      <c r="G125" s="37">
        <v>10393.169514000001</v>
      </c>
      <c r="H125" s="37">
        <v>15465.740486000001</v>
      </c>
      <c r="I125" s="37">
        <v>16526.41</v>
      </c>
      <c r="J125" s="37">
        <v>6619.2114607373642</v>
      </c>
      <c r="K125" s="37">
        <v>14177.7</v>
      </c>
      <c r="L125" s="37">
        <v>0</v>
      </c>
      <c r="M125" s="37">
        <v>2540</v>
      </c>
    </row>
    <row r="126" spans="1:13" ht="20.149999999999999" customHeight="1" x14ac:dyDescent="0.25">
      <c r="B126" s="22" t="s">
        <v>44</v>
      </c>
      <c r="C126" s="37">
        <f>SUM(D126:M126)</f>
        <v>1424380</v>
      </c>
      <c r="D126" s="37">
        <v>489578.97600000002</v>
      </c>
      <c r="E126" s="37">
        <v>139080</v>
      </c>
      <c r="F126" s="37">
        <v>5400</v>
      </c>
      <c r="G126" s="37">
        <v>153307.37700000001</v>
      </c>
      <c r="H126" s="37">
        <v>48632.623</v>
      </c>
      <c r="I126" s="37">
        <v>199460</v>
      </c>
      <c r="J126" s="37">
        <v>47631.023999999998</v>
      </c>
      <c r="K126" s="37">
        <v>341290</v>
      </c>
      <c r="L126" s="37">
        <v>0</v>
      </c>
      <c r="M126" s="37">
        <v>0</v>
      </c>
    </row>
    <row r="127" spans="1:13" x14ac:dyDescent="0.25">
      <c r="B127" s="20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</row>
    <row r="128" spans="1:13" ht="27.65" customHeight="1" x14ac:dyDescent="0.25">
      <c r="A128" s="1">
        <f>+A124+1</f>
        <v>25</v>
      </c>
      <c r="B128" s="18" t="s">
        <v>46</v>
      </c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</row>
    <row r="129" spans="1:18" ht="20.149999999999999" customHeight="1" x14ac:dyDescent="0.25">
      <c r="B129" s="22" t="s">
        <v>45</v>
      </c>
      <c r="C129" s="37">
        <f t="shared" ref="C129:C130" si="152">SUM(D129:M129)</f>
        <v>0</v>
      </c>
      <c r="D129" s="37">
        <v>0</v>
      </c>
      <c r="E129" s="37">
        <v>0</v>
      </c>
      <c r="F129" s="37">
        <v>0</v>
      </c>
      <c r="G129" s="37">
        <v>0</v>
      </c>
      <c r="H129" s="37">
        <v>0</v>
      </c>
      <c r="I129" s="37">
        <v>0</v>
      </c>
      <c r="J129" s="37">
        <v>0</v>
      </c>
      <c r="K129" s="37">
        <v>0</v>
      </c>
      <c r="L129" s="37">
        <v>0</v>
      </c>
      <c r="M129" s="37">
        <v>0</v>
      </c>
    </row>
    <row r="130" spans="1:18" ht="20.149999999999999" customHeight="1" x14ac:dyDescent="0.25">
      <c r="B130" s="22" t="s">
        <v>44</v>
      </c>
      <c r="C130" s="37">
        <f t="shared" si="152"/>
        <v>712210</v>
      </c>
      <c r="D130" s="37">
        <v>244794.48800000001</v>
      </c>
      <c r="E130" s="37">
        <v>69540</v>
      </c>
      <c r="F130" s="37">
        <v>2700</v>
      </c>
      <c r="G130" s="37">
        <v>76658.524999999994</v>
      </c>
      <c r="H130" s="37">
        <v>24321.474999999999</v>
      </c>
      <c r="I130" s="37">
        <v>99730</v>
      </c>
      <c r="J130" s="37">
        <v>23815.511999999999</v>
      </c>
      <c r="K130" s="37">
        <v>170650</v>
      </c>
      <c r="L130" s="37">
        <v>0</v>
      </c>
      <c r="M130" s="37">
        <v>0</v>
      </c>
    </row>
    <row r="131" spans="1:18" ht="13" x14ac:dyDescent="0.25">
      <c r="B131" s="33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</row>
    <row r="132" spans="1:18" ht="33.75" customHeight="1" x14ac:dyDescent="0.25">
      <c r="A132" s="1">
        <f>+A128+1</f>
        <v>26</v>
      </c>
      <c r="B132" s="31" t="s">
        <v>43</v>
      </c>
      <c r="C132" s="23">
        <f>SUM(D132:M132)</f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</row>
    <row r="133" spans="1:18" x14ac:dyDescent="0.25">
      <c r="N133" s="27"/>
      <c r="O133" s="27"/>
      <c r="P133" s="27"/>
      <c r="Q133" s="27"/>
      <c r="R133" s="27"/>
    </row>
    <row r="134" spans="1:18" x14ac:dyDescent="0.25">
      <c r="N134" s="27"/>
      <c r="O134" s="27"/>
      <c r="P134" s="27"/>
      <c r="Q134" s="27"/>
      <c r="R134" s="27"/>
    </row>
    <row r="135" spans="1:18" ht="17.5" customHeight="1" x14ac:dyDescent="0.25">
      <c r="B135" s="49" t="s">
        <v>42</v>
      </c>
      <c r="N135" s="27"/>
      <c r="O135" s="27"/>
      <c r="P135" s="27"/>
      <c r="Q135" s="27"/>
      <c r="R135" s="27"/>
    </row>
    <row r="136" spans="1:18" x14ac:dyDescent="0.25">
      <c r="N136" s="27"/>
      <c r="O136" s="27"/>
      <c r="P136" s="27"/>
      <c r="Q136" s="27"/>
      <c r="R136" s="27"/>
    </row>
    <row r="137" spans="1:18" x14ac:dyDescent="0.25">
      <c r="N137" s="27"/>
      <c r="O137" s="27"/>
      <c r="P137" s="27"/>
      <c r="Q137" s="27"/>
      <c r="R137" s="27"/>
    </row>
    <row r="138" spans="1:18" ht="17.5" customHeight="1" x14ac:dyDescent="0.25">
      <c r="B138" s="49" t="s">
        <v>41</v>
      </c>
      <c r="N138" s="27"/>
      <c r="O138" s="27"/>
      <c r="P138" s="27"/>
      <c r="Q138" s="27"/>
      <c r="R138" s="27"/>
    </row>
    <row r="139" spans="1:18" x14ac:dyDescent="0.25">
      <c r="N139" s="27"/>
      <c r="O139" s="27"/>
      <c r="P139" s="27"/>
      <c r="Q139" s="27"/>
      <c r="R139" s="27"/>
    </row>
    <row r="140" spans="1:18" ht="55.5" customHeight="1" x14ac:dyDescent="0.25">
      <c r="A140" s="1">
        <f>+A132+1</f>
        <v>27</v>
      </c>
      <c r="B140" s="18" t="s">
        <v>82</v>
      </c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7"/>
      <c r="O140" s="27"/>
      <c r="P140" s="27"/>
      <c r="Q140" s="27"/>
      <c r="R140" s="27"/>
    </row>
    <row r="141" spans="1:18" ht="28" customHeight="1" x14ac:dyDescent="0.25">
      <c r="B141" s="30" t="s">
        <v>1</v>
      </c>
      <c r="C141" s="29">
        <f>SUM(D141:M141)</f>
        <v>-549953.85082637356</v>
      </c>
      <c r="D141" s="29">
        <v>-141970.41829806395</v>
      </c>
      <c r="E141" s="29">
        <v>-19885.010004710097</v>
      </c>
      <c r="F141" s="29">
        <v>-22454.788588236032</v>
      </c>
      <c r="G141" s="29">
        <v>-112551.22016882534</v>
      </c>
      <c r="H141" s="29">
        <v>-56959.418048520616</v>
      </c>
      <c r="I141" s="29">
        <v>-47858.955166438762</v>
      </c>
      <c r="J141" s="29">
        <v>-24967.118073801084</v>
      </c>
      <c r="K141" s="29">
        <v>-123296.05363714443</v>
      </c>
      <c r="L141" s="29">
        <v>543.77453515404704</v>
      </c>
      <c r="M141" s="29">
        <v>-554.64337578722007</v>
      </c>
    </row>
    <row r="142" spans="1:18" x14ac:dyDescent="0.25">
      <c r="N142" s="27"/>
      <c r="O142" s="27"/>
      <c r="P142" s="27"/>
      <c r="Q142" s="27"/>
      <c r="R142" s="27"/>
    </row>
    <row r="143" spans="1:18" ht="72.75" customHeight="1" x14ac:dyDescent="0.25">
      <c r="A143" s="1">
        <f>+A140+1</f>
        <v>28</v>
      </c>
      <c r="B143" s="18" t="s">
        <v>39</v>
      </c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</row>
    <row r="144" spans="1:18" ht="28" customHeight="1" x14ac:dyDescent="0.25">
      <c r="B144" s="30" t="s">
        <v>1</v>
      </c>
      <c r="C144" s="29">
        <f>SUM(D144:M144)</f>
        <v>-698931.84027434513</v>
      </c>
      <c r="D144" s="29">
        <v>-1887.7292810428571</v>
      </c>
      <c r="E144" s="29">
        <v>127716.68684479699</v>
      </c>
      <c r="F144" s="29">
        <v>62830.386939466393</v>
      </c>
      <c r="G144" s="29">
        <v>87285.048679180953</v>
      </c>
      <c r="H144" s="29">
        <v>60252.295233976998</v>
      </c>
      <c r="I144" s="29">
        <v>19553.940489157485</v>
      </c>
      <c r="J144" s="29">
        <v>-1226573.0916740757</v>
      </c>
      <c r="K144" s="29">
        <v>90206.848771190387</v>
      </c>
      <c r="L144" s="29">
        <v>65078.030646679908</v>
      </c>
      <c r="M144" s="29">
        <v>16605.743076324346</v>
      </c>
    </row>
    <row r="145" spans="1:18" x14ac:dyDescent="0.25">
      <c r="N145" s="27"/>
      <c r="O145" s="27"/>
      <c r="P145" s="27"/>
      <c r="Q145" s="27"/>
      <c r="R145" s="27"/>
    </row>
    <row r="146" spans="1:18" ht="59.25" customHeight="1" x14ac:dyDescent="0.25">
      <c r="A146" s="1">
        <f>A143+1</f>
        <v>29</v>
      </c>
      <c r="B146" s="18" t="s">
        <v>38</v>
      </c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</row>
    <row r="147" spans="1:18" ht="28" customHeight="1" x14ac:dyDescent="0.25">
      <c r="B147" s="30" t="s">
        <v>1</v>
      </c>
      <c r="C147" s="5">
        <f>SUM(D147:M147)</f>
        <v>-115783.28672768528</v>
      </c>
      <c r="D147" s="5">
        <v>-16264.227616783679</v>
      </c>
      <c r="E147" s="5">
        <v>-24845.906168455855</v>
      </c>
      <c r="F147" s="5">
        <v>-5911.1887192310323</v>
      </c>
      <c r="G147" s="5">
        <v>-11614.81675358205</v>
      </c>
      <c r="H147" s="5">
        <v>-16531.986904766378</v>
      </c>
      <c r="I147" s="5">
        <v>-11310.435570141599</v>
      </c>
      <c r="J147" s="5">
        <v>-7688.9448747214756</v>
      </c>
      <c r="K147" s="5">
        <v>-11187.889289251618</v>
      </c>
      <c r="L147" s="5">
        <v>-8533.6212413120084</v>
      </c>
      <c r="M147" s="5">
        <v>-1894.2695894395779</v>
      </c>
    </row>
    <row r="148" spans="1:18" x14ac:dyDescent="0.25">
      <c r="N148" s="27"/>
      <c r="O148" s="27"/>
      <c r="P148" s="27"/>
      <c r="Q148" s="27"/>
      <c r="R148" s="27"/>
    </row>
    <row r="149" spans="1:18" x14ac:dyDescent="0.25">
      <c r="N149" s="27"/>
      <c r="O149" s="27"/>
      <c r="P149" s="27"/>
      <c r="Q149" s="27"/>
      <c r="R149" s="27"/>
    </row>
    <row r="150" spans="1:18" ht="29" customHeight="1" x14ac:dyDescent="0.25">
      <c r="B150" s="49" t="s">
        <v>40</v>
      </c>
      <c r="N150" s="27"/>
      <c r="O150" s="27"/>
      <c r="P150" s="27"/>
      <c r="Q150" s="27"/>
      <c r="R150" s="27"/>
    </row>
    <row r="151" spans="1:18" x14ac:dyDescent="0.25">
      <c r="N151" s="27"/>
      <c r="O151" s="27"/>
      <c r="P151" s="27"/>
      <c r="Q151" s="27"/>
      <c r="R151" s="27"/>
    </row>
    <row r="152" spans="1:18" ht="55.5" customHeight="1" x14ac:dyDescent="0.25">
      <c r="A152" s="1">
        <f>+A146+1</f>
        <v>30</v>
      </c>
      <c r="B152" s="18" t="s">
        <v>82</v>
      </c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7"/>
      <c r="O152" s="27"/>
      <c r="P152" s="27"/>
      <c r="Q152" s="27"/>
      <c r="R152" s="27"/>
    </row>
    <row r="153" spans="1:18" ht="28" customHeight="1" x14ac:dyDescent="0.25">
      <c r="B153" s="30" t="s">
        <v>0</v>
      </c>
      <c r="C153" s="29">
        <f>SUM(D153:M153)</f>
        <v>-1413695.4514019873</v>
      </c>
      <c r="D153" s="29">
        <v>-581019.64990434411</v>
      </c>
      <c r="E153" s="29">
        <v>138896.57016957074</v>
      </c>
      <c r="F153" s="29">
        <v>3386.7824858861677</v>
      </c>
      <c r="G153" s="29">
        <v>-148452.02662209893</v>
      </c>
      <c r="H153" s="29">
        <v>-372089.85153541155</v>
      </c>
      <c r="I153" s="29">
        <v>-234459.46679578611</v>
      </c>
      <c r="J153" s="29">
        <v>-77780.113228416114</v>
      </c>
      <c r="K153" s="29">
        <v>-272581.76306810469</v>
      </c>
      <c r="L153" s="29">
        <v>195789.82829337695</v>
      </c>
      <c r="M153" s="29">
        <v>-65385.761196659667</v>
      </c>
    </row>
    <row r="154" spans="1:18" x14ac:dyDescent="0.25">
      <c r="N154" s="27"/>
      <c r="O154" s="27"/>
      <c r="P154" s="27"/>
      <c r="Q154" s="27"/>
      <c r="R154" s="27"/>
    </row>
    <row r="155" spans="1:18" ht="72.650000000000006" customHeight="1" x14ac:dyDescent="0.25">
      <c r="A155" s="1">
        <f>+A152+1</f>
        <v>31</v>
      </c>
      <c r="B155" s="18" t="s">
        <v>39</v>
      </c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</row>
    <row r="156" spans="1:18" ht="28" customHeight="1" x14ac:dyDescent="0.25">
      <c r="B156" s="30" t="s">
        <v>0</v>
      </c>
      <c r="C156" s="29">
        <f>SUM(D156:M156)</f>
        <v>474.84801787632529</v>
      </c>
      <c r="D156" s="29">
        <v>285.16050665549153</v>
      </c>
      <c r="E156" s="29">
        <v>1.1501585315536271</v>
      </c>
      <c r="F156" s="29">
        <v>0</v>
      </c>
      <c r="G156" s="29">
        <v>-51.520331241914732</v>
      </c>
      <c r="H156" s="29">
        <v>17.803356540022499</v>
      </c>
      <c r="I156" s="29">
        <v>20.978995669951928</v>
      </c>
      <c r="J156" s="29">
        <v>-3.4656716230419686</v>
      </c>
      <c r="K156" s="29">
        <v>161.48590066544853</v>
      </c>
      <c r="L156" s="29">
        <v>0</v>
      </c>
      <c r="M156" s="29">
        <v>43.255102678813842</v>
      </c>
    </row>
    <row r="157" spans="1:18" x14ac:dyDescent="0.25">
      <c r="N157" s="27"/>
      <c r="O157" s="27"/>
      <c r="P157" s="27"/>
      <c r="Q157" s="27"/>
      <c r="R157" s="27"/>
    </row>
    <row r="158" spans="1:18" ht="59.25" customHeight="1" x14ac:dyDescent="0.25">
      <c r="A158" s="1">
        <f>A155+1</f>
        <v>32</v>
      </c>
      <c r="B158" s="18" t="s">
        <v>38</v>
      </c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</row>
    <row r="159" spans="1:18" ht="28" customHeight="1" x14ac:dyDescent="0.25">
      <c r="B159" s="30" t="s">
        <v>0</v>
      </c>
      <c r="C159" s="5">
        <f>SUM(D159:M159)</f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</row>
    <row r="160" spans="1:18" x14ac:dyDescent="0.25">
      <c r="B160" s="20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</row>
    <row r="161" spans="1:18" ht="19.5" customHeight="1" x14ac:dyDescent="0.25">
      <c r="A161" s="1">
        <f>+A158+1</f>
        <v>33</v>
      </c>
      <c r="B161" s="18" t="s">
        <v>37</v>
      </c>
      <c r="C161" s="60">
        <f t="shared" ref="C161" si="153">SUM(C162:C164)</f>
        <v>35089345.358095556</v>
      </c>
      <c r="D161" s="60">
        <f t="shared" ref="D161:E161" si="154">SUM(D162:D164)</f>
        <v>4640589.7303920509</v>
      </c>
      <c r="E161" s="60">
        <f t="shared" si="154"/>
        <v>8467118.1999999993</v>
      </c>
      <c r="F161" s="60">
        <f t="shared" ref="F161" si="155">SUM(F162:F164)</f>
        <v>1202840.5904637391</v>
      </c>
      <c r="G161" s="60">
        <f t="shared" ref="G161" si="156">SUM(G162:G164)</f>
        <v>3319918.424389652</v>
      </c>
      <c r="H161" s="60">
        <f t="shared" ref="H161" si="157">SUM(H162:H164)</f>
        <v>5199909.2016761666</v>
      </c>
      <c r="I161" s="60">
        <f t="shared" ref="I161" si="158">SUM(I162:I164)</f>
        <v>2439445.4099999997</v>
      </c>
      <c r="J161" s="60">
        <f t="shared" ref="J161:K161" si="159">SUM(J162:J164)</f>
        <v>2238115.6402167659</v>
      </c>
      <c r="K161" s="60">
        <f t="shared" si="159"/>
        <v>4851918.0879961438</v>
      </c>
      <c r="L161" s="60">
        <f t="shared" ref="L161:M161" si="160">SUM(L162:L164)</f>
        <v>1833792.997268043</v>
      </c>
      <c r="M161" s="60">
        <f t="shared" si="160"/>
        <v>895697.07569299149</v>
      </c>
    </row>
    <row r="162" spans="1:18" ht="27.65" customHeight="1" x14ac:dyDescent="0.25">
      <c r="B162" s="22" t="s">
        <v>36</v>
      </c>
      <c r="C162" s="37">
        <f t="shared" ref="C162:C164" si="161">SUM(D162:M162)</f>
        <v>25595803.399999999</v>
      </c>
      <c r="D162" s="37">
        <v>3815703.1180000002</v>
      </c>
      <c r="E162" s="37">
        <v>7291612</v>
      </c>
      <c r="F162" s="37">
        <v>841225</v>
      </c>
      <c r="G162" s="37">
        <v>1957003.944836</v>
      </c>
      <c r="H162" s="37">
        <v>3353043.7951639998</v>
      </c>
      <c r="I162" s="37">
        <v>1591058.1099999999</v>
      </c>
      <c r="J162" s="37">
        <v>1363557.2620000001</v>
      </c>
      <c r="K162" s="37">
        <v>3126641.2800000003</v>
      </c>
      <c r="L162" s="37">
        <v>1555407.05</v>
      </c>
      <c r="M162" s="37">
        <v>700551.84000000008</v>
      </c>
    </row>
    <row r="163" spans="1:18" ht="27.65" customHeight="1" x14ac:dyDescent="0.25">
      <c r="B163" s="22" t="s">
        <v>35</v>
      </c>
      <c r="C163" s="37">
        <f t="shared" si="161"/>
        <v>8848957.059712965</v>
      </c>
      <c r="D163" s="37">
        <v>764232.95177316177</v>
      </c>
      <c r="E163" s="37">
        <v>1065424.8400000001</v>
      </c>
      <c r="F163" s="37">
        <v>333825.10046373901</v>
      </c>
      <c r="G163" s="37">
        <v>1274136.5558965739</v>
      </c>
      <c r="H163" s="37">
        <v>1752348.2844659067</v>
      </c>
      <c r="I163" s="37">
        <v>788656</v>
      </c>
      <c r="J163" s="37">
        <v>812477.45969782188</v>
      </c>
      <c r="K163" s="37">
        <v>1625210.6990351474</v>
      </c>
      <c r="L163" s="37">
        <v>247254.71726804305</v>
      </c>
      <c r="M163" s="37">
        <v>185390.45111257269</v>
      </c>
    </row>
    <row r="164" spans="1:18" ht="27.65" customHeight="1" x14ac:dyDescent="0.25">
      <c r="B164" s="22" t="s">
        <v>34</v>
      </c>
      <c r="C164" s="37">
        <f t="shared" si="161"/>
        <v>644584.89838258608</v>
      </c>
      <c r="D164" s="37">
        <v>60653.660618888825</v>
      </c>
      <c r="E164" s="37">
        <v>110081.36</v>
      </c>
      <c r="F164" s="37">
        <v>27790.49</v>
      </c>
      <c r="G164" s="37">
        <v>88777.923657078398</v>
      </c>
      <c r="H164" s="37">
        <v>94517.122046259916</v>
      </c>
      <c r="I164" s="37">
        <v>59731.3</v>
      </c>
      <c r="J164" s="37">
        <v>62080.918518943923</v>
      </c>
      <c r="K164" s="37">
        <v>100066.10896099629</v>
      </c>
      <c r="L164" s="37">
        <v>31131.23</v>
      </c>
      <c r="M164" s="37">
        <v>9754.7845804187345</v>
      </c>
    </row>
    <row r="165" spans="1:18" x14ac:dyDescent="0.25">
      <c r="N165" s="27"/>
      <c r="O165" s="27"/>
      <c r="P165" s="27"/>
      <c r="Q165" s="27"/>
      <c r="R165" s="27"/>
    </row>
    <row r="166" spans="1:18" x14ac:dyDescent="0.25">
      <c r="N166" s="27"/>
      <c r="O166" s="27"/>
      <c r="P166" s="27"/>
      <c r="Q166" s="27"/>
      <c r="R166" s="27"/>
    </row>
    <row r="167" spans="1:18" ht="17.5" customHeight="1" x14ac:dyDescent="0.25">
      <c r="B167" s="49" t="s">
        <v>33</v>
      </c>
      <c r="N167" s="27"/>
      <c r="O167" s="27"/>
      <c r="P167" s="27"/>
      <c r="Q167" s="27"/>
      <c r="R167" s="27"/>
    </row>
    <row r="168" spans="1:18" x14ac:dyDescent="0.25">
      <c r="N168" s="27"/>
      <c r="O168" s="27"/>
      <c r="P168" s="27"/>
      <c r="Q168" s="27"/>
      <c r="R168" s="27"/>
    </row>
    <row r="169" spans="1:18" ht="49.5" customHeight="1" x14ac:dyDescent="0.25">
      <c r="A169" s="1">
        <f>+A161+1</f>
        <v>34</v>
      </c>
      <c r="B169" s="18" t="s">
        <v>32</v>
      </c>
      <c r="C169" s="23">
        <f>SUM(D169:M169)</f>
        <v>-18784122.375782605</v>
      </c>
      <c r="D169" s="23">
        <v>-4361052.6975647882</v>
      </c>
      <c r="E169" s="23">
        <v>-4072502.8544026194</v>
      </c>
      <c r="F169" s="23">
        <v>-769885.01216296852</v>
      </c>
      <c r="G169" s="23">
        <v>-1897331.6007701301</v>
      </c>
      <c r="H169" s="23">
        <v>-1418723.7889385172</v>
      </c>
      <c r="I169" s="23">
        <v>-2038812.0331398407</v>
      </c>
      <c r="J169" s="23">
        <v>-3020568.4935060088</v>
      </c>
      <c r="K169" s="23">
        <v>-1923903.3917954382</v>
      </c>
      <c r="L169" s="23">
        <v>224156.2077002541</v>
      </c>
      <c r="M169" s="23">
        <v>494501.28879745363</v>
      </c>
    </row>
    <row r="170" spans="1:18" x14ac:dyDescent="0.25">
      <c r="N170" s="27"/>
      <c r="O170" s="27"/>
      <c r="P170" s="27"/>
      <c r="Q170" s="27"/>
      <c r="R170" s="27"/>
    </row>
    <row r="171" spans="1:18" ht="32.25" customHeight="1" x14ac:dyDescent="0.25">
      <c r="A171" s="1">
        <f>+A169+1</f>
        <v>35</v>
      </c>
      <c r="B171" s="18" t="s">
        <v>31</v>
      </c>
      <c r="C171" s="26">
        <f t="shared" ref="C171" si="162">+C172*C173</f>
        <v>-56352.367127347818</v>
      </c>
      <c r="D171" s="26">
        <f t="shared" ref="D171:E171" si="163">+D172*D173</f>
        <v>-13083.158092694364</v>
      </c>
      <c r="E171" s="26">
        <f t="shared" si="163"/>
        <v>-12217.508563207859</v>
      </c>
      <c r="F171" s="26">
        <f t="shared" ref="F171" si="164">+F172*F173</f>
        <v>-2309.6550364889058</v>
      </c>
      <c r="G171" s="26">
        <f t="shared" ref="G171" si="165">+G172*G173</f>
        <v>-5691.9948023103907</v>
      </c>
      <c r="H171" s="26">
        <f t="shared" ref="H171" si="166">+H172*H173</f>
        <v>-4256.1713668155517</v>
      </c>
      <c r="I171" s="26">
        <f t="shared" ref="I171" si="167">+I172*I173</f>
        <v>-6116.4360994195222</v>
      </c>
      <c r="J171" s="26">
        <f t="shared" ref="J171:K171" si="168">+J172*J173</f>
        <v>-9061.7054805180269</v>
      </c>
      <c r="K171" s="26">
        <f t="shared" si="168"/>
        <v>-5771.7101753863153</v>
      </c>
      <c r="L171" s="26">
        <f t="shared" ref="L171:M171" si="169">+L172*L173</f>
        <v>672.46862310076233</v>
      </c>
      <c r="M171" s="26">
        <f t="shared" si="169"/>
        <v>1483.5038663923608</v>
      </c>
    </row>
    <row r="172" spans="1:18" ht="42" customHeight="1" x14ac:dyDescent="0.25">
      <c r="B172" s="4" t="s">
        <v>105</v>
      </c>
      <c r="C172" s="5">
        <f>SUM(D172:M172)</f>
        <v>-37568244.751565211</v>
      </c>
      <c r="D172" s="5">
        <v>-8722105.3951295763</v>
      </c>
      <c r="E172" s="5">
        <v>-8145005.7088052388</v>
      </c>
      <c r="F172" s="5">
        <v>-1539770.024325937</v>
      </c>
      <c r="G172" s="5">
        <v>-3794663.2015402601</v>
      </c>
      <c r="H172" s="5">
        <v>-2837447.5778770344</v>
      </c>
      <c r="I172" s="5">
        <v>-4077624.0662796814</v>
      </c>
      <c r="J172" s="5">
        <v>-6041136.9870120175</v>
      </c>
      <c r="K172" s="5">
        <v>-3847806.7835908765</v>
      </c>
      <c r="L172" s="5">
        <v>448312.41540050821</v>
      </c>
      <c r="M172" s="5">
        <v>989002.57759490726</v>
      </c>
    </row>
    <row r="173" spans="1:18" ht="33" customHeight="1" x14ac:dyDescent="0.25">
      <c r="B173" s="4" t="s">
        <v>90</v>
      </c>
      <c r="C173" s="25">
        <f t="shared" ref="C173:M173" si="170">+C43</f>
        <v>1.5E-3</v>
      </c>
      <c r="D173" s="25">
        <f t="shared" si="170"/>
        <v>1.5E-3</v>
      </c>
      <c r="E173" s="25">
        <f t="shared" si="170"/>
        <v>1.5E-3</v>
      </c>
      <c r="F173" s="25">
        <f t="shared" si="170"/>
        <v>1.5E-3</v>
      </c>
      <c r="G173" s="25">
        <f t="shared" si="170"/>
        <v>1.5E-3</v>
      </c>
      <c r="H173" s="25">
        <f t="shared" si="170"/>
        <v>1.5E-3</v>
      </c>
      <c r="I173" s="25">
        <f t="shared" si="170"/>
        <v>1.5E-3</v>
      </c>
      <c r="J173" s="25">
        <f t="shared" si="170"/>
        <v>1.5E-3</v>
      </c>
      <c r="K173" s="25">
        <f t="shared" si="170"/>
        <v>1.5E-3</v>
      </c>
      <c r="L173" s="25">
        <f t="shared" si="170"/>
        <v>1.5E-3</v>
      </c>
      <c r="M173" s="25">
        <f t="shared" si="170"/>
        <v>1.5E-3</v>
      </c>
    </row>
    <row r="175" spans="1:18" ht="40.5" customHeight="1" x14ac:dyDescent="0.25">
      <c r="A175" s="1">
        <f>+A171+1</f>
        <v>36</v>
      </c>
      <c r="B175" s="24" t="s">
        <v>106</v>
      </c>
      <c r="C175" s="59">
        <f t="shared" ref="C175" si="171">SUM(C176:C191)</f>
        <v>608668140.14698327</v>
      </c>
      <c r="D175" s="59">
        <f t="shared" ref="D175:E175" si="172">SUM(D176:D191)</f>
        <v>81610766.173161387</v>
      </c>
      <c r="E175" s="59">
        <f t="shared" si="172"/>
        <v>76789643.919371083</v>
      </c>
      <c r="F175" s="59">
        <f t="shared" ref="F175" si="173">SUM(F176:F191)</f>
        <v>22505118.73697615</v>
      </c>
      <c r="G175" s="59">
        <f t="shared" ref="G175" si="174">SUM(G176:G191)</f>
        <v>105032445.28096901</v>
      </c>
      <c r="H175" s="59">
        <f t="shared" ref="H175" si="175">SUM(H176:H191)</f>
        <v>103726728.37918639</v>
      </c>
      <c r="I175" s="59">
        <f t="shared" ref="I175" si="176">SUM(I176:I191)</f>
        <v>50512277.879583538</v>
      </c>
      <c r="J175" s="59">
        <f t="shared" ref="J175:K175" si="177">SUM(J176:J191)</f>
        <v>49762566.499169722</v>
      </c>
      <c r="K175" s="59">
        <f t="shared" si="177"/>
        <v>93839452.892393127</v>
      </c>
      <c r="L175" s="59">
        <f t="shared" ref="L175:M175" si="178">SUM(L176:L191)</f>
        <v>12803133.785142802</v>
      </c>
      <c r="M175" s="59">
        <f t="shared" si="178"/>
        <v>12086006.601030005</v>
      </c>
    </row>
    <row r="176" spans="1:18" s="53" customFormat="1" ht="27.65" customHeight="1" x14ac:dyDescent="0.25">
      <c r="B176" s="22" t="s">
        <v>30</v>
      </c>
      <c r="C176" s="37">
        <f t="shared" ref="C176:C189" si="179">SUM(D176:M176)</f>
        <v>35181276.237993181</v>
      </c>
      <c r="D176" s="37">
        <v>4814102.2288304903</v>
      </c>
      <c r="E176" s="37">
        <v>4721527.4801381817</v>
      </c>
      <c r="F176" s="37">
        <v>1410307.0353550797</v>
      </c>
      <c r="G176" s="37">
        <v>6057135.4798957007</v>
      </c>
      <c r="H176" s="37">
        <v>5832897.7412097612</v>
      </c>
      <c r="I176" s="37">
        <v>2858767.6204307382</v>
      </c>
      <c r="J176" s="37">
        <v>2911681.7073521675</v>
      </c>
      <c r="K176" s="37">
        <v>5162158.8216026137</v>
      </c>
      <c r="L176" s="37">
        <v>750028.80728511815</v>
      </c>
      <c r="M176" s="37">
        <v>662669.315893327</v>
      </c>
    </row>
    <row r="177" spans="1:13" s="53" customFormat="1" ht="27.65" customHeight="1" x14ac:dyDescent="0.25">
      <c r="B177" s="22" t="s">
        <v>29</v>
      </c>
      <c r="C177" s="37">
        <f t="shared" si="179"/>
        <v>84972050.412816107</v>
      </c>
      <c r="D177" s="37">
        <v>11767721.964320976</v>
      </c>
      <c r="E177" s="37">
        <v>11445445.05254367</v>
      </c>
      <c r="F177" s="37">
        <v>3142793.1268860293</v>
      </c>
      <c r="G177" s="37">
        <v>13963600.221189257</v>
      </c>
      <c r="H177" s="37">
        <v>14212178.363054512</v>
      </c>
      <c r="I177" s="37">
        <v>7079943.5226741806</v>
      </c>
      <c r="J177" s="37">
        <v>7063739.9743343098</v>
      </c>
      <c r="K177" s="37">
        <v>12791113.274016663</v>
      </c>
      <c r="L177" s="37">
        <v>1957593.8153812946</v>
      </c>
      <c r="M177" s="37">
        <v>1547921.0984152262</v>
      </c>
    </row>
    <row r="178" spans="1:13" s="53" customFormat="1" ht="27.65" customHeight="1" x14ac:dyDescent="0.25">
      <c r="B178" s="22" t="s">
        <v>28</v>
      </c>
      <c r="C178" s="37">
        <f t="shared" si="179"/>
        <v>124480076.12942289</v>
      </c>
      <c r="D178" s="37">
        <v>16730542.894474953</v>
      </c>
      <c r="E178" s="37">
        <v>16362839.593439832</v>
      </c>
      <c r="F178" s="37">
        <v>4770113.2499137707</v>
      </c>
      <c r="G178" s="37">
        <v>21405121.138399001</v>
      </c>
      <c r="H178" s="37">
        <v>20623740.761601001</v>
      </c>
      <c r="I178" s="37">
        <v>10586956.383499999</v>
      </c>
      <c r="J178" s="37">
        <v>10803094.285402237</v>
      </c>
      <c r="K178" s="37">
        <v>18340459.526000001</v>
      </c>
      <c r="L178" s="37">
        <v>2663065.6266920823</v>
      </c>
      <c r="M178" s="37">
        <v>2194142.67</v>
      </c>
    </row>
    <row r="179" spans="1:13" s="53" customFormat="1" ht="27.65" customHeight="1" x14ac:dyDescent="0.25">
      <c r="B179" s="22" t="s">
        <v>27</v>
      </c>
      <c r="C179" s="37">
        <f t="shared" si="179"/>
        <v>9667686.620000001</v>
      </c>
      <c r="D179" s="37">
        <v>1092800.3777200002</v>
      </c>
      <c r="E179" s="37">
        <v>217225.06</v>
      </c>
      <c r="F179" s="37">
        <v>391298.55</v>
      </c>
      <c r="G179" s="37">
        <v>1819826.140568</v>
      </c>
      <c r="H179" s="37">
        <v>2863194.2194320001</v>
      </c>
      <c r="I179" s="37">
        <v>969801</v>
      </c>
      <c r="J179" s="37">
        <v>518965.34227999987</v>
      </c>
      <c r="K179" s="37">
        <v>1429972.68</v>
      </c>
      <c r="L179" s="37">
        <v>201179.45</v>
      </c>
      <c r="M179" s="37">
        <v>163423.79999999999</v>
      </c>
    </row>
    <row r="180" spans="1:13" s="53" customFormat="1" ht="20.5" customHeight="1" x14ac:dyDescent="0.25">
      <c r="B180" s="22" t="s">
        <v>26</v>
      </c>
      <c r="C180" s="37">
        <f t="shared" si="179"/>
        <v>62908506.158652566</v>
      </c>
      <c r="D180" s="37">
        <v>8309371.704754917</v>
      </c>
      <c r="E180" s="37">
        <v>7855851.8339699218</v>
      </c>
      <c r="F180" s="37">
        <v>2270769.7283307603</v>
      </c>
      <c r="G180" s="37">
        <v>10950224.92793709</v>
      </c>
      <c r="H180" s="37">
        <v>10728980.453199686</v>
      </c>
      <c r="I180" s="37">
        <v>5160988.1609868137</v>
      </c>
      <c r="J180" s="37">
        <v>4970365.4338315651</v>
      </c>
      <c r="K180" s="37">
        <v>10025246.275261469</v>
      </c>
      <c r="L180" s="37">
        <v>1291900.0224283608</v>
      </c>
      <c r="M180" s="37">
        <v>1344807.6179519799</v>
      </c>
    </row>
    <row r="181" spans="1:13" s="53" customFormat="1" ht="20.5" customHeight="1" x14ac:dyDescent="0.25">
      <c r="B181" s="22" t="s">
        <v>25</v>
      </c>
      <c r="C181" s="37">
        <f t="shared" si="179"/>
        <v>2691198.6610990041</v>
      </c>
      <c r="D181" s="37">
        <v>753925.42858600244</v>
      </c>
      <c r="E181" s="37">
        <v>126234.27</v>
      </c>
      <c r="F181" s="37">
        <v>96379.430000000008</v>
      </c>
      <c r="G181" s="37">
        <v>571993.15109900001</v>
      </c>
      <c r="H181" s="37">
        <v>216765.61000000002</v>
      </c>
      <c r="I181" s="37">
        <v>165466.03</v>
      </c>
      <c r="J181" s="37">
        <v>679375.34141400177</v>
      </c>
      <c r="K181" s="37">
        <v>71864.52</v>
      </c>
      <c r="L181" s="37">
        <v>9189.6299999999992</v>
      </c>
      <c r="M181" s="37">
        <v>5.25</v>
      </c>
    </row>
    <row r="182" spans="1:13" s="53" customFormat="1" ht="20.5" customHeight="1" x14ac:dyDescent="0.25">
      <c r="B182" s="22" t="s">
        <v>24</v>
      </c>
      <c r="C182" s="37">
        <f t="shared" si="179"/>
        <v>19060432.864283685</v>
      </c>
      <c r="D182" s="37">
        <v>2517628.0791572351</v>
      </c>
      <c r="E182" s="37">
        <v>2380217.6464899024</v>
      </c>
      <c r="F182" s="37">
        <v>688012.74422160292</v>
      </c>
      <c r="G182" s="37">
        <v>3317771.1542120818</v>
      </c>
      <c r="H182" s="37">
        <v>3250737.0484157866</v>
      </c>
      <c r="I182" s="37">
        <v>1563710.1301971064</v>
      </c>
      <c r="J182" s="37">
        <v>1505954.0028431027</v>
      </c>
      <c r="K182" s="37">
        <v>3037515.0396294859</v>
      </c>
      <c r="L182" s="37">
        <v>391428.36396021303</v>
      </c>
      <c r="M182" s="37">
        <v>407458.65515716764</v>
      </c>
    </row>
    <row r="183" spans="1:13" s="53" customFormat="1" ht="20.5" customHeight="1" x14ac:dyDescent="0.25">
      <c r="B183" s="22" t="s">
        <v>23</v>
      </c>
      <c r="C183" s="37">
        <f t="shared" si="179"/>
        <v>10087257.51383003</v>
      </c>
      <c r="D183" s="37">
        <v>1332391.7111083248</v>
      </c>
      <c r="E183" s="37">
        <v>1259670.6753757359</v>
      </c>
      <c r="F183" s="37">
        <v>364113.54207831115</v>
      </c>
      <c r="G183" s="37">
        <v>1755847.4271172904</v>
      </c>
      <c r="H183" s="37">
        <v>1720371.3027191067</v>
      </c>
      <c r="I183" s="37">
        <v>827554.48801165971</v>
      </c>
      <c r="J183" s="37">
        <v>796988.50172112253</v>
      </c>
      <c r="K183" s="37">
        <v>1607528.8858884869</v>
      </c>
      <c r="L183" s="37">
        <v>207153.67450456074</v>
      </c>
      <c r="M183" s="37">
        <v>215637.30530543136</v>
      </c>
    </row>
    <row r="184" spans="1:13" s="53" customFormat="1" ht="20.5" customHeight="1" x14ac:dyDescent="0.25">
      <c r="B184" s="22" t="s">
        <v>22</v>
      </c>
      <c r="C184" s="37">
        <f t="shared" si="179"/>
        <v>3267974.345904029</v>
      </c>
      <c r="D184" s="37">
        <v>431655.67297428136</v>
      </c>
      <c r="E184" s="37">
        <v>408096.19916726864</v>
      </c>
      <c r="F184" s="37">
        <v>117962.06380939014</v>
      </c>
      <c r="G184" s="37">
        <v>568842.85339932935</v>
      </c>
      <c r="H184" s="37">
        <v>557349.63393245114</v>
      </c>
      <c r="I184" s="37">
        <v>268103.28109022405</v>
      </c>
      <c r="J184" s="37">
        <v>258200.80175748392</v>
      </c>
      <c r="K184" s="37">
        <v>520792.01429929707</v>
      </c>
      <c r="L184" s="37">
        <v>67111.689476797968</v>
      </c>
      <c r="M184" s="37">
        <v>69860.135997505437</v>
      </c>
    </row>
    <row r="185" spans="1:13" s="53" customFormat="1" ht="20.5" customHeight="1" x14ac:dyDescent="0.25">
      <c r="B185" s="22" t="s">
        <v>21</v>
      </c>
      <c r="C185" s="37">
        <f t="shared" si="179"/>
        <v>247961679.72570285</v>
      </c>
      <c r="D185" s="37">
        <v>32752419.2067127</v>
      </c>
      <c r="E185" s="37">
        <v>30964814.384795245</v>
      </c>
      <c r="F185" s="37">
        <v>8950520.5335372332</v>
      </c>
      <c r="G185" s="37">
        <v>43161669.737600103</v>
      </c>
      <c r="H185" s="37">
        <v>42289607.19890999</v>
      </c>
      <c r="I185" s="37">
        <v>20342674.966964543</v>
      </c>
      <c r="J185" s="37">
        <v>19591311.844462413</v>
      </c>
      <c r="K185" s="37">
        <v>39515751.650633775</v>
      </c>
      <c r="L185" s="37">
        <v>5092184.1760337064</v>
      </c>
      <c r="M185" s="37">
        <v>5300726.0260531446</v>
      </c>
    </row>
    <row r="186" spans="1:13" s="53" customFormat="1" ht="20.5" customHeight="1" x14ac:dyDescent="0.25">
      <c r="B186" s="22" t="s">
        <v>20</v>
      </c>
      <c r="C186" s="37">
        <f t="shared" si="179"/>
        <v>0</v>
      </c>
      <c r="D186" s="37">
        <v>0</v>
      </c>
      <c r="E186" s="37">
        <v>0</v>
      </c>
      <c r="F186" s="37">
        <v>0</v>
      </c>
      <c r="G186" s="37">
        <v>0</v>
      </c>
      <c r="H186" s="37">
        <v>0</v>
      </c>
      <c r="I186" s="37">
        <v>0</v>
      </c>
      <c r="J186" s="37">
        <v>0</v>
      </c>
      <c r="K186" s="37">
        <v>0</v>
      </c>
      <c r="L186" s="37">
        <v>0</v>
      </c>
      <c r="M186" s="37">
        <v>0</v>
      </c>
    </row>
    <row r="187" spans="1:13" s="53" customFormat="1" ht="20.5" customHeight="1" x14ac:dyDescent="0.25">
      <c r="B187" s="22" t="s">
        <v>19</v>
      </c>
      <c r="C187" s="37">
        <f t="shared" si="179"/>
        <v>4426069.6317841606</v>
      </c>
      <c r="D187" s="37">
        <v>584624.56045085762</v>
      </c>
      <c r="E187" s="37">
        <v>552716.14853546734</v>
      </c>
      <c r="F187" s="37">
        <v>159765.11840850904</v>
      </c>
      <c r="G187" s="37">
        <v>770427.73663259344</v>
      </c>
      <c r="H187" s="37">
        <v>754861.58333107235</v>
      </c>
      <c r="I187" s="37">
        <v>363112.94551697857</v>
      </c>
      <c r="J187" s="37">
        <v>349701.25423214788</v>
      </c>
      <c r="K187" s="37">
        <v>705348.78030940157</v>
      </c>
      <c r="L187" s="37">
        <v>90894.535663441013</v>
      </c>
      <c r="M187" s="37">
        <v>94616.968703692139</v>
      </c>
    </row>
    <row r="188" spans="1:13" s="53" customFormat="1" ht="20.5" customHeight="1" x14ac:dyDescent="0.25">
      <c r="B188" s="22" t="s">
        <v>18</v>
      </c>
      <c r="C188" s="37">
        <f t="shared" si="179"/>
        <v>0</v>
      </c>
      <c r="D188" s="37">
        <v>0</v>
      </c>
      <c r="E188" s="37">
        <v>0</v>
      </c>
      <c r="F188" s="37">
        <v>0</v>
      </c>
      <c r="G188" s="37">
        <v>0</v>
      </c>
      <c r="H188" s="37">
        <v>0</v>
      </c>
      <c r="I188" s="37">
        <v>0</v>
      </c>
      <c r="J188" s="37">
        <v>0</v>
      </c>
      <c r="K188" s="37">
        <v>0</v>
      </c>
      <c r="L188" s="37">
        <v>0</v>
      </c>
      <c r="M188" s="37">
        <v>0</v>
      </c>
    </row>
    <row r="189" spans="1:13" s="53" customFormat="1" ht="20.5" customHeight="1" x14ac:dyDescent="0.25">
      <c r="B189" s="22" t="s">
        <v>17</v>
      </c>
      <c r="C189" s="37">
        <f t="shared" si="179"/>
        <v>3963931.845494702</v>
      </c>
      <c r="D189" s="37">
        <v>523582.34407065611</v>
      </c>
      <c r="E189" s="37">
        <v>495005.57491585362</v>
      </c>
      <c r="F189" s="37">
        <v>143083.61443546397</v>
      </c>
      <c r="G189" s="37">
        <v>689985.31291955698</v>
      </c>
      <c r="H189" s="37">
        <v>676044.46338102885</v>
      </c>
      <c r="I189" s="37">
        <v>325199.35021129029</v>
      </c>
      <c r="J189" s="37">
        <v>313188.00953917031</v>
      </c>
      <c r="K189" s="37">
        <v>631701.42475192517</v>
      </c>
      <c r="L189" s="37">
        <v>81403.99371722716</v>
      </c>
      <c r="M189" s="37">
        <v>84737.757552529743</v>
      </c>
    </row>
    <row r="190" spans="1:13" s="53" customFormat="1" ht="20.5" customHeight="1" x14ac:dyDescent="0.25">
      <c r="B190" s="52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</row>
    <row r="191" spans="1:13" ht="20.5" customHeight="1" x14ac:dyDescent="0.25">
      <c r="B191" s="21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</row>
    <row r="192" spans="1:13" ht="48" customHeight="1" x14ac:dyDescent="0.25">
      <c r="A192" s="1">
        <f>+A175+1</f>
        <v>37</v>
      </c>
      <c r="B192" s="18" t="s">
        <v>107</v>
      </c>
      <c r="C192" s="23">
        <f t="shared" ref="C192:C193" si="180">SUM(D192:M192)</f>
        <v>6619579</v>
      </c>
      <c r="D192" s="23">
        <v>3650766.3204000001</v>
      </c>
      <c r="E192" s="23">
        <v>330313</v>
      </c>
      <c r="F192" s="23">
        <v>38572</v>
      </c>
      <c r="G192" s="23">
        <v>145059.20990000002</v>
      </c>
      <c r="H192" s="23">
        <v>332335.79009999998</v>
      </c>
      <c r="I192" s="23">
        <v>165124</v>
      </c>
      <c r="J192" s="23">
        <v>1673898.6795999999</v>
      </c>
      <c r="K192" s="23">
        <v>247577</v>
      </c>
      <c r="L192" s="23">
        <v>4015</v>
      </c>
      <c r="M192" s="23">
        <v>31918</v>
      </c>
    </row>
    <row r="193" spans="1:13" ht="42" customHeight="1" x14ac:dyDescent="0.25">
      <c r="A193" s="1">
        <f>+A192+1</f>
        <v>38</v>
      </c>
      <c r="B193" s="18" t="s">
        <v>108</v>
      </c>
      <c r="C193" s="23">
        <f t="shared" si="180"/>
        <v>6488027.0047999993</v>
      </c>
      <c r="D193" s="23">
        <v>2602228.4046</v>
      </c>
      <c r="E193" s="23">
        <v>41</v>
      </c>
      <c r="F193" s="23">
        <v>864</v>
      </c>
      <c r="G193" s="23">
        <v>292486.3702</v>
      </c>
      <c r="H193" s="23">
        <v>165573.63</v>
      </c>
      <c r="I193" s="23">
        <v>848698</v>
      </c>
      <c r="J193" s="23">
        <v>1090841.5999999999</v>
      </c>
      <c r="K193" s="23">
        <v>1414733</v>
      </c>
      <c r="L193" s="23">
        <v>7479</v>
      </c>
      <c r="M193" s="23">
        <v>65082</v>
      </c>
    </row>
    <row r="194" spans="1:13" x14ac:dyDescent="0.25">
      <c r="B194" s="20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</row>
    <row r="195" spans="1:13" x14ac:dyDescent="0.25">
      <c r="B195" s="20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</row>
    <row r="196" spans="1:13" x14ac:dyDescent="0.25">
      <c r="B196" s="20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</row>
    <row r="197" spans="1:13" ht="13" x14ac:dyDescent="0.25">
      <c r="B197" s="20"/>
      <c r="C197" s="19" t="s">
        <v>16</v>
      </c>
      <c r="D197" s="19" t="s">
        <v>16</v>
      </c>
      <c r="E197" s="19" t="s">
        <v>16</v>
      </c>
      <c r="F197" s="19" t="s">
        <v>16</v>
      </c>
      <c r="G197" s="19" t="s">
        <v>16</v>
      </c>
      <c r="H197" s="19" t="s">
        <v>16</v>
      </c>
      <c r="I197" s="19" t="s">
        <v>16</v>
      </c>
      <c r="J197" s="19" t="s">
        <v>16</v>
      </c>
      <c r="K197" s="19" t="s">
        <v>16</v>
      </c>
      <c r="L197" s="19" t="s">
        <v>16</v>
      </c>
      <c r="M197" s="19" t="s">
        <v>16</v>
      </c>
    </row>
    <row r="198" spans="1:13" x14ac:dyDescent="0.25">
      <c r="B198" s="18"/>
      <c r="C198" s="12">
        <f t="shared" ref="C198:M198" si="181">C5</f>
        <v>2021</v>
      </c>
      <c r="D198" s="12">
        <f t="shared" si="181"/>
        <v>2021</v>
      </c>
      <c r="E198" s="12">
        <f t="shared" si="181"/>
        <v>2021</v>
      </c>
      <c r="F198" s="12">
        <f t="shared" si="181"/>
        <v>2021</v>
      </c>
      <c r="G198" s="12">
        <f t="shared" si="181"/>
        <v>2021</v>
      </c>
      <c r="H198" s="12">
        <f t="shared" si="181"/>
        <v>2021</v>
      </c>
      <c r="I198" s="12">
        <f t="shared" si="181"/>
        <v>2021</v>
      </c>
      <c r="J198" s="12">
        <f t="shared" si="181"/>
        <v>2021</v>
      </c>
      <c r="K198" s="12">
        <f t="shared" si="181"/>
        <v>2021</v>
      </c>
      <c r="L198" s="12">
        <f t="shared" si="181"/>
        <v>2021</v>
      </c>
      <c r="M198" s="12">
        <f t="shared" si="181"/>
        <v>2021</v>
      </c>
    </row>
    <row r="199" spans="1:13" x14ac:dyDescent="0.25">
      <c r="B199" s="17"/>
      <c r="C199" s="16" t="str">
        <f t="shared" ref="C199:M199" si="182">C6</f>
        <v>ALLE DNB'S</v>
      </c>
      <c r="D199" s="16" t="str">
        <f t="shared" si="182"/>
        <v>FLUVIUS ANTWERPEN</v>
      </c>
      <c r="E199" s="16" t="str">
        <f t="shared" si="182"/>
        <v>FLUVIUS LIMBURG</v>
      </c>
      <c r="F199" s="16" t="str">
        <f t="shared" si="182"/>
        <v>FLUVIUS WEST</v>
      </c>
      <c r="G199" s="16" t="str">
        <f t="shared" si="182"/>
        <v>GASELWEST</v>
      </c>
      <c r="H199" s="16" t="str">
        <f t="shared" si="182"/>
        <v>IMEWO</v>
      </c>
      <c r="I199" s="16" t="str">
        <f t="shared" si="182"/>
        <v>INTERGEM</v>
      </c>
      <c r="J199" s="16" t="str">
        <f t="shared" si="182"/>
        <v>IVEKA</v>
      </c>
      <c r="K199" s="16" t="str">
        <f t="shared" si="182"/>
        <v>IVERLEK</v>
      </c>
      <c r="L199" s="16" t="str">
        <f t="shared" si="182"/>
        <v>PBE</v>
      </c>
      <c r="M199" s="16" t="str">
        <f t="shared" si="182"/>
        <v>SIBELGAS</v>
      </c>
    </row>
    <row r="200" spans="1:13" x14ac:dyDescent="0.25">
      <c r="B200" s="15"/>
      <c r="C200" s="14" t="str">
        <f t="shared" ref="C200:M200" si="183">C7</f>
        <v>elektriciteit</v>
      </c>
      <c r="D200" s="14" t="str">
        <f t="shared" si="183"/>
        <v>elektriciteit</v>
      </c>
      <c r="E200" s="14" t="str">
        <f t="shared" si="183"/>
        <v>elektriciteit</v>
      </c>
      <c r="F200" s="14" t="str">
        <f t="shared" si="183"/>
        <v>elektriciteit</v>
      </c>
      <c r="G200" s="14" t="str">
        <f t="shared" si="183"/>
        <v>elektriciteit</v>
      </c>
      <c r="H200" s="14" t="str">
        <f t="shared" si="183"/>
        <v>elektriciteit</v>
      </c>
      <c r="I200" s="14" t="str">
        <f t="shared" si="183"/>
        <v>elektriciteit</v>
      </c>
      <c r="J200" s="14" t="str">
        <f t="shared" si="183"/>
        <v>elektriciteit</v>
      </c>
      <c r="K200" s="14" t="str">
        <f t="shared" si="183"/>
        <v>elektriciteit</v>
      </c>
      <c r="L200" s="14" t="str">
        <f t="shared" si="183"/>
        <v>elektriciteit</v>
      </c>
      <c r="M200" s="14" t="str">
        <f t="shared" si="183"/>
        <v>elektriciteit</v>
      </c>
    </row>
    <row r="201" spans="1:13" ht="32.25" customHeight="1" x14ac:dyDescent="0.25">
      <c r="B201" s="13" t="s">
        <v>15</v>
      </c>
      <c r="C201" s="9">
        <f t="shared" ref="C201:M201" si="184">SUM(C17,C20,C23,C26,C29,C31,C41,C45,C51,C57,C63)</f>
        <v>16188349.800353581</v>
      </c>
      <c r="D201" s="9">
        <f t="shared" si="184"/>
        <v>1692127.5651767652</v>
      </c>
      <c r="E201" s="9">
        <f t="shared" si="184"/>
        <v>-1891444.7513196408</v>
      </c>
      <c r="F201" s="9">
        <f t="shared" si="184"/>
        <v>-751765.63782563212</v>
      </c>
      <c r="G201" s="9">
        <f t="shared" si="184"/>
        <v>3445241.2781421645</v>
      </c>
      <c r="H201" s="9">
        <f t="shared" si="184"/>
        <v>3205055.1649805252</v>
      </c>
      <c r="I201" s="9">
        <f t="shared" si="184"/>
        <v>1248227.7948871281</v>
      </c>
      <c r="J201" s="9">
        <f t="shared" si="184"/>
        <v>4423370.3208570536</v>
      </c>
      <c r="K201" s="9">
        <f t="shared" si="184"/>
        <v>3696865.5906236419</v>
      </c>
      <c r="L201" s="9">
        <f t="shared" si="184"/>
        <v>505309.0116428553</v>
      </c>
      <c r="M201" s="9">
        <f t="shared" si="184"/>
        <v>615363.46318871679</v>
      </c>
    </row>
    <row r="202" spans="1:13" ht="21" customHeight="1" x14ac:dyDescent="0.25">
      <c r="B202" s="13" t="s">
        <v>14</v>
      </c>
      <c r="C202" s="9">
        <f t="shared" ref="C202:M202" si="185">SUM(C73,C76,C79)</f>
        <v>-48748.691618262528</v>
      </c>
      <c r="D202" s="9">
        <f t="shared" si="185"/>
        <v>-17807.014027245863</v>
      </c>
      <c r="E202" s="9">
        <f t="shared" si="185"/>
        <v>-15152.33574198775</v>
      </c>
      <c r="F202" s="9">
        <f t="shared" si="185"/>
        <v>201.66425468027387</v>
      </c>
      <c r="G202" s="9">
        <f t="shared" si="185"/>
        <v>1895.5026875901376</v>
      </c>
      <c r="H202" s="9">
        <f t="shared" si="185"/>
        <v>580.51096321858131</v>
      </c>
      <c r="I202" s="9">
        <f t="shared" si="185"/>
        <v>-29062.481642961277</v>
      </c>
      <c r="J202" s="9">
        <f t="shared" si="185"/>
        <v>-25385.079828769769</v>
      </c>
      <c r="K202" s="9">
        <f t="shared" si="185"/>
        <v>13056.157211305182</v>
      </c>
      <c r="L202" s="9">
        <f t="shared" si="185"/>
        <v>11192.500897262178</v>
      </c>
      <c r="M202" s="9">
        <f t="shared" si="185"/>
        <v>11731.883608645781</v>
      </c>
    </row>
    <row r="203" spans="1:13" ht="31.5" customHeight="1" x14ac:dyDescent="0.25">
      <c r="B203" s="13" t="s">
        <v>13</v>
      </c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</row>
    <row r="204" spans="1:13" ht="33" customHeight="1" x14ac:dyDescent="0.25">
      <c r="B204" s="8" t="s">
        <v>12</v>
      </c>
      <c r="C204" s="9">
        <f t="shared" ref="C204:M204" si="186">SUM(C88,C91,C94,C96,C106:C107,C116,C118,C121:C122,C129:C130,C132)-SUM(C100,C109,C112,C125:C126)</f>
        <v>573845597.18811405</v>
      </c>
      <c r="D204" s="9">
        <f t="shared" si="186"/>
        <v>72512084.735672385</v>
      </c>
      <c r="E204" s="9">
        <f t="shared" si="186"/>
        <v>72718538.947170109</v>
      </c>
      <c r="F204" s="9">
        <f t="shared" si="186"/>
        <v>19719600.151575685</v>
      </c>
      <c r="G204" s="9">
        <f t="shared" si="186"/>
        <v>101802109.98445076</v>
      </c>
      <c r="H204" s="9">
        <f t="shared" si="186"/>
        <v>95100099.701859683</v>
      </c>
      <c r="I204" s="9">
        <f t="shared" si="186"/>
        <v>47229874.463842496</v>
      </c>
      <c r="J204" s="9">
        <f t="shared" si="186"/>
        <v>55481820.297724843</v>
      </c>
      <c r="K204" s="9">
        <f t="shared" si="186"/>
        <v>86988749.379347906</v>
      </c>
      <c r="L204" s="9">
        <f t="shared" si="186"/>
        <v>11595211.567295203</v>
      </c>
      <c r="M204" s="9">
        <f t="shared" si="186"/>
        <v>10697507.959175071</v>
      </c>
    </row>
    <row r="205" spans="1:13" ht="32.25" customHeight="1" x14ac:dyDescent="0.25">
      <c r="B205" s="11" t="s">
        <v>11</v>
      </c>
      <c r="C205" s="9">
        <f t="shared" ref="C205:M205" si="187">SUM(C169,C175,C192,C171)-C193</f>
        <v>589959217.3992734</v>
      </c>
      <c r="D205" s="9">
        <f t="shared" si="187"/>
        <v>78285168.233303919</v>
      </c>
      <c r="E205" s="9">
        <f t="shared" si="187"/>
        <v>73035195.556405261</v>
      </c>
      <c r="F205" s="9">
        <f t="shared" si="187"/>
        <v>21770632.069776691</v>
      </c>
      <c r="G205" s="9">
        <f t="shared" si="187"/>
        <v>102981994.52509658</v>
      </c>
      <c r="H205" s="9">
        <f t="shared" si="187"/>
        <v>102470510.57898106</v>
      </c>
      <c r="I205" s="9">
        <f t="shared" si="187"/>
        <v>47783775.41034428</v>
      </c>
      <c r="J205" s="9">
        <f t="shared" si="187"/>
        <v>47315993.379783198</v>
      </c>
      <c r="K205" s="9">
        <f t="shared" si="187"/>
        <v>90742621.790422305</v>
      </c>
      <c r="L205" s="9">
        <f t="shared" si="187"/>
        <v>13024498.461466156</v>
      </c>
      <c r="M205" s="9">
        <f t="shared" si="187"/>
        <v>12548827.393693851</v>
      </c>
    </row>
    <row r="206" spans="1:13" ht="32.25" customHeight="1" x14ac:dyDescent="0.25">
      <c r="B206" s="8" t="s">
        <v>10</v>
      </c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</row>
    <row r="207" spans="1:13" ht="32.25" customHeight="1" x14ac:dyDescent="0.25">
      <c r="B207" s="8" t="s">
        <v>9</v>
      </c>
      <c r="C207" s="9">
        <f t="shared" ref="C207:M207" si="188">SUM(C141,C144,C147)</f>
        <v>-1364668.9778284039</v>
      </c>
      <c r="D207" s="9">
        <f t="shared" si="188"/>
        <v>-160122.37519589046</v>
      </c>
      <c r="E207" s="9">
        <f t="shared" si="188"/>
        <v>82985.770671631035</v>
      </c>
      <c r="F207" s="9">
        <f t="shared" si="188"/>
        <v>34464.409631999333</v>
      </c>
      <c r="G207" s="9">
        <f t="shared" si="188"/>
        <v>-36880.988243226442</v>
      </c>
      <c r="H207" s="9">
        <f t="shared" si="188"/>
        <v>-13239.109719309996</v>
      </c>
      <c r="I207" s="9">
        <f t="shared" si="188"/>
        <v>-39615.450247422879</v>
      </c>
      <c r="J207" s="9">
        <f t="shared" si="188"/>
        <v>-1259229.1546225983</v>
      </c>
      <c r="K207" s="9">
        <f t="shared" si="188"/>
        <v>-44277.094155205661</v>
      </c>
      <c r="L207" s="9">
        <f t="shared" si="188"/>
        <v>57088.183940521951</v>
      </c>
      <c r="M207" s="9">
        <f t="shared" si="188"/>
        <v>14156.830111097548</v>
      </c>
    </row>
    <row r="208" spans="1:13" ht="31.5" customHeight="1" x14ac:dyDescent="0.25">
      <c r="B208" s="8" t="s">
        <v>8</v>
      </c>
      <c r="C208" s="9">
        <f t="shared" ref="C208:M208" si="189">+SUM(C153,C156,C159,C161)</f>
        <v>33676124.754711449</v>
      </c>
      <c r="D208" s="9">
        <f t="shared" si="189"/>
        <v>4059855.2409943622</v>
      </c>
      <c r="E208" s="9">
        <f t="shared" si="189"/>
        <v>8606015.9203281011</v>
      </c>
      <c r="F208" s="9">
        <f t="shared" si="189"/>
        <v>1206227.3729496254</v>
      </c>
      <c r="G208" s="9">
        <f t="shared" si="189"/>
        <v>3171414.877436311</v>
      </c>
      <c r="H208" s="9">
        <f t="shared" si="189"/>
        <v>4827837.1534972955</v>
      </c>
      <c r="I208" s="9">
        <f t="shared" si="189"/>
        <v>2205006.9221998835</v>
      </c>
      <c r="J208" s="9">
        <f t="shared" si="189"/>
        <v>2160332.0613167267</v>
      </c>
      <c r="K208" s="9">
        <f t="shared" si="189"/>
        <v>4579497.8108287044</v>
      </c>
      <c r="L208" s="9">
        <f t="shared" si="189"/>
        <v>2029582.8255614201</v>
      </c>
      <c r="M208" s="9">
        <f t="shared" si="189"/>
        <v>830354.56959901063</v>
      </c>
    </row>
    <row r="209" spans="2:13" ht="13.5" customHeight="1" x14ac:dyDescent="0.25">
      <c r="B209" s="8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</row>
    <row r="210" spans="2:13" ht="32.25" customHeight="1" x14ac:dyDescent="0.25">
      <c r="B210" s="6" t="s">
        <v>7</v>
      </c>
      <c r="C210" s="51">
        <f t="shared" ref="C210:M210" si="190">SUM(C206:C208,C201:C204)</f>
        <v>622296654.07373238</v>
      </c>
      <c r="D210" s="51">
        <f t="shared" si="190"/>
        <v>78086138.152620375</v>
      </c>
      <c r="E210" s="51">
        <f t="shared" si="190"/>
        <v>79500943.551108211</v>
      </c>
      <c r="F210" s="51">
        <f t="shared" si="190"/>
        <v>20208727.960586358</v>
      </c>
      <c r="G210" s="51">
        <f t="shared" si="190"/>
        <v>108383780.6544736</v>
      </c>
      <c r="H210" s="51">
        <f t="shared" si="190"/>
        <v>103120333.42158142</v>
      </c>
      <c r="I210" s="51">
        <f t="shared" si="190"/>
        <v>50614431.249039121</v>
      </c>
      <c r="J210" s="51">
        <f t="shared" si="190"/>
        <v>60780908.445447251</v>
      </c>
      <c r="K210" s="51">
        <f t="shared" si="190"/>
        <v>95233891.84385635</v>
      </c>
      <c r="L210" s="51">
        <f t="shared" si="190"/>
        <v>14198384.089337263</v>
      </c>
      <c r="M210" s="51">
        <f t="shared" si="190"/>
        <v>12169114.705682542</v>
      </c>
    </row>
    <row r="211" spans="2:13" ht="32.25" customHeight="1" x14ac:dyDescent="0.25">
      <c r="B211" s="6" t="s">
        <v>6</v>
      </c>
      <c r="C211" s="51">
        <f t="shared" ref="C211:M211" si="191">SUM(C205)</f>
        <v>589959217.3992734</v>
      </c>
      <c r="D211" s="51">
        <f t="shared" si="191"/>
        <v>78285168.233303919</v>
      </c>
      <c r="E211" s="51">
        <f t="shared" si="191"/>
        <v>73035195.556405261</v>
      </c>
      <c r="F211" s="51">
        <f t="shared" si="191"/>
        <v>21770632.069776691</v>
      </c>
      <c r="G211" s="51">
        <f t="shared" si="191"/>
        <v>102981994.52509658</v>
      </c>
      <c r="H211" s="51">
        <f t="shared" si="191"/>
        <v>102470510.57898106</v>
      </c>
      <c r="I211" s="51">
        <f t="shared" si="191"/>
        <v>47783775.41034428</v>
      </c>
      <c r="J211" s="51">
        <f t="shared" si="191"/>
        <v>47315993.379783198</v>
      </c>
      <c r="K211" s="51">
        <f t="shared" si="191"/>
        <v>90742621.790422305</v>
      </c>
      <c r="L211" s="51">
        <f t="shared" si="191"/>
        <v>13024498.461466156</v>
      </c>
      <c r="M211" s="51">
        <f t="shared" si="191"/>
        <v>12548827.393693851</v>
      </c>
    </row>
    <row r="212" spans="2:13" ht="32.25" customHeight="1" x14ac:dyDescent="0.25">
      <c r="B212" s="6" t="s">
        <v>5</v>
      </c>
      <c r="C212" s="51">
        <f t="shared" ref="C212:M212" si="192">+SUM(C210:C211)</f>
        <v>1212255871.4730058</v>
      </c>
      <c r="D212" s="51">
        <f t="shared" si="192"/>
        <v>156371306.38592428</v>
      </c>
      <c r="E212" s="51">
        <f t="shared" si="192"/>
        <v>152536139.10751349</v>
      </c>
      <c r="F212" s="51">
        <f t="shared" si="192"/>
        <v>41979360.030363053</v>
      </c>
      <c r="G212" s="51">
        <f t="shared" si="192"/>
        <v>211365775.1795702</v>
      </c>
      <c r="H212" s="51">
        <f t="shared" si="192"/>
        <v>205590844.00056249</v>
      </c>
      <c r="I212" s="51">
        <f t="shared" si="192"/>
        <v>98398206.659383401</v>
      </c>
      <c r="J212" s="51">
        <f t="shared" si="192"/>
        <v>108096901.82523045</v>
      </c>
      <c r="K212" s="51">
        <f t="shared" si="192"/>
        <v>185976513.63427866</v>
      </c>
      <c r="L212" s="51">
        <f t="shared" si="192"/>
        <v>27222882.550803419</v>
      </c>
      <c r="M212" s="51">
        <f t="shared" si="192"/>
        <v>24717942.099376395</v>
      </c>
    </row>
    <row r="216" spans="2:13" ht="13" x14ac:dyDescent="0.25">
      <c r="B216" s="3"/>
    </row>
  </sheetData>
  <mergeCells count="12">
    <mergeCell ref="M9:M11"/>
    <mergeCell ref="F9:F11"/>
    <mergeCell ref="G9:G11"/>
    <mergeCell ref="H9:H11"/>
    <mergeCell ref="I9:I11"/>
    <mergeCell ref="J9:J11"/>
    <mergeCell ref="K9:K11"/>
    <mergeCell ref="B9:B11"/>
    <mergeCell ref="C9:C11"/>
    <mergeCell ref="D9:D11"/>
    <mergeCell ref="E9:E11"/>
    <mergeCell ref="L9:L11"/>
  </mergeCells>
  <conditionalFormatting sqref="A96:B103 A140:B141 A143:B144 A146:B147 A169:B169 A171:B173 B205:B207 B211 A31:B39 A105:B107 A116:B116 A118:B118 A120:B122 A124:B126 A128:B130 A132:B132 A175:B193 A109:B114 D109:M114 D175:M193 D132:M132 D128:M130 D124:M126 D120:M122 D118:M118 D116:M116 D105:M107 D31:M38 D211:M211 D205:M207 D171:M173 D169:M169 D146:M147 D143:M144 D140:M141 D96:D103">
    <cfRule type="expression" dxfId="21" priority="28">
      <formula>$D$7="gas"</formula>
    </cfRule>
  </conditionalFormatting>
  <conditionalFormatting sqref="D39">
    <cfRule type="expression" dxfId="20" priority="26">
      <formula>$D$7="gas"</formula>
    </cfRule>
  </conditionalFormatting>
  <conditionalFormatting sqref="E96:E103">
    <cfRule type="expression" dxfId="19" priority="20">
      <formula>$D$7="gas"</formula>
    </cfRule>
  </conditionalFormatting>
  <conditionalFormatting sqref="E39">
    <cfRule type="expression" dxfId="18" priority="19">
      <formula>$D$7="gas"</formula>
    </cfRule>
  </conditionalFormatting>
  <conditionalFormatting sqref="F96:F103">
    <cfRule type="expression" dxfId="17" priority="18">
      <formula>$D$7="gas"</formula>
    </cfRule>
  </conditionalFormatting>
  <conditionalFormatting sqref="F39">
    <cfRule type="expression" dxfId="16" priority="17">
      <formula>$D$7="gas"</formula>
    </cfRule>
  </conditionalFormatting>
  <conditionalFormatting sqref="G96:G103">
    <cfRule type="expression" dxfId="15" priority="16">
      <formula>$D$7="gas"</formula>
    </cfRule>
  </conditionalFormatting>
  <conditionalFormatting sqref="G39">
    <cfRule type="expression" dxfId="14" priority="15">
      <formula>$D$7="gas"</formula>
    </cfRule>
  </conditionalFormatting>
  <conditionalFormatting sqref="H96:H103">
    <cfRule type="expression" dxfId="13" priority="14">
      <formula>$D$7="gas"</formula>
    </cfRule>
  </conditionalFormatting>
  <conditionalFormatting sqref="H39">
    <cfRule type="expression" dxfId="12" priority="13">
      <formula>$D$7="gas"</formula>
    </cfRule>
  </conditionalFormatting>
  <conditionalFormatting sqref="I96:I103">
    <cfRule type="expression" dxfId="11" priority="12">
      <formula>$D$7="gas"</formula>
    </cfRule>
  </conditionalFormatting>
  <conditionalFormatting sqref="I39">
    <cfRule type="expression" dxfId="10" priority="11">
      <formula>$D$7="gas"</formula>
    </cfRule>
  </conditionalFormatting>
  <conditionalFormatting sqref="J96:J103">
    <cfRule type="expression" dxfId="9" priority="10">
      <formula>$D$7="gas"</formula>
    </cfRule>
  </conditionalFormatting>
  <conditionalFormatting sqref="J39">
    <cfRule type="expression" dxfId="8" priority="9">
      <formula>$D$7="gas"</formula>
    </cfRule>
  </conditionalFormatting>
  <conditionalFormatting sqref="K96:K103">
    <cfRule type="expression" dxfId="7" priority="8">
      <formula>$D$7="gas"</formula>
    </cfRule>
  </conditionalFormatting>
  <conditionalFormatting sqref="K39">
    <cfRule type="expression" dxfId="6" priority="7">
      <formula>$D$7="gas"</formula>
    </cfRule>
  </conditionalFormatting>
  <conditionalFormatting sqref="L96:L103">
    <cfRule type="expression" dxfId="5" priority="6">
      <formula>$D$7="gas"</formula>
    </cfRule>
  </conditionalFormatting>
  <conditionalFormatting sqref="L39">
    <cfRule type="expression" dxfId="4" priority="5">
      <formula>$D$7="gas"</formula>
    </cfRule>
  </conditionalFormatting>
  <conditionalFormatting sqref="M96:M103">
    <cfRule type="expression" dxfId="3" priority="4">
      <formula>$D$7="gas"</formula>
    </cfRule>
  </conditionalFormatting>
  <conditionalFormatting sqref="M39">
    <cfRule type="expression" dxfId="2" priority="3">
      <formula>$D$7="gas"</formula>
    </cfRule>
  </conditionalFormatting>
  <conditionalFormatting sqref="C109:C114 C175:C193 C132 C128:C130 C124:C126 C120:C122 C118 C116 C105:C107 C31:C38 C211 C205:C207 C171:C173 C169 C146:C147 C143:C144 C140:C141 C96:C103">
    <cfRule type="expression" dxfId="1" priority="2">
      <formula>$D$7="gas"</formula>
    </cfRule>
  </conditionalFormatting>
  <conditionalFormatting sqref="C39">
    <cfRule type="expression" dxfId="0" priority="1">
      <formula>$D$7="gas"</formula>
    </cfRule>
  </conditionalFormatting>
  <pageMargins left="0.74803149606299213" right="0.74803149606299213" top="0.98425196850393704" bottom="0.98425196850393704" header="0.51181102362204722" footer="0.51181102362204722"/>
  <pageSetup paperSize="8" scale="47" fitToWidth="3" fitToHeight="3" orientation="portrait" r:id="rId1"/>
  <headerFooter alignWithMargins="0"/>
  <rowBreaks count="2" manualBreakCount="2">
    <brk id="95" max="13" man="1"/>
    <brk id="40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aabf7fb0be0efa736609aefc912e377d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ff94e258df4ab531b6825425a8be82e0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9A5B31-AD09-4253-A36E-2975DB06E9CD}">
  <ds:schemaRefs>
    <ds:schemaRef ds:uri="http://schemas.microsoft.com/office/2006/metadata/properties"/>
    <ds:schemaRef ds:uri="http://schemas.microsoft.com/office/infopath/2007/PartnerControls"/>
    <ds:schemaRef ds:uri="dc27eef4-d356-41e1-bcf3-2711032fb096"/>
  </ds:schemaRefs>
</ds:datastoreItem>
</file>

<file path=customXml/itemProps2.xml><?xml version="1.0" encoding="utf-8"?>
<ds:datastoreItem xmlns:ds="http://schemas.openxmlformats.org/officeDocument/2006/customXml" ds:itemID="{1F6A08AA-3DB7-4570-B363-6C0BF6346C3F}"/>
</file>

<file path=customXml/itemProps3.xml><?xml version="1.0" encoding="utf-8"?>
<ds:datastoreItem xmlns:ds="http://schemas.openxmlformats.org/officeDocument/2006/customXml" ds:itemID="{605A9F43-0DEA-424E-9B0C-B744440E86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EXO '21 ELEK</vt:lpstr>
      <vt:lpstr>'EXO ''21 ELEK'!Afdrukbereik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 Stockman</dc:creator>
  <cp:lastModifiedBy>Bert Stockman</cp:lastModifiedBy>
  <dcterms:created xsi:type="dcterms:W3CDTF">2020-09-29T05:56:58Z</dcterms:created>
  <dcterms:modified xsi:type="dcterms:W3CDTF">2020-10-07T16:23:58Z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</Properties>
</file>