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vreg.sharepoint.com/sites/KT_Tariefregulering/Gedeelde  documenten/TM 21-24/7 Analyses/Toegelaten inkomen 2021/"/>
    </mc:Choice>
  </mc:AlternateContent>
  <xr:revisionPtr revIDLastSave="0" documentId="8_{DCB07F7F-BC3B-43CC-8F24-7D65041DD5C4}" xr6:coauthVersionLast="45" xr6:coauthVersionMax="45" xr10:uidLastSave="{00000000-0000-0000-0000-000000000000}"/>
  <bookViews>
    <workbookView xWindow="-110" yWindow="-110" windowWidth="19420" windowHeight="10560" xr2:uid="{0D0B93F8-9B7B-40B0-B34B-B31F4AB7A1BB}"/>
  </bookViews>
  <sheets>
    <sheet name="TI_En_Gas" sheetId="1" r:id="rId1"/>
  </sheets>
  <externalReferences>
    <externalReference r:id="rId2"/>
    <externalReference r:id="rId3"/>
    <externalReference r:id="rId4"/>
  </externalReferences>
  <definedNames>
    <definedName name="Aftakklem_LS">'[2]BASISPRIJZEN MATERIAAL'!$I$188</definedName>
    <definedName name="Codes">'[3]Codes des IM'!$B$2:$D$23</definedName>
    <definedName name="Forfaitair_feeder">75000</definedName>
    <definedName name="Hangslot">'[2]BASISPRIJZEN MATERIAAL'!$I$138</definedName>
    <definedName name="Kabelschoen_HS">'[2]BASISPRIJZEN MATERIAAL'!$I$201</definedName>
    <definedName name="Kabelschoen_LS">'[2]BASISPRIJZEN MATERIAAL'!$I$198</definedName>
    <definedName name="Kit_kunststof_AL">'[2]BASISPRIJZEN MATERIAAL'!$I$190</definedName>
    <definedName name="Kit_kunststof_papierlood">'[2]BASISPRIJZEN MATERIAAL'!$I$191</definedName>
    <definedName name="Kit_papierlood">'[2]BASISPRIJZEN MATERIAAL'!$I$189</definedName>
    <definedName name="Klein_materiaal_10">10</definedName>
    <definedName name="Klein_materiaal_100">100</definedName>
    <definedName name="Klein_materiaal_25">25</definedName>
    <definedName name="Plaat_postnummer_telefoon">'[2]BASISPRIJZEN MATERIAAL'!$I$160</definedName>
    <definedName name="SAPBEXrevision" hidden="1">10</definedName>
    <definedName name="SAPBEXsysID" hidden="1">"BP1"</definedName>
    <definedName name="SAPBEXwbID" hidden="1">"4751QXOCD67AJ09JC6QHJDZY6"</definedName>
    <definedName name="Sleutelkastje">'[2]BASISPRIJZEN MATERIAAL'!$I$159</definedName>
    <definedName name="Slot_voor_sleutelkastje">'[2]BASISPRIJZEN MATERIAAL'!$I$158</definedName>
    <definedName name="Terminal_kunststof">'[2]BASISPRIJZEN MATERIAAL'!$I$195</definedName>
    <definedName name="Terminal_LS">'[2]BASISPRIJZEN MATERIAAL'!$I$200</definedName>
    <definedName name="Traduction1">'[3]Codes des IM'!$A$28:$D$1853</definedName>
    <definedName name="Verbinder_kunststof_M4">'[2]BASISPRIJZEN MATERIAAL'!$I$192</definedName>
    <definedName name="Verbinder_kunststof_papierlood_M3">'[2]BASISPRIJZEN MATERIAAL'!$I$192</definedName>
    <definedName name="Verbinder_papierlood_M3">'[2]BASISPRIJZEN MATERIAAL'!$I$192</definedName>
    <definedName name="Wikkeldoos_LS">'[2]BASISPRIJZEN MATERIAAL'!$I$199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D48" i="1" s="1"/>
  <c r="H20" i="1"/>
  <c r="H21" i="1"/>
  <c r="H22" i="1"/>
  <c r="H23" i="1"/>
  <c r="D52" i="1" s="1"/>
  <c r="H25" i="1"/>
  <c r="C30" i="1"/>
  <c r="D30" i="1"/>
  <c r="E30" i="1"/>
  <c r="I30" i="1" s="1"/>
  <c r="F30" i="1"/>
  <c r="G30" i="1"/>
  <c r="J30" i="1"/>
  <c r="J38" i="1" s="1"/>
  <c r="C36" i="1"/>
  <c r="J36" i="1"/>
  <c r="D45" i="1"/>
  <c r="E45" i="1"/>
  <c r="F45" i="1"/>
  <c r="D46" i="1"/>
  <c r="D47" i="1"/>
  <c r="D49" i="1"/>
  <c r="D50" i="1"/>
  <c r="D51" i="1"/>
  <c r="D54" i="1"/>
  <c r="F59" i="1"/>
  <c r="L59" i="1" s="1"/>
  <c r="D73" i="1" s="1"/>
  <c r="J59" i="1"/>
  <c r="K59" i="1"/>
  <c r="F60" i="1"/>
  <c r="L60" i="1" s="1"/>
  <c r="D74" i="1" s="1"/>
  <c r="J60" i="1"/>
  <c r="K60" i="1"/>
  <c r="F61" i="1"/>
  <c r="L61" i="1" s="1"/>
  <c r="D75" i="1" s="1"/>
  <c r="J61" i="1"/>
  <c r="K61" i="1"/>
  <c r="F62" i="1"/>
  <c r="L62" i="1" s="1"/>
  <c r="D76" i="1" s="1"/>
  <c r="J62" i="1"/>
  <c r="K62" i="1"/>
  <c r="F63" i="1"/>
  <c r="L63" i="1" s="1"/>
  <c r="D77" i="1" s="1"/>
  <c r="J63" i="1"/>
  <c r="K63" i="1"/>
  <c r="F64" i="1"/>
  <c r="L64" i="1" s="1"/>
  <c r="D78" i="1" s="1"/>
  <c r="J64" i="1"/>
  <c r="K64" i="1"/>
  <c r="F65" i="1"/>
  <c r="L65" i="1" s="1"/>
  <c r="D79" i="1" s="1"/>
  <c r="J65" i="1"/>
  <c r="K65" i="1"/>
  <c r="F66" i="1"/>
  <c r="L66" i="1" s="1"/>
  <c r="D80" i="1" s="1"/>
  <c r="J66" i="1"/>
  <c r="K66" i="1"/>
  <c r="F68" i="1"/>
  <c r="L68" i="1" s="1"/>
  <c r="D82" i="1" s="1"/>
  <c r="J68" i="1"/>
  <c r="K68" i="1"/>
  <c r="D72" i="1"/>
  <c r="C45" i="1" l="1"/>
  <c r="J37" i="1"/>
  <c r="J39" i="1" s="1"/>
  <c r="I45" i="1" l="1"/>
  <c r="C73" i="1" s="1"/>
  <c r="E73" i="1" s="1"/>
  <c r="I47" i="1"/>
  <c r="C75" i="1" s="1"/>
  <c r="E75" i="1" s="1"/>
  <c r="I49" i="1"/>
  <c r="C77" i="1" s="1"/>
  <c r="E77" i="1" s="1"/>
  <c r="I51" i="1"/>
  <c r="C79" i="1" s="1"/>
  <c r="E79" i="1" s="1"/>
  <c r="I54" i="1"/>
  <c r="C82" i="1" s="1"/>
  <c r="E82" i="1" s="1"/>
  <c r="I46" i="1"/>
  <c r="C74" i="1" s="1"/>
  <c r="E74" i="1" s="1"/>
  <c r="I48" i="1"/>
  <c r="C76" i="1" s="1"/>
  <c r="E76" i="1" s="1"/>
  <c r="I50" i="1"/>
  <c r="C78" i="1" s="1"/>
  <c r="E78" i="1" s="1"/>
  <c r="I52" i="1"/>
  <c r="C80" i="1" s="1"/>
  <c r="E80" i="1" s="1"/>
</calcChain>
</file>

<file path=xl/sharedStrings.xml><?xml version="1.0" encoding="utf-8"?>
<sst xmlns="http://schemas.openxmlformats.org/spreadsheetml/2006/main" count="89" uniqueCount="54">
  <si>
    <t>Sibelgas</t>
  </si>
  <si>
    <t>PBE</t>
  </si>
  <si>
    <t>Iverlek</t>
  </si>
  <si>
    <t>Iveka</t>
  </si>
  <si>
    <t>Intergem</t>
  </si>
  <si>
    <t>Imewo</t>
  </si>
  <si>
    <t>Fluvius West</t>
  </si>
  <si>
    <t>Fluvius Limburg</t>
  </si>
  <si>
    <t>Fluvius Antwerpen</t>
  </si>
  <si>
    <t>Gaselwest</t>
  </si>
  <si>
    <r>
      <t>TI</t>
    </r>
    <r>
      <rPr>
        <b/>
        <vertAlign val="subscript"/>
        <sz val="10"/>
        <color indexed="8"/>
        <rFont val="Calibri"/>
        <family val="2"/>
      </rPr>
      <t>end,2021,i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</si>
  <si>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basis,2021,i</t>
    </r>
  </si>
  <si>
    <t>Toegelaten inkomsten endogene kosten 2021</t>
  </si>
  <si>
    <t>Totaal aanvullend</t>
  </si>
  <si>
    <r>
      <t>V</t>
    </r>
    <r>
      <rPr>
        <b/>
        <vertAlign val="subscript"/>
        <sz val="10"/>
        <color indexed="8"/>
        <rFont val="Calibri"/>
        <family val="2"/>
      </rPr>
      <t>2021,i</t>
    </r>
    <r>
      <rPr>
        <b/>
        <sz val="10"/>
        <color indexed="8"/>
        <rFont val="Calibri"/>
        <family val="2"/>
      </rPr>
      <t>-TV</t>
    </r>
    <r>
      <rPr>
        <b/>
        <vertAlign val="subscript"/>
        <sz val="10"/>
        <color indexed="8"/>
        <rFont val="Calibri"/>
        <family val="2"/>
      </rPr>
      <t>2021,i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</si>
  <si>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2021,i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</si>
  <si>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ex-post,2021,i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</si>
  <si>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ex-ante,2021,i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</si>
  <si>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2021,i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</si>
  <si>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2021,i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</si>
  <si>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H,2021,i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</si>
  <si>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NI,2021,i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</si>
  <si>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A,2021,i</t>
    </r>
  </si>
  <si>
    <t>Ex-ante aanvullende endogene termen 2021</t>
  </si>
  <si>
    <r>
      <t>Fl</t>
    </r>
    <r>
      <rPr>
        <b/>
        <vertAlign val="subscript"/>
        <sz val="11"/>
        <color theme="1"/>
        <rFont val="Calibri"/>
        <family val="2"/>
        <scheme val="minor"/>
      </rPr>
      <t>21</t>
    </r>
  </si>
  <si>
    <r>
      <t>q</t>
    </r>
    <r>
      <rPr>
        <vertAlign val="subscript"/>
        <sz val="11"/>
        <color indexed="8"/>
        <rFont val="Calibri"/>
        <family val="2"/>
      </rPr>
      <t>i</t>
    </r>
  </si>
  <si>
    <t>x"</t>
  </si>
  <si>
    <r>
      <t>CPI</t>
    </r>
    <r>
      <rPr>
        <b/>
        <vertAlign val="subscript"/>
        <sz val="11"/>
        <color indexed="8"/>
        <rFont val="Calibri"/>
        <family val="2"/>
      </rPr>
      <t>2021,v</t>
    </r>
  </si>
  <si>
    <r>
      <t>a</t>
    </r>
    <r>
      <rPr>
        <b/>
        <vertAlign val="subscript"/>
        <sz val="11"/>
        <color indexed="8"/>
        <rFont val="Calibri"/>
        <family val="2"/>
      </rPr>
      <t>i</t>
    </r>
  </si>
  <si>
    <r>
      <t>TI</t>
    </r>
    <r>
      <rPr>
        <b/>
        <vertAlign val="subscript"/>
        <sz val="10"/>
        <color indexed="8"/>
        <rFont val="Calibri"/>
        <family val="2"/>
      </rPr>
      <t>trend,2021</t>
    </r>
  </si>
  <si>
    <t>Toegelaten inkomsten endogene kosten basisgedeelte 2021</t>
  </si>
  <si>
    <t>x</t>
  </si>
  <si>
    <r>
      <t>TI</t>
    </r>
    <r>
      <rPr>
        <b/>
        <vertAlign val="subscript"/>
        <sz val="10"/>
        <color indexed="8"/>
        <rFont val="Calibri"/>
        <family val="2"/>
      </rPr>
      <t>trend,2024</t>
    </r>
  </si>
  <si>
    <t>Netto frontier shift elektriciteit</t>
  </si>
  <si>
    <t>p</t>
  </si>
  <si>
    <t>eindjaar</t>
  </si>
  <si>
    <t>FOD</t>
  </si>
  <si>
    <r>
      <t>I</t>
    </r>
    <r>
      <rPr>
        <b/>
        <vertAlign val="subscript"/>
        <sz val="11"/>
        <color indexed="8"/>
        <rFont val="Calibri"/>
        <family val="2"/>
      </rPr>
      <t>2020</t>
    </r>
  </si>
  <si>
    <t>beginjaar</t>
  </si>
  <si>
    <t>FP</t>
  </si>
  <si>
    <r>
      <t>I</t>
    </r>
    <r>
      <rPr>
        <b/>
        <vertAlign val="subscript"/>
        <sz val="11"/>
        <color indexed="8"/>
        <rFont val="Calibri"/>
        <family val="2"/>
      </rPr>
      <t>2021,v</t>
    </r>
  </si>
  <si>
    <t>X-waarde reguleringsperiode 2021-2024</t>
  </si>
  <si>
    <t>Inflatieverwachtingen in 2020 o.b.v. consumptieprijsindex</t>
  </si>
  <si>
    <t xml:space="preserve">Evolutie sector </t>
  </si>
  <si>
    <r>
      <t>TK</t>
    </r>
    <r>
      <rPr>
        <b/>
        <vertAlign val="subscript"/>
        <sz val="11"/>
        <color indexed="8"/>
        <rFont val="Calibri"/>
        <family val="2"/>
      </rPr>
      <t>trend,2024</t>
    </r>
  </si>
  <si>
    <r>
      <t>TK</t>
    </r>
    <r>
      <rPr>
        <b/>
        <vertAlign val="subscript"/>
        <sz val="11"/>
        <color indexed="8"/>
        <rFont val="Calibri"/>
        <family val="2"/>
      </rPr>
      <t>trend,2021</t>
    </r>
  </si>
  <si>
    <r>
      <t>SK</t>
    </r>
    <r>
      <rPr>
        <b/>
        <vertAlign val="subscript"/>
        <sz val="11"/>
        <color theme="1"/>
        <rFont val="Calibri"/>
        <family val="2"/>
      </rPr>
      <t>n</t>
    </r>
  </si>
  <si>
    <r>
      <t>Fl</t>
    </r>
    <r>
      <rPr>
        <b/>
        <vertAlign val="subscript"/>
        <sz val="11"/>
        <color theme="1"/>
        <rFont val="Calibri"/>
        <family val="2"/>
        <scheme val="minor"/>
      </rPr>
      <t>n</t>
    </r>
  </si>
  <si>
    <r>
      <t>TK</t>
    </r>
    <r>
      <rPr>
        <b/>
        <vertAlign val="subscript"/>
        <sz val="11"/>
        <color indexed="8"/>
        <rFont val="Calibri"/>
        <family val="2"/>
      </rPr>
      <t>act,n,i</t>
    </r>
  </si>
  <si>
    <t xml:space="preserve">Totale geactualiseerde endogene kosten per distributienetbeheerder </t>
  </si>
  <si>
    <t>EX-ANTE</t>
  </si>
  <si>
    <t>Inkomsten 2021</t>
  </si>
  <si>
    <t>Toegelaten inkomen uit periodieke distributienettarieven voor endogene kosten</t>
  </si>
  <si>
    <t>AARDGAS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</si>
</sst>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0.000%"/>
    <numFmt numFmtId="166" formatCode="0.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0"/>
      <color indexed="8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vertAlign val="subscript"/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bgColor theme="0"/>
      </patternFill>
    </fill>
    <fill>
      <patternFill patternType="solid">
        <fgColor theme="3" tint="0.79998168889431442"/>
        <bgColor indexed="64"/>
      </patternFill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44" fontId="0" fillId="2" borderId="0" xfId="1" applyFont="1" applyFill="1"/>
    <xf numFmtId="44" fontId="1" fillId="2" borderId="1" xfId="1" applyFont="1" applyFill="1" applyBorder="1"/>
    <xf numFmtId="44" fontId="1" fillId="2" borderId="2" xfId="1" applyFont="1" applyFill="1" applyBorder="1"/>
    <xf numFmtId="44" fontId="1" fillId="2" borderId="3" xfId="1" applyFont="1" applyFill="1" applyBorder="1"/>
    <xf numFmtId="0" fontId="0" fillId="2" borderId="1" xfId="0" applyFill="1" applyBorder="1"/>
    <xf numFmtId="44" fontId="1" fillId="3" borderId="4" xfId="1" applyFont="1" applyFill="1" applyBorder="1"/>
    <xf numFmtId="44" fontId="1" fillId="3" borderId="2" xfId="1" applyFont="1" applyFill="1" applyBorder="1"/>
    <xf numFmtId="44" fontId="1" fillId="3" borderId="3" xfId="1" applyFont="1" applyFill="1" applyBorder="1"/>
    <xf numFmtId="0" fontId="0" fillId="2" borderId="4" xfId="0" applyFill="1" applyBorder="1"/>
    <xf numFmtId="44" fontId="1" fillId="2" borderId="4" xfId="1" applyFont="1" applyFill="1" applyBorder="1"/>
    <xf numFmtId="44" fontId="0" fillId="2" borderId="0" xfId="0" applyNumberFormat="1" applyFill="1"/>
    <xf numFmtId="44" fontId="1" fillId="2" borderId="5" xfId="1" applyFont="1" applyFill="1" applyBorder="1"/>
    <xf numFmtId="0" fontId="0" fillId="2" borderId="6" xfId="0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9" xfId="0" applyFill="1" applyBorder="1"/>
    <xf numFmtId="0" fontId="2" fillId="2" borderId="0" xfId="0" applyFont="1" applyFill="1"/>
    <xf numFmtId="44" fontId="1" fillId="2" borderId="8" xfId="1" applyFont="1" applyFill="1" applyBorder="1"/>
    <xf numFmtId="44" fontId="1" fillId="4" borderId="8" xfId="1" applyFont="1" applyFill="1" applyBorder="1"/>
    <xf numFmtId="0" fontId="0" fillId="2" borderId="8" xfId="0" applyFill="1" applyBorder="1"/>
    <xf numFmtId="44" fontId="1" fillId="5" borderId="8" xfId="1" applyFont="1" applyFill="1" applyBorder="1"/>
    <xf numFmtId="0" fontId="2" fillId="2" borderId="8" xfId="0" quotePrefix="1" applyFont="1" applyFill="1" applyBorder="1" applyAlignment="1">
      <alignment horizontal="center" vertical="center"/>
    </xf>
    <xf numFmtId="164" fontId="0" fillId="2" borderId="0" xfId="0" applyNumberFormat="1" applyFill="1"/>
    <xf numFmtId="4" fontId="0" fillId="2" borderId="0" xfId="0" applyNumberFormat="1" applyFill="1"/>
    <xf numFmtId="164" fontId="1" fillId="2" borderId="8" xfId="1" applyNumberFormat="1" applyFont="1" applyFill="1" applyBorder="1"/>
    <xf numFmtId="44" fontId="0" fillId="0" borderId="8" xfId="1" applyFont="1" applyFill="1" applyBorder="1" applyAlignment="1">
      <alignment horizontal="center" vertical="center"/>
    </xf>
    <xf numFmtId="165" fontId="0" fillId="4" borderId="8" xfId="2" applyNumberFormat="1" applyFont="1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10" fontId="1" fillId="2" borderId="8" xfId="1" applyNumberFormat="1" applyFont="1" applyFill="1" applyBorder="1"/>
    <xf numFmtId="44" fontId="0" fillId="2" borderId="8" xfId="1" applyFont="1" applyFill="1" applyBorder="1" applyAlignment="1">
      <alignment horizontal="center" vertical="center"/>
    </xf>
    <xf numFmtId="164" fontId="1" fillId="3" borderId="8" xfId="1" applyNumberFormat="1" applyFont="1" applyFill="1" applyBorder="1"/>
    <xf numFmtId="165" fontId="1" fillId="3" borderId="8" xfId="2" applyNumberFormat="1" applyFont="1" applyFill="1" applyBorder="1"/>
    <xf numFmtId="10" fontId="1" fillId="3" borderId="8" xfId="1" applyNumberFormat="1" applyFont="1" applyFill="1" applyBorder="1"/>
    <xf numFmtId="10" fontId="0" fillId="2" borderId="8" xfId="0" applyNumberFormat="1" applyFill="1" applyBorder="1" applyAlignment="1">
      <alignment horizontal="center" vertical="center"/>
    </xf>
    <xf numFmtId="10" fontId="0" fillId="0" borderId="8" xfId="0" applyNumberFormat="1" applyBorder="1"/>
    <xf numFmtId="0" fontId="2" fillId="2" borderId="8" xfId="0" applyFont="1" applyFill="1" applyBorder="1"/>
    <xf numFmtId="166" fontId="0" fillId="2" borderId="8" xfId="0" applyNumberFormat="1" applyFill="1" applyBorder="1"/>
    <xf numFmtId="0" fontId="2" fillId="2" borderId="8" xfId="0" applyFont="1" applyFill="1" applyBorder="1" applyAlignment="1">
      <alignment horizontal="left"/>
    </xf>
    <xf numFmtId="10" fontId="1" fillId="2" borderId="8" xfId="2" applyNumberFormat="1" applyFont="1" applyFill="1" applyBorder="1"/>
    <xf numFmtId="2" fontId="0" fillId="4" borderId="8" xfId="0" applyNumberFormat="1" applyFill="1" applyBorder="1"/>
    <xf numFmtId="0" fontId="8" fillId="2" borderId="8" xfId="0" applyFont="1" applyFill="1" applyBorder="1" applyAlignment="1">
      <alignment horizontal="center"/>
    </xf>
    <xf numFmtId="10" fontId="1" fillId="0" borderId="0" xfId="1" applyNumberFormat="1" applyFont="1" applyFill="1" applyBorder="1"/>
    <xf numFmtId="164" fontId="1" fillId="0" borderId="0" xfId="1" applyNumberFormat="1" applyFont="1" applyFill="1" applyBorder="1"/>
    <xf numFmtId="44" fontId="0" fillId="0" borderId="8" xfId="1" applyFont="1" applyBorder="1"/>
    <xf numFmtId="44" fontId="1" fillId="0" borderId="8" xfId="1" applyFont="1" applyFill="1" applyBorder="1"/>
    <xf numFmtId="0" fontId="2" fillId="2" borderId="8" xfId="0" applyFont="1" applyFill="1" applyBorder="1" applyAlignment="1">
      <alignment horizontal="center"/>
    </xf>
    <xf numFmtId="10" fontId="1" fillId="0" borderId="8" xfId="1" applyNumberFormat="1" applyFont="1" applyFill="1" applyBorder="1"/>
    <xf numFmtId="10" fontId="1" fillId="5" borderId="8" xfId="1" applyNumberFormat="1" applyFont="1" applyFill="1" applyBorder="1"/>
    <xf numFmtId="0" fontId="0" fillId="6" borderId="0" xfId="0" applyFill="1"/>
    <xf numFmtId="0" fontId="10" fillId="7" borderId="10" xfId="0" applyFont="1" applyFill="1" applyBorder="1" applyAlignment="1">
      <alignment horizontal="center"/>
    </xf>
    <xf numFmtId="0" fontId="10" fillId="7" borderId="11" xfId="0" applyFont="1" applyFill="1" applyBorder="1" applyAlignment="1">
      <alignment horizontal="center"/>
    </xf>
    <xf numFmtId="0" fontId="10" fillId="7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S\VREG\Tariefregulering%20-%20Documenten\TM%2021-24\2%20Toegelaten%20inkomens\T.I.%202021\ENDO\Bijlage%2010%20-%20Ex-ante%20TI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stabel"/>
      <sheetName val="wacc"/>
      <sheetName val="T1"/>
      <sheetName val="T2"/>
      <sheetName val="T3"/>
      <sheetName val="T4"/>
      <sheetName val="T5"/>
      <sheetName val="TI_Elek"/>
      <sheetName val="TI_Ex_Elek"/>
      <sheetName val="TI_En_Elek"/>
      <sheetName val="T9"/>
      <sheetName val="Gemeenteversch '19-'21 - ELEK"/>
      <sheetName val="T10"/>
      <sheetName val="TI_Gas"/>
      <sheetName val="TI_Ex_Gas"/>
      <sheetName val="TI_En_Gas"/>
      <sheetName val="T14"/>
      <sheetName val="Gemeenteversch '19-'21 - GAS"/>
      <sheetName val="T15"/>
      <sheetName val="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6">
          <cell r="G6" t="str">
            <v>Gaselwest</v>
          </cell>
          <cell r="H6">
            <v>3065736.3376770401</v>
          </cell>
        </row>
        <row r="7">
          <cell r="G7" t="str">
            <v>Fluvius Antwerpen</v>
          </cell>
          <cell r="H7">
            <v>3996643.6909790793</v>
          </cell>
        </row>
        <row r="8">
          <cell r="G8" t="str">
            <v>Fluvius Limburg</v>
          </cell>
          <cell r="H8">
            <v>4714197.8438378097</v>
          </cell>
        </row>
        <row r="9">
          <cell r="G9" t="str">
            <v>Fluvius West</v>
          </cell>
          <cell r="H9">
            <v>681562.95947087661</v>
          </cell>
        </row>
        <row r="10">
          <cell r="G10" t="str">
            <v>Imewo</v>
          </cell>
          <cell r="H10">
            <v>5893801.1010000594</v>
          </cell>
        </row>
        <row r="11">
          <cell r="G11" t="str">
            <v>Intergem</v>
          </cell>
          <cell r="H11">
            <v>2377039.9885256877</v>
          </cell>
        </row>
        <row r="12">
          <cell r="G12" t="str">
            <v>Iveka</v>
          </cell>
          <cell r="H12">
            <v>2737600.4123751717</v>
          </cell>
        </row>
        <row r="13">
          <cell r="G13" t="str">
            <v>Iverlek</v>
          </cell>
          <cell r="H13">
            <v>4761213.3667318514</v>
          </cell>
        </row>
        <row r="14">
          <cell r="G14" t="str">
            <v>PBE</v>
          </cell>
        </row>
        <row r="15">
          <cell r="G15" t="str">
            <v>Sibelgas</v>
          </cell>
          <cell r="H15">
            <v>561916.5598301756</v>
          </cell>
        </row>
      </sheetData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/>
      <sheetData sheetId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60251-DBDC-460D-8A1C-DA920304668B}">
  <dimension ref="B1:L82"/>
  <sheetViews>
    <sheetView showGridLines="0" tabSelected="1" topLeftCell="A37" zoomScale="80" zoomScaleNormal="80" workbookViewId="0">
      <selection activeCell="D51" sqref="D51"/>
    </sheetView>
  </sheetViews>
  <sheetFormatPr defaultColWidth="9.1796875" defaultRowHeight="14.5" x14ac:dyDescent="0.35"/>
  <cols>
    <col min="1" max="1" width="6" style="1" customWidth="1"/>
    <col min="2" max="2" width="19.453125" style="1" customWidth="1"/>
    <col min="3" max="7" width="17.81640625" style="1" customWidth="1"/>
    <col min="8" max="8" width="15.26953125" style="1" customWidth="1"/>
    <col min="9" max="9" width="16.54296875" style="1" customWidth="1"/>
    <col min="10" max="10" width="16.453125" style="1" customWidth="1"/>
    <col min="11" max="11" width="17.1796875" style="1" customWidth="1"/>
    <col min="12" max="21" width="17.81640625" style="1" customWidth="1"/>
    <col min="22" max="16384" width="9.1796875" style="1"/>
  </cols>
  <sheetData>
    <row r="1" spans="2:10" ht="15" thickBot="1" x14ac:dyDescent="0.4"/>
    <row r="2" spans="2:10" x14ac:dyDescent="0.35">
      <c r="B2" s="59" t="s">
        <v>53</v>
      </c>
      <c r="C2" s="58"/>
      <c r="D2" s="58"/>
      <c r="E2" s="58"/>
      <c r="F2" s="58"/>
      <c r="G2" s="58"/>
      <c r="H2" s="58"/>
      <c r="I2" s="58"/>
      <c r="J2" s="57"/>
    </row>
    <row r="3" spans="2:10" ht="15" thickBot="1" x14ac:dyDescent="0.4">
      <c r="B3" s="56"/>
      <c r="C3" s="55"/>
      <c r="D3" s="55"/>
      <c r="E3" s="55"/>
      <c r="F3" s="55"/>
      <c r="G3" s="55"/>
      <c r="H3" s="55"/>
      <c r="I3" s="55"/>
      <c r="J3" s="54"/>
    </row>
    <row r="5" spans="2:10" x14ac:dyDescent="0.35">
      <c r="B5" s="18" t="s">
        <v>52</v>
      </c>
    </row>
    <row r="6" spans="2:10" ht="15" thickBot="1" x14ac:dyDescent="0.4"/>
    <row r="7" spans="2:10" ht="21.5" thickBot="1" x14ac:dyDescent="0.55000000000000004">
      <c r="B7" s="53" t="s">
        <v>51</v>
      </c>
      <c r="C7" s="52"/>
      <c r="D7" s="52"/>
      <c r="E7" s="52"/>
      <c r="F7" s="52"/>
      <c r="G7" s="52"/>
      <c r="H7" s="52"/>
      <c r="I7" s="52"/>
      <c r="J7" s="51"/>
    </row>
    <row r="10" spans="2:10" x14ac:dyDescent="0.35">
      <c r="B10" s="50" t="s">
        <v>50</v>
      </c>
      <c r="C10" s="50"/>
      <c r="D10" s="50"/>
      <c r="E10" s="50"/>
      <c r="F10" s="50"/>
      <c r="G10" s="50"/>
      <c r="H10" s="50"/>
      <c r="I10" s="50"/>
      <c r="J10" s="50"/>
    </row>
    <row r="13" spans="2:10" x14ac:dyDescent="0.35">
      <c r="B13" s="18" t="s">
        <v>49</v>
      </c>
    </row>
    <row r="15" spans="2:10" ht="17" thickBot="1" x14ac:dyDescent="0.5">
      <c r="B15" s="47" t="s">
        <v>48</v>
      </c>
      <c r="C15" s="16">
        <v>2015</v>
      </c>
      <c r="D15" s="16">
        <v>2016</v>
      </c>
      <c r="E15" s="16">
        <v>2017</v>
      </c>
      <c r="F15" s="16">
        <v>2018</v>
      </c>
      <c r="G15" s="16">
        <v>2019</v>
      </c>
      <c r="H15" s="16" t="s">
        <v>28</v>
      </c>
    </row>
    <row r="16" spans="2:10" x14ac:dyDescent="0.35">
      <c r="B16" s="14" t="s">
        <v>9</v>
      </c>
      <c r="C16" s="46">
        <v>56595643.118463665</v>
      </c>
      <c r="D16" s="46">
        <v>57136913.397381477</v>
      </c>
      <c r="E16" s="46">
        <v>55127977.025425717</v>
      </c>
      <c r="F16" s="46">
        <v>55832393.628048643</v>
      </c>
      <c r="G16" s="46">
        <v>56380860.364506096</v>
      </c>
      <c r="H16" s="48">
        <f>SUM(C16:G16)/SUM($C$16:$G$25)</f>
        <v>0.14538676934569389</v>
      </c>
    </row>
    <row r="17" spans="2:10" x14ac:dyDescent="0.35">
      <c r="B17" s="10" t="s">
        <v>8</v>
      </c>
      <c r="C17" s="46">
        <v>59530328.323768198</v>
      </c>
      <c r="D17" s="46">
        <v>59552273.068404891</v>
      </c>
      <c r="E17" s="46">
        <v>68385917.208872333</v>
      </c>
      <c r="F17" s="46">
        <v>68883886.853001639</v>
      </c>
      <c r="G17" s="46">
        <v>71706860.22047177</v>
      </c>
      <c r="H17" s="48">
        <f>SUM(C17:G17)/SUM($C$16:$G$25)</f>
        <v>0.16969023404432226</v>
      </c>
    </row>
    <row r="18" spans="2:10" x14ac:dyDescent="0.35">
      <c r="B18" s="10" t="s">
        <v>7</v>
      </c>
      <c r="C18" s="46">
        <v>44347235.473945215</v>
      </c>
      <c r="D18" s="46">
        <v>42912651.395085976</v>
      </c>
      <c r="E18" s="46">
        <v>44852743.835809164</v>
      </c>
      <c r="F18" s="46">
        <v>46517209.691265464</v>
      </c>
      <c r="G18" s="46">
        <v>48083763.183389202</v>
      </c>
      <c r="H18" s="48">
        <f>SUM(C18:G18)/SUM($C$16:$G$25)</f>
        <v>0.11726870257218999</v>
      </c>
    </row>
    <row r="19" spans="2:10" x14ac:dyDescent="0.35">
      <c r="B19" s="10" t="s">
        <v>6</v>
      </c>
      <c r="C19" s="46">
        <v>10594281.032201162</v>
      </c>
      <c r="D19" s="46">
        <v>10090002.288072266</v>
      </c>
      <c r="E19" s="46">
        <v>10329055.638539478</v>
      </c>
      <c r="F19" s="46">
        <v>10245310.508464992</v>
      </c>
      <c r="G19" s="46">
        <v>10523880.289009618</v>
      </c>
      <c r="H19" s="48">
        <f>SUM(C19:G19)/SUM($C$16:$G$25)</f>
        <v>2.6784762733906276E-2</v>
      </c>
    </row>
    <row r="20" spans="2:10" x14ac:dyDescent="0.35">
      <c r="B20" s="10" t="s">
        <v>5</v>
      </c>
      <c r="C20" s="46">
        <v>74372116.91202262</v>
      </c>
      <c r="D20" s="46">
        <v>74546611.342679158</v>
      </c>
      <c r="E20" s="46">
        <v>76739283.972761452</v>
      </c>
      <c r="F20" s="46">
        <v>78786032.300029963</v>
      </c>
      <c r="G20" s="46">
        <v>79053027.669195071</v>
      </c>
      <c r="H20" s="48">
        <f>SUM(C20:G20)/SUM($C$16:$G$25)</f>
        <v>0.19836570627739164</v>
      </c>
    </row>
    <row r="21" spans="2:10" x14ac:dyDescent="0.35">
      <c r="B21" s="10" t="s">
        <v>4</v>
      </c>
      <c r="C21" s="46">
        <v>31507235.26313141</v>
      </c>
      <c r="D21" s="46">
        <v>29334544.351243652</v>
      </c>
      <c r="E21" s="46">
        <v>34490386.050895505</v>
      </c>
      <c r="F21" s="46">
        <v>34157992.135768324</v>
      </c>
      <c r="G21" s="46">
        <v>34257545.455233447</v>
      </c>
      <c r="H21" s="48">
        <f>SUM(C21:G21)/SUM($C$16:$G$25)</f>
        <v>8.4699287589533018E-2</v>
      </c>
    </row>
    <row r="22" spans="2:10" x14ac:dyDescent="0.35">
      <c r="B22" s="10" t="s">
        <v>3</v>
      </c>
      <c r="C22" s="46">
        <v>25612837.354398735</v>
      </c>
      <c r="D22" s="46">
        <v>25196842.381303802</v>
      </c>
      <c r="E22" s="46">
        <v>27550034.569701537</v>
      </c>
      <c r="F22" s="46">
        <v>28234827.202144742</v>
      </c>
      <c r="G22" s="46">
        <v>28396956.483520698</v>
      </c>
      <c r="H22" s="48">
        <f>SUM(C22:G22)/SUM($C$16:$G$25)</f>
        <v>6.9825002019071047E-2</v>
      </c>
    </row>
    <row r="23" spans="2:10" x14ac:dyDescent="0.35">
      <c r="B23" s="10" t="s">
        <v>2</v>
      </c>
      <c r="C23" s="46">
        <v>64976520.894958623</v>
      </c>
      <c r="D23" s="46">
        <v>64599483.730799526</v>
      </c>
      <c r="E23" s="46">
        <v>64473254.461359553</v>
      </c>
      <c r="F23" s="46">
        <v>67239010.183459237</v>
      </c>
      <c r="G23" s="46">
        <v>67233067.880947217</v>
      </c>
      <c r="H23" s="48">
        <f>SUM(C23:G23)/SUM($C$16:$G$25)</f>
        <v>0.16992924273964757</v>
      </c>
    </row>
    <row r="24" spans="2:10" x14ac:dyDescent="0.35">
      <c r="B24" s="10" t="s">
        <v>1</v>
      </c>
      <c r="C24" s="22"/>
      <c r="D24" s="22"/>
      <c r="E24" s="22"/>
      <c r="F24" s="22"/>
      <c r="G24" s="22"/>
      <c r="H24" s="49"/>
    </row>
    <row r="25" spans="2:10" ht="15" thickBot="1" x14ac:dyDescent="0.4">
      <c r="B25" s="6" t="s">
        <v>0</v>
      </c>
      <c r="C25" s="46">
        <v>9431127.7271225918</v>
      </c>
      <c r="D25" s="46">
        <v>6823379.1925488366</v>
      </c>
      <c r="E25" s="46">
        <v>5972312.5130281188</v>
      </c>
      <c r="F25" s="46">
        <v>6168706.1269198926</v>
      </c>
      <c r="G25" s="46">
        <v>6500800.6466861349</v>
      </c>
      <c r="H25" s="48">
        <f>SUM(C25:G25)/SUM($C$16:$G$25)</f>
        <v>1.8050292678244421E-2</v>
      </c>
    </row>
    <row r="26" spans="2:10" x14ac:dyDescent="0.35">
      <c r="C26" s="44"/>
      <c r="D26" s="44"/>
      <c r="E26" s="44"/>
      <c r="F26" s="44"/>
      <c r="G26" s="44"/>
      <c r="H26" s="43"/>
    </row>
    <row r="27" spans="2:10" ht="16.5" x14ac:dyDescent="0.45">
      <c r="B27" s="47" t="s">
        <v>47</v>
      </c>
      <c r="C27" s="46">
        <v>-8500000</v>
      </c>
      <c r="D27" s="46">
        <v>-8500000</v>
      </c>
      <c r="E27" s="46">
        <v>-8500000</v>
      </c>
      <c r="F27" s="46">
        <v>-8500000</v>
      </c>
      <c r="G27" s="45">
        <v>-4231681.75</v>
      </c>
      <c r="H27" s="43"/>
    </row>
    <row r="28" spans="2:10" x14ac:dyDescent="0.35">
      <c r="C28" s="44"/>
      <c r="D28" s="44"/>
      <c r="E28" s="44"/>
      <c r="F28" s="44"/>
      <c r="G28" s="44"/>
      <c r="H28" s="43"/>
    </row>
    <row r="29" spans="2:10" ht="16.5" x14ac:dyDescent="0.45">
      <c r="B29" s="42" t="s">
        <v>46</v>
      </c>
      <c r="C29" s="16">
        <v>2015</v>
      </c>
      <c r="D29" s="16">
        <v>2016</v>
      </c>
      <c r="E29" s="16">
        <v>2017</v>
      </c>
      <c r="F29" s="16">
        <v>2018</v>
      </c>
      <c r="G29" s="16">
        <v>2019</v>
      </c>
      <c r="I29" s="16" t="s">
        <v>45</v>
      </c>
      <c r="J29" s="16" t="s">
        <v>44</v>
      </c>
    </row>
    <row r="30" spans="2:10" x14ac:dyDescent="0.35">
      <c r="B30" s="21" t="s">
        <v>43</v>
      </c>
      <c r="C30" s="19">
        <f>SUM(C16:C25,C27)</f>
        <v>368467326.10001224</v>
      </c>
      <c r="D30" s="19">
        <f>SUM(D16:D25,D27)</f>
        <v>361692701.14751953</v>
      </c>
      <c r="E30" s="19">
        <f>SUM(E16:E25,E27)</f>
        <v>379420965.27639294</v>
      </c>
      <c r="F30" s="19">
        <f>SUM(F16:F25,F27)</f>
        <v>387565368.62910289</v>
      </c>
      <c r="G30" s="19">
        <f>SUM(G16:G25,G27)</f>
        <v>397905080.44295925</v>
      </c>
      <c r="H30" s="2"/>
      <c r="I30" s="19">
        <f>TREND($C$30:$G$30,$C$29:$G$29,2021)</f>
        <v>412909558.78618813</v>
      </c>
      <c r="J30" s="19">
        <f>TREND($C$30:$G$30,$C$29:$G$29,2024)</f>
        <v>438334011.63643265</v>
      </c>
    </row>
    <row r="32" spans="2:10" x14ac:dyDescent="0.35">
      <c r="B32" s="18" t="s">
        <v>42</v>
      </c>
      <c r="I32" s="18" t="s">
        <v>41</v>
      </c>
    </row>
    <row r="33" spans="2:11" ht="15" customHeight="1" x14ac:dyDescent="0.35"/>
    <row r="34" spans="2:11" ht="15" customHeight="1" x14ac:dyDescent="0.45">
      <c r="B34" s="37" t="s">
        <v>40</v>
      </c>
      <c r="C34" s="41">
        <v>111.13</v>
      </c>
      <c r="D34" s="1" t="s">
        <v>39</v>
      </c>
      <c r="I34" s="21" t="s">
        <v>38</v>
      </c>
      <c r="J34" s="21">
        <v>2021</v>
      </c>
    </row>
    <row r="35" spans="2:11" ht="15" customHeight="1" x14ac:dyDescent="0.45">
      <c r="B35" s="37" t="s">
        <v>37</v>
      </c>
      <c r="C35" s="41">
        <v>109.76</v>
      </c>
      <c r="D35" s="1" t="s">
        <v>36</v>
      </c>
      <c r="I35" s="21" t="s">
        <v>35</v>
      </c>
      <c r="J35" s="21">
        <v>2024</v>
      </c>
    </row>
    <row r="36" spans="2:11" ht="15" customHeight="1" x14ac:dyDescent="0.45">
      <c r="B36" s="37" t="s">
        <v>27</v>
      </c>
      <c r="C36" s="40">
        <f>+C34/C35-1</f>
        <v>1.2481778425655898E-2</v>
      </c>
      <c r="I36" s="39" t="s">
        <v>34</v>
      </c>
      <c r="J36" s="21">
        <f>+J35-J34+1</f>
        <v>4</v>
      </c>
    </row>
    <row r="37" spans="2:11" ht="15" customHeight="1" x14ac:dyDescent="0.4">
      <c r="I37" s="39" t="s">
        <v>29</v>
      </c>
      <c r="J37" s="26">
        <f>+I30</f>
        <v>412909558.78618813</v>
      </c>
    </row>
    <row r="38" spans="2:11" ht="15" customHeight="1" x14ac:dyDescent="0.4">
      <c r="B38" s="18" t="s">
        <v>33</v>
      </c>
      <c r="I38" s="39" t="s">
        <v>32</v>
      </c>
      <c r="J38" s="26">
        <f>+J30</f>
        <v>438334011.63643265</v>
      </c>
    </row>
    <row r="39" spans="2:11" ht="15" customHeight="1" x14ac:dyDescent="0.35">
      <c r="I39" s="39" t="s">
        <v>31</v>
      </c>
      <c r="J39" s="38">
        <f>1-POWER(J38/J37,1/3)</f>
        <v>-2.0117217832716916E-2</v>
      </c>
    </row>
    <row r="40" spans="2:11" ht="15" customHeight="1" x14ac:dyDescent="0.35">
      <c r="B40" s="37" t="s">
        <v>26</v>
      </c>
      <c r="C40" s="36">
        <v>4.0000000000000001E-3</v>
      </c>
    </row>
    <row r="42" spans="2:11" x14ac:dyDescent="0.35">
      <c r="B42" s="18" t="s">
        <v>30</v>
      </c>
    </row>
    <row r="44" spans="2:11" ht="16.5" x14ac:dyDescent="0.35">
      <c r="B44" s="21"/>
      <c r="C44" s="16" t="s">
        <v>29</v>
      </c>
      <c r="D44" s="16" t="s">
        <v>28</v>
      </c>
      <c r="E44" s="16" t="s">
        <v>27</v>
      </c>
      <c r="F44" s="16" t="s">
        <v>26</v>
      </c>
      <c r="G44" s="16" t="s">
        <v>25</v>
      </c>
      <c r="H44" s="16" t="s">
        <v>24</v>
      </c>
      <c r="I44" s="16" t="s">
        <v>11</v>
      </c>
    </row>
    <row r="45" spans="2:11" x14ac:dyDescent="0.35">
      <c r="B45" s="21" t="s">
        <v>9</v>
      </c>
      <c r="C45" s="31">
        <f>+I30</f>
        <v>412909558.78618813</v>
      </c>
      <c r="D45" s="30">
        <f>+H16</f>
        <v>0.14538676934569389</v>
      </c>
      <c r="E45" s="35">
        <f>+C36</f>
        <v>1.2481778425655898E-2</v>
      </c>
      <c r="F45" s="35">
        <f>+C40</f>
        <v>4.0000000000000001E-3</v>
      </c>
      <c r="G45" s="28">
        <v>4.1339477707956978E-5</v>
      </c>
      <c r="H45" s="27">
        <v>6875000</v>
      </c>
      <c r="I45" s="26">
        <f>+($C$45*D45*(1+$E$45-$F$45)*(1+G45))-(D45*$H$45)</f>
        <v>59543730.085725896</v>
      </c>
      <c r="J45" s="25"/>
      <c r="K45" s="25"/>
    </row>
    <row r="46" spans="2:11" x14ac:dyDescent="0.35">
      <c r="B46" s="21" t="s">
        <v>8</v>
      </c>
      <c r="C46" s="31"/>
      <c r="D46" s="30">
        <f>+H17</f>
        <v>0.16969023404432226</v>
      </c>
      <c r="E46" s="29"/>
      <c r="F46" s="29"/>
      <c r="G46" s="28">
        <v>5.590751045302122E-5</v>
      </c>
      <c r="H46" s="27"/>
      <c r="I46" s="26">
        <f>+($C$45*D46*(1+$E$45-$F$45)*(1+G46))-(D46*$H$45)</f>
        <v>69498340.182919785</v>
      </c>
      <c r="J46" s="25"/>
      <c r="K46" s="25"/>
    </row>
    <row r="47" spans="2:11" x14ac:dyDescent="0.35">
      <c r="B47" s="21" t="s">
        <v>7</v>
      </c>
      <c r="C47" s="31"/>
      <c r="D47" s="30">
        <f>+H18</f>
        <v>0.11726870257218999</v>
      </c>
      <c r="E47" s="29"/>
      <c r="F47" s="29"/>
      <c r="G47" s="28">
        <v>-2.4419464883198362E-4</v>
      </c>
      <c r="H47" s="27"/>
      <c r="I47" s="26">
        <f>+($C$45*D47*(1+$E$45-$F$45)*(1+G47))-(D47*$H$45)</f>
        <v>48013920.695205711</v>
      </c>
      <c r="J47" s="25"/>
      <c r="K47" s="25"/>
    </row>
    <row r="48" spans="2:11" x14ac:dyDescent="0.35">
      <c r="B48" s="21" t="s">
        <v>6</v>
      </c>
      <c r="C48" s="31"/>
      <c r="D48" s="30">
        <f>+H19</f>
        <v>2.6784762733906276E-2</v>
      </c>
      <c r="E48" s="29"/>
      <c r="F48" s="29"/>
      <c r="G48" s="28">
        <v>3.9220795196935935E-5</v>
      </c>
      <c r="H48" s="27"/>
      <c r="I48" s="26">
        <f>+($C$45*D48*(1+$E$45-$F$45)*(1+G48))-(D48*$H$45)</f>
        <v>10969782.561533418</v>
      </c>
      <c r="J48" s="25"/>
      <c r="K48" s="25"/>
    </row>
    <row r="49" spans="2:12" x14ac:dyDescent="0.35">
      <c r="B49" s="21" t="s">
        <v>5</v>
      </c>
      <c r="C49" s="31"/>
      <c r="D49" s="30">
        <f>+H20</f>
        <v>0.19836570627739164</v>
      </c>
      <c r="E49" s="29"/>
      <c r="F49" s="29"/>
      <c r="G49" s="28">
        <v>6.0963194171748996E-6</v>
      </c>
      <c r="H49" s="27"/>
      <c r="I49" s="26">
        <f>+($C$45*D49*(1+$E$45-$F$45)*(1+G49))-(D49*$H$45)</f>
        <v>81238553.435637847</v>
      </c>
      <c r="J49" s="25"/>
      <c r="K49" s="25"/>
    </row>
    <row r="50" spans="2:12" x14ac:dyDescent="0.35">
      <c r="B50" s="21" t="s">
        <v>4</v>
      </c>
      <c r="C50" s="31"/>
      <c r="D50" s="30">
        <f>+H21</f>
        <v>8.4699287589533018E-2</v>
      </c>
      <c r="E50" s="29"/>
      <c r="F50" s="29"/>
      <c r="G50" s="28">
        <v>4.3029846661403127E-5</v>
      </c>
      <c r="H50" s="27"/>
      <c r="I50" s="26">
        <f>+($C$45*D50*(1+$E$45-$F$45)*(1+G50))-(D50*$H$45)</f>
        <v>34688989.989851691</v>
      </c>
      <c r="J50" s="25"/>
      <c r="K50" s="25"/>
    </row>
    <row r="51" spans="2:12" x14ac:dyDescent="0.35">
      <c r="B51" s="21" t="s">
        <v>3</v>
      </c>
      <c r="C51" s="31"/>
      <c r="D51" s="30">
        <f>+H22</f>
        <v>6.9825002019071047E-2</v>
      </c>
      <c r="E51" s="29"/>
      <c r="F51" s="29"/>
      <c r="G51" s="28">
        <v>4.6275685000598141E-5</v>
      </c>
      <c r="H51" s="27"/>
      <c r="I51" s="26">
        <f>+($C$45*D51*(1+$E$45-$F$45)*(1+G51))-(D51*$H$45)</f>
        <v>28597251.03457379</v>
      </c>
      <c r="J51" s="25"/>
      <c r="K51" s="25"/>
    </row>
    <row r="52" spans="2:12" x14ac:dyDescent="0.35">
      <c r="B52" s="21" t="s">
        <v>2</v>
      </c>
      <c r="C52" s="31"/>
      <c r="D52" s="30">
        <f>+H23</f>
        <v>0.16992924273964757</v>
      </c>
      <c r="E52" s="29"/>
      <c r="F52" s="29"/>
      <c r="G52" s="28">
        <v>1.7419110219940658E-5</v>
      </c>
      <c r="H52" s="27"/>
      <c r="I52" s="26">
        <f>+($C$45*D52*(1+$E$45-$F$45)*(1+G52))-(D52*$H$45)</f>
        <v>69593505.135509551</v>
      </c>
      <c r="J52" s="25"/>
      <c r="K52" s="25"/>
    </row>
    <row r="53" spans="2:12" x14ac:dyDescent="0.35">
      <c r="B53" s="21" t="s">
        <v>1</v>
      </c>
      <c r="C53" s="31"/>
      <c r="D53" s="34"/>
      <c r="E53" s="29"/>
      <c r="F53" s="29"/>
      <c r="G53" s="33"/>
      <c r="H53" s="27"/>
      <c r="I53" s="32"/>
      <c r="J53" s="25"/>
      <c r="K53" s="25"/>
    </row>
    <row r="54" spans="2:12" x14ac:dyDescent="0.35">
      <c r="B54" s="21" t="s">
        <v>0</v>
      </c>
      <c r="C54" s="31"/>
      <c r="D54" s="30">
        <f>+H25</f>
        <v>1.8050292678244421E-2</v>
      </c>
      <c r="E54" s="29"/>
      <c r="F54" s="29"/>
      <c r="G54" s="28">
        <v>5.7814309074423247E-5</v>
      </c>
      <c r="H54" s="27"/>
      <c r="I54" s="26">
        <f>+($C$45*D54*(1+$E$45-$F$45)*(1+G54))-(D54*$H$45)</f>
        <v>7392693.044764054</v>
      </c>
      <c r="J54" s="25"/>
      <c r="K54" s="25"/>
    </row>
    <row r="55" spans="2:12" x14ac:dyDescent="0.35">
      <c r="I55" s="24"/>
    </row>
    <row r="56" spans="2:12" x14ac:dyDescent="0.35">
      <c r="B56" s="18" t="s">
        <v>23</v>
      </c>
      <c r="I56" s="12"/>
    </row>
    <row r="58" spans="2:12" ht="16.5" x14ac:dyDescent="0.35">
      <c r="B58" s="21"/>
      <c r="C58" s="16" t="s">
        <v>22</v>
      </c>
      <c r="D58" s="16" t="s">
        <v>21</v>
      </c>
      <c r="E58" s="16" t="s">
        <v>20</v>
      </c>
      <c r="F58" s="16" t="s">
        <v>19</v>
      </c>
      <c r="G58" s="16" t="s">
        <v>18</v>
      </c>
      <c r="H58" s="16" t="s">
        <v>17</v>
      </c>
      <c r="I58" s="16" t="s">
        <v>16</v>
      </c>
      <c r="J58" s="16" t="s">
        <v>15</v>
      </c>
      <c r="K58" s="23" t="s">
        <v>14</v>
      </c>
      <c r="L58" s="16" t="s">
        <v>13</v>
      </c>
    </row>
    <row r="59" spans="2:12" x14ac:dyDescent="0.35">
      <c r="B59" s="21" t="s">
        <v>9</v>
      </c>
      <c r="C59" s="20">
        <v>1163974.2406666668</v>
      </c>
      <c r="D59" s="20">
        <v>0</v>
      </c>
      <c r="E59" s="20">
        <v>31955.8025275199</v>
      </c>
      <c r="F59" s="19">
        <f>+C59+D59+E59</f>
        <v>1195930.0431941866</v>
      </c>
      <c r="G59" s="20">
        <v>7830636.6354066003</v>
      </c>
      <c r="H59" s="20">
        <v>0</v>
      </c>
      <c r="I59" s="20">
        <v>0</v>
      </c>
      <c r="J59" s="19">
        <f>+H59+I59</f>
        <v>0</v>
      </c>
      <c r="K59" s="19">
        <f>VLOOKUP(B59,[1]T15!$G$6:$H$15,2,0)</f>
        <v>3065736.3376770401</v>
      </c>
      <c r="L59" s="19">
        <f>+F59+G59+J59+K59</f>
        <v>12092303.016277827</v>
      </c>
    </row>
    <row r="60" spans="2:12" x14ac:dyDescent="0.35">
      <c r="B60" s="21" t="s">
        <v>8</v>
      </c>
      <c r="C60" s="20">
        <v>1056349.9398386669</v>
      </c>
      <c r="D60" s="20">
        <v>0</v>
      </c>
      <c r="E60" s="20">
        <v>21012.508916516501</v>
      </c>
      <c r="F60" s="19">
        <f>+C60+D60+E60</f>
        <v>1077362.4487551835</v>
      </c>
      <c r="G60" s="20">
        <v>7337777.9357214188</v>
      </c>
      <c r="H60" s="20">
        <v>0</v>
      </c>
      <c r="I60" s="20">
        <v>0</v>
      </c>
      <c r="J60" s="19">
        <f>+H60+I60</f>
        <v>0</v>
      </c>
      <c r="K60" s="19">
        <f>VLOOKUP(B60,[1]T15!$G$6:$H$15,2,0)</f>
        <v>3996643.6909790793</v>
      </c>
      <c r="L60" s="19">
        <f>+F60+G60+J60+K60</f>
        <v>12411784.07545568</v>
      </c>
    </row>
    <row r="61" spans="2:12" x14ac:dyDescent="0.35">
      <c r="B61" s="21" t="s">
        <v>7</v>
      </c>
      <c r="C61" s="20">
        <v>612726.83046666672</v>
      </c>
      <c r="D61" s="20">
        <v>0</v>
      </c>
      <c r="E61" s="20">
        <v>43892.443333333329</v>
      </c>
      <c r="F61" s="19">
        <f>+C61+D61+E61</f>
        <v>656619.27380000008</v>
      </c>
      <c r="G61" s="20">
        <v>3869754.9945015004</v>
      </c>
      <c r="H61" s="20">
        <v>0</v>
      </c>
      <c r="I61" s="20">
        <v>0</v>
      </c>
      <c r="J61" s="19">
        <f>+H61+I61</f>
        <v>0</v>
      </c>
      <c r="K61" s="19">
        <f>VLOOKUP(B61,[1]T15!$G$6:$H$15,2,0)</f>
        <v>4714197.8438378097</v>
      </c>
      <c r="L61" s="19">
        <f>+F61+G61+J61+K61</f>
        <v>9240572.1121393107</v>
      </c>
    </row>
    <row r="62" spans="2:12" x14ac:dyDescent="0.35">
      <c r="B62" s="21" t="s">
        <v>6</v>
      </c>
      <c r="C62" s="20">
        <v>236087.72737733333</v>
      </c>
      <c r="D62" s="20">
        <v>0</v>
      </c>
      <c r="E62" s="20">
        <v>5810.1500000000005</v>
      </c>
      <c r="F62" s="19">
        <f>+C62+D62+E62</f>
        <v>241897.87737733332</v>
      </c>
      <c r="G62" s="20">
        <v>1559557.5340880789</v>
      </c>
      <c r="H62" s="20">
        <v>0</v>
      </c>
      <c r="I62" s="20">
        <v>0</v>
      </c>
      <c r="J62" s="19">
        <f>+H62+I62</f>
        <v>0</v>
      </c>
      <c r="K62" s="19">
        <f>VLOOKUP(B62,[1]T15!$G$6:$H$15,2,0)</f>
        <v>681562.95947087661</v>
      </c>
      <c r="L62" s="19">
        <f>+F62+G62+J62+K62</f>
        <v>2483018.370936289</v>
      </c>
    </row>
    <row r="63" spans="2:12" x14ac:dyDescent="0.35">
      <c r="B63" s="21" t="s">
        <v>5</v>
      </c>
      <c r="C63" s="20">
        <v>1090599.7309999999</v>
      </c>
      <c r="D63" s="20">
        <v>0</v>
      </c>
      <c r="E63" s="20">
        <v>32595.893283605106</v>
      </c>
      <c r="F63" s="19">
        <f>+C63+D63+E63</f>
        <v>1123195.624283605</v>
      </c>
      <c r="G63" s="20">
        <v>7337009.5986808995</v>
      </c>
      <c r="H63" s="20">
        <v>0</v>
      </c>
      <c r="I63" s="20">
        <v>0</v>
      </c>
      <c r="J63" s="19">
        <f>+H63+I63</f>
        <v>0</v>
      </c>
      <c r="K63" s="19">
        <f>VLOOKUP(B63,[1]T15!$G$6:$H$15,2,0)</f>
        <v>5893801.1010000594</v>
      </c>
      <c r="L63" s="19">
        <f>+F63+G63+J63+K63</f>
        <v>14354006.323964564</v>
      </c>
    </row>
    <row r="64" spans="2:12" x14ac:dyDescent="0.35">
      <c r="B64" s="21" t="s">
        <v>4</v>
      </c>
      <c r="C64" s="20">
        <v>644646.68666666653</v>
      </c>
      <c r="D64" s="20">
        <v>0</v>
      </c>
      <c r="E64" s="20">
        <v>19910.433333333334</v>
      </c>
      <c r="F64" s="19">
        <f>+C64+D64+E64</f>
        <v>664557.11999999988</v>
      </c>
      <c r="G64" s="20">
        <v>4336859.9794000005</v>
      </c>
      <c r="H64" s="20">
        <v>0</v>
      </c>
      <c r="I64" s="20">
        <v>0</v>
      </c>
      <c r="J64" s="19">
        <f>+H64+I64</f>
        <v>0</v>
      </c>
      <c r="K64" s="19">
        <f>VLOOKUP(B64,[1]T15!$G$6:$H$15,2,0)</f>
        <v>2377039.9885256877</v>
      </c>
      <c r="L64" s="19">
        <f>+F64+G64+J64+K64</f>
        <v>7378457.0879256884</v>
      </c>
    </row>
    <row r="65" spans="2:12" x14ac:dyDescent="0.35">
      <c r="B65" s="21" t="s">
        <v>3</v>
      </c>
      <c r="C65" s="20">
        <v>439055.64999999991</v>
      </c>
      <c r="D65" s="20">
        <v>0</v>
      </c>
      <c r="E65" s="20">
        <v>21352.042949423001</v>
      </c>
      <c r="F65" s="19">
        <f>+C65+D65+E65</f>
        <v>460407.69294942293</v>
      </c>
      <c r="G65" s="20">
        <v>2953746.721225</v>
      </c>
      <c r="H65" s="20">
        <v>0</v>
      </c>
      <c r="I65" s="20">
        <v>0</v>
      </c>
      <c r="J65" s="19">
        <f>+H65+I65</f>
        <v>0</v>
      </c>
      <c r="K65" s="19">
        <f>VLOOKUP(B65,[1]T15!$G$6:$H$15,2,0)</f>
        <v>2737600.4123751717</v>
      </c>
      <c r="L65" s="19">
        <f>+F65+G65+J65+K65</f>
        <v>6151754.8265495952</v>
      </c>
    </row>
    <row r="66" spans="2:12" x14ac:dyDescent="0.35">
      <c r="B66" s="21" t="s">
        <v>2</v>
      </c>
      <c r="C66" s="20">
        <v>1002069.6066666668</v>
      </c>
      <c r="D66" s="20">
        <v>0</v>
      </c>
      <c r="E66" s="20">
        <v>34525.709820002689</v>
      </c>
      <c r="F66" s="19">
        <f>+C66+D66+E66</f>
        <v>1036595.3164866695</v>
      </c>
      <c r="G66" s="20">
        <v>6741423.0370000014</v>
      </c>
      <c r="H66" s="20">
        <v>0</v>
      </c>
      <c r="I66" s="20">
        <v>0</v>
      </c>
      <c r="J66" s="19">
        <f>+H66+I66</f>
        <v>0</v>
      </c>
      <c r="K66" s="19">
        <f>VLOOKUP(B66,[1]T15!$G$6:$H$15,2,0)</f>
        <v>4761213.3667318514</v>
      </c>
      <c r="L66" s="19">
        <f>+F66+G66+J66+K66</f>
        <v>12539231.720218522</v>
      </c>
    </row>
    <row r="67" spans="2:12" x14ac:dyDescent="0.35">
      <c r="B67" s="21" t="s">
        <v>1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</row>
    <row r="68" spans="2:12" x14ac:dyDescent="0.35">
      <c r="B68" s="21" t="s">
        <v>0</v>
      </c>
      <c r="C68" s="20">
        <v>195368.12666666662</v>
      </c>
      <c r="D68" s="20">
        <v>0</v>
      </c>
      <c r="E68" s="20">
        <v>3251.594860139578</v>
      </c>
      <c r="F68" s="19">
        <f>+C68+D68+E68</f>
        <v>198619.72152680618</v>
      </c>
      <c r="G68" s="20">
        <v>1314338.8289000001</v>
      </c>
      <c r="H68" s="20">
        <v>0</v>
      </c>
      <c r="I68" s="20">
        <v>0</v>
      </c>
      <c r="J68" s="19">
        <f>+H68+I68</f>
        <v>0</v>
      </c>
      <c r="K68" s="19">
        <f>VLOOKUP(B68,[1]T15!$G$6:$H$15,2,0)</f>
        <v>561916.5598301756</v>
      </c>
      <c r="L68" s="19">
        <f>+F68+G68+J68+K68</f>
        <v>2074875.110256982</v>
      </c>
    </row>
    <row r="69" spans="2:12" x14ac:dyDescent="0.35">
      <c r="F69" s="12"/>
      <c r="G69" s="12"/>
      <c r="K69" s="12"/>
    </row>
    <row r="70" spans="2:12" x14ac:dyDescent="0.35">
      <c r="B70" s="18" t="s">
        <v>12</v>
      </c>
    </row>
    <row r="71" spans="2:12" ht="15" thickBot="1" x14ac:dyDescent="0.4"/>
    <row r="72" spans="2:12" ht="17" thickBot="1" x14ac:dyDescent="0.4">
      <c r="B72" s="17"/>
      <c r="C72" s="16" t="s">
        <v>11</v>
      </c>
      <c r="D72" s="16" t="str">
        <f>+L58</f>
        <v>Totaal aanvullend</v>
      </c>
      <c r="E72" s="15" t="s">
        <v>10</v>
      </c>
    </row>
    <row r="73" spans="2:12" x14ac:dyDescent="0.35">
      <c r="B73" s="14" t="s">
        <v>9</v>
      </c>
      <c r="C73" s="5">
        <f>+I45</f>
        <v>59543730.085725896</v>
      </c>
      <c r="D73" s="4">
        <f>+L59</f>
        <v>12092303.016277827</v>
      </c>
      <c r="E73" s="13">
        <f>+C73+D73</f>
        <v>71636033.102003723</v>
      </c>
      <c r="F73" s="12"/>
    </row>
    <row r="74" spans="2:12" x14ac:dyDescent="0.35">
      <c r="B74" s="10" t="s">
        <v>8</v>
      </c>
      <c r="C74" s="5">
        <f>+I46</f>
        <v>69498340.182919785</v>
      </c>
      <c r="D74" s="4">
        <f>+L60</f>
        <v>12411784.07545568</v>
      </c>
      <c r="E74" s="11">
        <f>+C74+D74</f>
        <v>81910124.258375466</v>
      </c>
      <c r="F74" s="2"/>
    </row>
    <row r="75" spans="2:12" x14ac:dyDescent="0.35">
      <c r="B75" s="10" t="s">
        <v>7</v>
      </c>
      <c r="C75" s="5">
        <f>+I47</f>
        <v>48013920.695205711</v>
      </c>
      <c r="D75" s="4">
        <f>+L61</f>
        <v>9240572.1121393107</v>
      </c>
      <c r="E75" s="11">
        <f>+C75+D75</f>
        <v>57254492.807345018</v>
      </c>
      <c r="F75" s="2"/>
    </row>
    <row r="76" spans="2:12" x14ac:dyDescent="0.35">
      <c r="B76" s="10" t="s">
        <v>6</v>
      </c>
      <c r="C76" s="5">
        <f>+I48</f>
        <v>10969782.561533418</v>
      </c>
      <c r="D76" s="4">
        <f>+L62</f>
        <v>2483018.370936289</v>
      </c>
      <c r="E76" s="11">
        <f>+C76+D76</f>
        <v>13452800.932469707</v>
      </c>
      <c r="F76" s="2"/>
    </row>
    <row r="77" spans="2:12" x14ac:dyDescent="0.35">
      <c r="B77" s="10" t="s">
        <v>5</v>
      </c>
      <c r="C77" s="5">
        <f>+I49</f>
        <v>81238553.435637847</v>
      </c>
      <c r="D77" s="4">
        <f>+L63</f>
        <v>14354006.323964564</v>
      </c>
      <c r="E77" s="11">
        <f>+C77+D77</f>
        <v>95592559.759602413</v>
      </c>
      <c r="F77" s="2"/>
    </row>
    <row r="78" spans="2:12" x14ac:dyDescent="0.35">
      <c r="B78" s="10" t="s">
        <v>4</v>
      </c>
      <c r="C78" s="5">
        <f>+I50</f>
        <v>34688989.989851691</v>
      </c>
      <c r="D78" s="4">
        <f>+L64</f>
        <v>7378457.0879256884</v>
      </c>
      <c r="E78" s="11">
        <f>+C78+D78</f>
        <v>42067447.077777378</v>
      </c>
      <c r="F78" s="2"/>
    </row>
    <row r="79" spans="2:12" x14ac:dyDescent="0.35">
      <c r="B79" s="10" t="s">
        <v>3</v>
      </c>
      <c r="C79" s="5">
        <f>+I51</f>
        <v>28597251.03457379</v>
      </c>
      <c r="D79" s="4">
        <f>+L65</f>
        <v>6151754.8265495952</v>
      </c>
      <c r="E79" s="11">
        <f>+C79+D79</f>
        <v>34749005.861123383</v>
      </c>
      <c r="F79" s="2"/>
    </row>
    <row r="80" spans="2:12" x14ac:dyDescent="0.35">
      <c r="B80" s="10" t="s">
        <v>2</v>
      </c>
      <c r="C80" s="5">
        <f>+I52</f>
        <v>69593505.135509551</v>
      </c>
      <c r="D80" s="4">
        <f>+L66</f>
        <v>12539231.720218522</v>
      </c>
      <c r="E80" s="11">
        <f>+C80+D80</f>
        <v>82132736.855728075</v>
      </c>
      <c r="F80" s="2"/>
    </row>
    <row r="81" spans="2:6" x14ac:dyDescent="0.35">
      <c r="B81" s="10" t="s">
        <v>1</v>
      </c>
      <c r="C81" s="9"/>
      <c r="D81" s="8"/>
      <c r="E81" s="7"/>
    </row>
    <row r="82" spans="2:6" ht="15" thickBot="1" x14ac:dyDescent="0.4">
      <c r="B82" s="6" t="s">
        <v>0</v>
      </c>
      <c r="C82" s="5">
        <f>+I54</f>
        <v>7392693.044764054</v>
      </c>
      <c r="D82" s="4">
        <f>+L68</f>
        <v>2074875.110256982</v>
      </c>
      <c r="E82" s="3">
        <f>+C82+D82</f>
        <v>9467568.155021036</v>
      </c>
      <c r="F82" s="2"/>
    </row>
  </sheetData>
  <mergeCells count="6">
    <mergeCell ref="B2:J3"/>
    <mergeCell ref="B7:J7"/>
    <mergeCell ref="C45:C54"/>
    <mergeCell ref="E45:E54"/>
    <mergeCell ref="F45:F54"/>
    <mergeCell ref="H45:H54"/>
  </mergeCells>
  <pageMargins left="0.7" right="0.7" top="0.75" bottom="0.75" header="0.3" footer="0.3"/>
  <pageSetup paperSize="9"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aabf7fb0be0efa736609aefc912e377d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ff94e258df4ab531b6825425a8be82e0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Props1.xml><?xml version="1.0" encoding="utf-8"?>
<ds:datastoreItem xmlns:ds="http://schemas.openxmlformats.org/officeDocument/2006/customXml" ds:itemID="{BF08C1CE-8075-49A3-A86C-F9B8DFD4A23C}"/>
</file>

<file path=customXml/itemProps2.xml><?xml version="1.0" encoding="utf-8"?>
<ds:datastoreItem xmlns:ds="http://schemas.openxmlformats.org/officeDocument/2006/customXml" ds:itemID="{3291ECBE-25EC-4B4C-928C-884FBC144F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688F7F-A519-4B52-81CA-817E02E2786E}">
  <ds:schemaRefs>
    <ds:schemaRef ds:uri="http://schemas.microsoft.com/office/2006/metadata/properties"/>
    <ds:schemaRef ds:uri="http://schemas.microsoft.com/office/infopath/2007/PartnerControls"/>
    <ds:schemaRef ds:uri="dc27eef4-d356-41e1-bcf3-2711032fb0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TI_En_Gas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 Stockman</dc:creator>
  <cp:lastModifiedBy>Bert Stockman</cp:lastModifiedBy>
  <dcterms:created xsi:type="dcterms:W3CDTF">2020-10-09T05:53:29Z</dcterms:created>
  <dcterms:modified xsi:type="dcterms:W3CDTF">2020-10-09T05:54:58Z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</Properties>
</file>