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o365vreg.sharepoint.com/sites/KT_Tariefregulering/Gedeelde  documenten/TM 21-24/7 Analyses/Toegelaten inkomen 2022/"/>
    </mc:Choice>
  </mc:AlternateContent>
  <xr:revisionPtr revIDLastSave="3" documentId="8_{A49682E6-572A-4817-822A-E45387E96ED7}" xr6:coauthVersionLast="47" xr6:coauthVersionMax="47" xr10:uidLastSave="{9CFA2BDB-266F-447A-9DAE-1082FA48667F}"/>
  <bookViews>
    <workbookView xWindow="-110" yWindow="-110" windowWidth="19420" windowHeight="10420" xr2:uid="{92866423-F432-4D58-9321-E162534DE6C0}"/>
  </bookViews>
  <sheets>
    <sheet name="TI_En_Elek" sheetId="1" r:id="rId1"/>
  </sheets>
  <externalReferences>
    <externalReference r:id="rId2"/>
    <externalReference r:id="rId3"/>
  </externalReferences>
  <definedNames>
    <definedName name="Aftakklem_LS">'[1]BASISPRIJZEN MATERIAAL'!$I$188</definedName>
    <definedName name="Codes">'[2]Codes des IM'!$B$2:$D$23</definedName>
    <definedName name="Forfaitair_feeder">75000</definedName>
    <definedName name="Hangslot">'[1]BASISPRIJZEN MATERIAAL'!$I$138</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'[1]BASISPRIJZEN MATERIAAL'!$I$159</definedName>
    <definedName name="Slot_voor_sleutelkastje">'[1]BASISPRIJZEN MATERIAAL'!$I$158</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6" i="1" l="1"/>
  <c r="G152" i="1"/>
  <c r="J151" i="1"/>
  <c r="F151" i="1"/>
  <c r="J150" i="1"/>
  <c r="F150" i="1"/>
  <c r="J149" i="1"/>
  <c r="F149" i="1"/>
  <c r="J148" i="1"/>
  <c r="L148" i="1" s="1"/>
  <c r="D163" i="1" s="1"/>
  <c r="F148" i="1"/>
  <c r="J147" i="1"/>
  <c r="F147" i="1"/>
  <c r="J146" i="1"/>
  <c r="F146" i="1"/>
  <c r="J145" i="1"/>
  <c r="F145" i="1"/>
  <c r="J144" i="1"/>
  <c r="L144" i="1" s="1"/>
  <c r="D159" i="1" s="1"/>
  <c r="F144" i="1"/>
  <c r="J143" i="1"/>
  <c r="F143" i="1"/>
  <c r="J142" i="1"/>
  <c r="F142" i="1"/>
  <c r="H137" i="1"/>
  <c r="H136" i="1"/>
  <c r="H135" i="1"/>
  <c r="H134" i="1"/>
  <c r="H133" i="1"/>
  <c r="H132" i="1"/>
  <c r="H131" i="1"/>
  <c r="H130" i="1"/>
  <c r="H129" i="1"/>
  <c r="H128" i="1"/>
  <c r="G128" i="1"/>
  <c r="C116" i="1"/>
  <c r="G105" i="1"/>
  <c r="G104" i="1"/>
  <c r="G103" i="1"/>
  <c r="G102" i="1"/>
  <c r="G101" i="1"/>
  <c r="G100" i="1"/>
  <c r="G99" i="1"/>
  <c r="G98" i="1"/>
  <c r="G97" i="1"/>
  <c r="H96" i="1"/>
  <c r="G96" i="1"/>
  <c r="F96" i="1"/>
  <c r="C91" i="1"/>
  <c r="E96" i="1" s="1"/>
  <c r="C90" i="1"/>
  <c r="D72" i="1"/>
  <c r="G69" i="1"/>
  <c r="J68" i="1"/>
  <c r="F68" i="1"/>
  <c r="J67" i="1"/>
  <c r="F67" i="1"/>
  <c r="J66" i="1"/>
  <c r="F66" i="1"/>
  <c r="J65" i="1"/>
  <c r="F65" i="1"/>
  <c r="J64" i="1"/>
  <c r="F64" i="1"/>
  <c r="J63" i="1"/>
  <c r="F63" i="1"/>
  <c r="J62" i="1"/>
  <c r="F62" i="1"/>
  <c r="J61" i="1"/>
  <c r="F61" i="1"/>
  <c r="J60" i="1"/>
  <c r="F60" i="1"/>
  <c r="J59" i="1"/>
  <c r="F59" i="1"/>
  <c r="F45" i="1"/>
  <c r="J36" i="1"/>
  <c r="C36" i="1"/>
  <c r="E45" i="1" s="1"/>
  <c r="H21" i="1"/>
  <c r="L61" i="1" l="1"/>
  <c r="D75" i="1" s="1"/>
  <c r="L62" i="1"/>
  <c r="D76" i="1" s="1"/>
  <c r="L66" i="1"/>
  <c r="D80" i="1" s="1"/>
  <c r="L149" i="1"/>
  <c r="D164" i="1" s="1"/>
  <c r="L64" i="1"/>
  <c r="D78" i="1" s="1"/>
  <c r="L143" i="1"/>
  <c r="D158" i="1" s="1"/>
  <c r="L147" i="1"/>
  <c r="D162" i="1" s="1"/>
  <c r="L151" i="1"/>
  <c r="D166" i="1" s="1"/>
  <c r="G30" i="1"/>
  <c r="H20" i="1"/>
  <c r="L146" i="1"/>
  <c r="D161" i="1" s="1"/>
  <c r="H18" i="1"/>
  <c r="D98" i="1" s="1"/>
  <c r="L59" i="1"/>
  <c r="D73" i="1" s="1"/>
  <c r="L67" i="1"/>
  <c r="D81" i="1" s="1"/>
  <c r="H17" i="1"/>
  <c r="D46" i="1" s="1"/>
  <c r="H25" i="1"/>
  <c r="D54" i="1" s="1"/>
  <c r="E30" i="1"/>
  <c r="K69" i="1"/>
  <c r="L65" i="1"/>
  <c r="D79" i="1" s="1"/>
  <c r="H16" i="1"/>
  <c r="D96" i="1" s="1"/>
  <c r="H24" i="1"/>
  <c r="L60" i="1"/>
  <c r="D74" i="1" s="1"/>
  <c r="L68" i="1"/>
  <c r="D82" i="1" s="1"/>
  <c r="L142" i="1"/>
  <c r="D157" i="1" s="1"/>
  <c r="D167" i="1" s="1"/>
  <c r="L145" i="1"/>
  <c r="D160" i="1" s="1"/>
  <c r="L150" i="1"/>
  <c r="D165" i="1" s="1"/>
  <c r="D30" i="1"/>
  <c r="H22" i="1"/>
  <c r="D51" i="1" s="1"/>
  <c r="L63" i="1"/>
  <c r="D77" i="1" s="1"/>
  <c r="K152" i="1"/>
  <c r="D100" i="1"/>
  <c r="D49" i="1"/>
  <c r="D53" i="1"/>
  <c r="D104" i="1"/>
  <c r="D45" i="1"/>
  <c r="D101" i="1"/>
  <c r="D50" i="1"/>
  <c r="H23" i="1"/>
  <c r="C117" i="1"/>
  <c r="D128" i="1" s="1"/>
  <c r="F152" i="1"/>
  <c r="F30" i="1"/>
  <c r="F69" i="1"/>
  <c r="H19" i="1"/>
  <c r="C30" i="1"/>
  <c r="D83" i="1" l="1"/>
  <c r="D47" i="1"/>
  <c r="D105" i="1"/>
  <c r="D102" i="1"/>
  <c r="D97" i="1"/>
  <c r="J30" i="1"/>
  <c r="J38" i="1" s="1"/>
  <c r="I30" i="1"/>
  <c r="D48" i="1"/>
  <c r="D99" i="1"/>
  <c r="D103" i="1"/>
  <c r="D52" i="1"/>
  <c r="J37" i="1" l="1"/>
  <c r="C96" i="1"/>
  <c r="C45" i="1"/>
  <c r="J39" i="1"/>
  <c r="E128" i="1" l="1"/>
  <c r="I51" i="1"/>
  <c r="C79" i="1" s="1"/>
  <c r="E79" i="1" s="1"/>
  <c r="I48" i="1"/>
  <c r="C76" i="1" s="1"/>
  <c r="E76" i="1" s="1"/>
  <c r="I53" i="1"/>
  <c r="C81" i="1" s="1"/>
  <c r="E81" i="1" s="1"/>
  <c r="I45" i="1"/>
  <c r="I50" i="1"/>
  <c r="C78" i="1" s="1"/>
  <c r="E78" i="1" s="1"/>
  <c r="I47" i="1"/>
  <c r="C75" i="1" s="1"/>
  <c r="E75" i="1" s="1"/>
  <c r="I52" i="1"/>
  <c r="C80" i="1" s="1"/>
  <c r="E80" i="1" s="1"/>
  <c r="I54" i="1"/>
  <c r="C82" i="1" s="1"/>
  <c r="E82" i="1" s="1"/>
  <c r="I46" i="1"/>
  <c r="C74" i="1" s="1"/>
  <c r="E74" i="1" s="1"/>
  <c r="I49" i="1"/>
  <c r="C77" i="1" s="1"/>
  <c r="E77" i="1" s="1"/>
  <c r="I100" i="1"/>
  <c r="C132" i="1" s="1"/>
  <c r="I102" i="1"/>
  <c r="C134" i="1" s="1"/>
  <c r="I103" i="1"/>
  <c r="C135" i="1" s="1"/>
  <c r="I105" i="1"/>
  <c r="C137" i="1" s="1"/>
  <c r="I97" i="1"/>
  <c r="C129" i="1" s="1"/>
  <c r="I99" i="1"/>
  <c r="C131" i="1" s="1"/>
  <c r="I104" i="1"/>
  <c r="C136" i="1" s="1"/>
  <c r="I96" i="1"/>
  <c r="C128" i="1" s="1"/>
  <c r="I101" i="1"/>
  <c r="C133" i="1" s="1"/>
  <c r="I98" i="1"/>
  <c r="C130" i="1" s="1"/>
  <c r="I106" i="1" l="1"/>
  <c r="C73" i="1"/>
  <c r="I55" i="1"/>
  <c r="C121" i="1"/>
  <c r="C123" i="1" s="1"/>
  <c r="F128" i="1" l="1"/>
  <c r="I136" i="1" s="1"/>
  <c r="C165" i="1" s="1"/>
  <c r="E165" i="1" s="1"/>
  <c r="E73" i="1"/>
  <c r="E83" i="1" s="1"/>
  <c r="C83" i="1"/>
  <c r="I128" i="1" l="1"/>
  <c r="I129" i="1"/>
  <c r="C158" i="1" s="1"/>
  <c r="E158" i="1" s="1"/>
  <c r="I137" i="1"/>
  <c r="C166" i="1" s="1"/>
  <c r="E166" i="1" s="1"/>
  <c r="I130" i="1"/>
  <c r="C159" i="1" s="1"/>
  <c r="E159" i="1" s="1"/>
  <c r="I135" i="1"/>
  <c r="C164" i="1" s="1"/>
  <c r="E164" i="1" s="1"/>
  <c r="I131" i="1"/>
  <c r="C160" i="1" s="1"/>
  <c r="E160" i="1" s="1"/>
  <c r="C157" i="1"/>
  <c r="I132" i="1"/>
  <c r="C161" i="1" s="1"/>
  <c r="E161" i="1" s="1"/>
  <c r="I133" i="1"/>
  <c r="C162" i="1" s="1"/>
  <c r="E162" i="1" s="1"/>
  <c r="I134" i="1"/>
  <c r="C163" i="1" s="1"/>
  <c r="E163" i="1" s="1"/>
  <c r="I138" i="1" l="1"/>
  <c r="C167" i="1"/>
  <c r="E157" i="1"/>
  <c r="E167" i="1" s="1"/>
</calcChain>
</file>

<file path=xl/sharedStrings.xml><?xml version="1.0" encoding="utf-8"?>
<sst xmlns="http://schemas.openxmlformats.org/spreadsheetml/2006/main" count="181" uniqueCount="85">
  <si>
    <t>ELEKTRICITEIT</t>
  </si>
  <si>
    <t>Toegelaten inkomen uit periodieke distributienettarieven voor endogene kosten</t>
  </si>
  <si>
    <t>Inkomsten 2021</t>
  </si>
  <si>
    <t>EX-ANTE</t>
  </si>
  <si>
    <r>
      <t>TK</t>
    </r>
    <r>
      <rPr>
        <b/>
        <vertAlign val="subscript"/>
        <sz val="11"/>
        <color indexed="8"/>
        <rFont val="Calibri"/>
        <family val="2"/>
      </rPr>
      <t>act,n,i</t>
    </r>
  </si>
  <si>
    <r>
      <t>a</t>
    </r>
    <r>
      <rPr>
        <b/>
        <vertAlign val="subscript"/>
        <sz val="11"/>
        <color indexed="8"/>
        <rFont val="Calibri"/>
        <family val="2"/>
      </rPr>
      <t>i</t>
    </r>
  </si>
  <si>
    <t>Gaselwest</t>
  </si>
  <si>
    <t>Fluvius Antwerpen</t>
  </si>
  <si>
    <t>Fluvius Limburg</t>
  </si>
  <si>
    <t>Fluvius West</t>
  </si>
  <si>
    <t>Imewo</t>
  </si>
  <si>
    <t>Intergem</t>
  </si>
  <si>
    <t>Iveka</t>
  </si>
  <si>
    <t>Iverlek</t>
  </si>
  <si>
    <t>PBE</t>
  </si>
  <si>
    <t>Sibelgas</t>
  </si>
  <si>
    <r>
      <t>Fl</t>
    </r>
    <r>
      <rPr>
        <b/>
        <vertAlign val="subscript"/>
        <sz val="11"/>
        <color theme="1"/>
        <rFont val="Calibri"/>
        <family val="2"/>
        <scheme val="minor"/>
      </rPr>
      <t>n</t>
    </r>
  </si>
  <si>
    <r>
      <t>SK</t>
    </r>
    <r>
      <rPr>
        <b/>
        <vertAlign val="subscript"/>
        <sz val="11"/>
        <color theme="1"/>
        <rFont val="Calibri"/>
        <family val="2"/>
      </rPr>
      <t>n</t>
    </r>
  </si>
  <si>
    <r>
      <t>TK</t>
    </r>
    <r>
      <rPr>
        <b/>
        <vertAlign val="subscript"/>
        <sz val="11"/>
        <color indexed="8"/>
        <rFont val="Calibri"/>
        <family val="2"/>
      </rPr>
      <t>trend,2021</t>
    </r>
  </si>
  <si>
    <r>
      <t>TK</t>
    </r>
    <r>
      <rPr>
        <b/>
        <vertAlign val="subscript"/>
        <sz val="11"/>
        <color indexed="8"/>
        <rFont val="Calibri"/>
        <family val="2"/>
      </rPr>
      <t>trend,2024</t>
    </r>
  </si>
  <si>
    <t xml:space="preserve">Evolutie sector </t>
  </si>
  <si>
    <t>Inflatieverwachtingen in 2020 o.b.v. consumptieprijsindex</t>
  </si>
  <si>
    <t>X-waarde reguleringsperiode 2021-2024</t>
  </si>
  <si>
    <r>
      <t>I</t>
    </r>
    <r>
      <rPr>
        <b/>
        <vertAlign val="subscript"/>
        <sz val="11"/>
        <color indexed="8"/>
        <rFont val="Calibri"/>
        <family val="2"/>
      </rPr>
      <t>2021,v</t>
    </r>
  </si>
  <si>
    <t>FP</t>
  </si>
  <si>
    <t>beginjaar</t>
  </si>
  <si>
    <r>
      <t>I</t>
    </r>
    <r>
      <rPr>
        <b/>
        <vertAlign val="subscript"/>
        <sz val="11"/>
        <color indexed="8"/>
        <rFont val="Calibri"/>
        <family val="2"/>
      </rPr>
      <t>2020</t>
    </r>
  </si>
  <si>
    <t>FOD</t>
  </si>
  <si>
    <t>eindjaar</t>
  </si>
  <si>
    <r>
      <t>CPI</t>
    </r>
    <r>
      <rPr>
        <b/>
        <vertAlign val="subscript"/>
        <sz val="11"/>
        <color indexed="8"/>
        <rFont val="Calibri"/>
        <family val="2"/>
      </rPr>
      <t>2021,v</t>
    </r>
  </si>
  <si>
    <t>p</t>
  </si>
  <si>
    <r>
      <t>TI</t>
    </r>
    <r>
      <rPr>
        <b/>
        <vertAlign val="subscript"/>
        <sz val="10"/>
        <color indexed="8"/>
        <rFont val="Calibri"/>
        <family val="2"/>
      </rPr>
      <t>trend,2021</t>
    </r>
  </si>
  <si>
    <t>Netto frontier shift elektriciteit</t>
  </si>
  <si>
    <r>
      <t>TI</t>
    </r>
    <r>
      <rPr>
        <b/>
        <vertAlign val="subscript"/>
        <sz val="10"/>
        <color indexed="8"/>
        <rFont val="Calibri"/>
        <family val="2"/>
      </rPr>
      <t>trend,2024</t>
    </r>
  </si>
  <si>
    <t>x</t>
  </si>
  <si>
    <t>x"</t>
  </si>
  <si>
    <t>Toegelaten inkomsten endogene kosten basisgedeelte 2021</t>
  </si>
  <si>
    <r>
      <t>q</t>
    </r>
    <r>
      <rPr>
        <vertAlign val="subscript"/>
        <sz val="11"/>
        <color indexed="8"/>
        <rFont val="Calibri"/>
        <family val="2"/>
      </rPr>
      <t>i</t>
    </r>
  </si>
  <si>
    <r>
      <t>Fl</t>
    </r>
    <r>
      <rPr>
        <b/>
        <vertAlign val="subscript"/>
        <sz val="11"/>
        <color theme="1"/>
        <rFont val="Calibri"/>
        <family val="2"/>
        <scheme val="minor"/>
      </rPr>
      <t>21</t>
    </r>
  </si>
  <si>
    <r>
      <t>TI</t>
    </r>
    <r>
      <rPr>
        <b/>
        <vertAlign val="subscript"/>
        <sz val="11"/>
        <color theme="1"/>
        <rFont val="Calibri"/>
        <family val="2"/>
        <scheme val="minor"/>
      </rPr>
      <t>basis,2021,i</t>
    </r>
  </si>
  <si>
    <t>Ex-ante aanvullende endogene termen 2021</t>
  </si>
  <si>
    <r>
      <t>C</t>
    </r>
    <r>
      <rPr>
        <b/>
        <vertAlign val="subscript"/>
        <sz val="11"/>
        <color theme="1"/>
        <rFont val="Calibri"/>
        <family val="2"/>
        <scheme val="minor"/>
      </rPr>
      <t>A,2021,i</t>
    </r>
  </si>
  <si>
    <r>
      <t>C</t>
    </r>
    <r>
      <rPr>
        <b/>
        <vertAlign val="subscript"/>
        <sz val="11"/>
        <color theme="1"/>
        <rFont val="Calibri"/>
        <family val="2"/>
        <scheme val="minor"/>
      </rPr>
      <t>NI,2021,i</t>
    </r>
  </si>
  <si>
    <r>
      <t>C</t>
    </r>
    <r>
      <rPr>
        <b/>
        <vertAlign val="subscript"/>
        <sz val="11"/>
        <color theme="1"/>
        <rFont val="Calibri"/>
        <family val="2"/>
        <scheme val="minor"/>
      </rPr>
      <t>H,2021,i</t>
    </r>
  </si>
  <si>
    <r>
      <t>VNB</t>
    </r>
    <r>
      <rPr>
        <b/>
        <vertAlign val="subscript"/>
        <sz val="11"/>
        <color theme="1"/>
        <rFont val="Calibri"/>
        <family val="2"/>
        <scheme val="minor"/>
      </rPr>
      <t>2021,i</t>
    </r>
  </si>
  <si>
    <r>
      <t>HWMW</t>
    </r>
    <r>
      <rPr>
        <b/>
        <vertAlign val="subscript"/>
        <sz val="11"/>
        <color theme="1"/>
        <rFont val="Calibri"/>
        <family val="2"/>
        <scheme val="minor"/>
      </rPr>
      <t>2021,i</t>
    </r>
  </si>
  <si>
    <r>
      <t>BM</t>
    </r>
    <r>
      <rPr>
        <b/>
        <vertAlign val="subscript"/>
        <sz val="11"/>
        <color theme="1"/>
        <rFont val="Calibri"/>
        <family val="2"/>
        <scheme val="minor"/>
      </rPr>
      <t>ex-ante,2021,i</t>
    </r>
  </si>
  <si>
    <r>
      <t>BM</t>
    </r>
    <r>
      <rPr>
        <b/>
        <vertAlign val="subscript"/>
        <sz val="11"/>
        <color theme="1"/>
        <rFont val="Calibri"/>
        <family val="2"/>
        <scheme val="minor"/>
      </rPr>
      <t>ex-post,2021,i</t>
    </r>
  </si>
  <si>
    <r>
      <t>BM</t>
    </r>
    <r>
      <rPr>
        <b/>
        <vertAlign val="subscript"/>
        <sz val="11"/>
        <color theme="1"/>
        <rFont val="Calibri"/>
        <family val="2"/>
        <scheme val="minor"/>
      </rPr>
      <t>2021,i</t>
    </r>
  </si>
  <si>
    <r>
      <t>V</t>
    </r>
    <r>
      <rPr>
        <b/>
        <vertAlign val="subscript"/>
        <sz val="10"/>
        <color indexed="8"/>
        <rFont val="Calibri"/>
        <family val="2"/>
      </rPr>
      <t>2021,i</t>
    </r>
    <r>
      <rPr>
        <b/>
        <sz val="10"/>
        <color indexed="8"/>
        <rFont val="Calibri"/>
        <family val="2"/>
      </rPr>
      <t>-TV</t>
    </r>
    <r>
      <rPr>
        <b/>
        <vertAlign val="subscript"/>
        <sz val="10"/>
        <color indexed="8"/>
        <rFont val="Calibri"/>
        <family val="2"/>
      </rPr>
      <t>2021,i</t>
    </r>
  </si>
  <si>
    <t>Totaal aanvullend</t>
  </si>
  <si>
    <t>Toegelaten inkomsten endogene kosten 2021</t>
  </si>
  <si>
    <r>
      <t>TI</t>
    </r>
    <r>
      <rPr>
        <b/>
        <vertAlign val="subscript"/>
        <sz val="10"/>
        <color indexed="8"/>
        <rFont val="Calibri"/>
        <family val="2"/>
      </rPr>
      <t>end,2021,i</t>
    </r>
  </si>
  <si>
    <t>EX-POST BASISGEDEELTE 2021</t>
  </si>
  <si>
    <t>Inflatie o.b.v. consumptieprijsindex</t>
  </si>
  <si>
    <r>
      <t>I</t>
    </r>
    <r>
      <rPr>
        <b/>
        <vertAlign val="subscript"/>
        <sz val="11"/>
        <color indexed="8"/>
        <rFont val="Calibri"/>
        <family val="2"/>
      </rPr>
      <t>2021</t>
    </r>
  </si>
  <si>
    <t>https://bestat.statbel.fgov.be/bestat/crosstable.xhtml?view=876acb9d-4eae-408e-93d9-88eae4ad1eaf</t>
  </si>
  <si>
    <r>
      <t>CPI</t>
    </r>
    <r>
      <rPr>
        <b/>
        <vertAlign val="subscript"/>
        <sz val="11"/>
        <color indexed="8"/>
        <rFont val="Calibri"/>
        <family val="2"/>
      </rPr>
      <t>2021</t>
    </r>
  </si>
  <si>
    <t>Toegelaten inkomsten endogene kosten basisgedeelte 2021 ex-post</t>
  </si>
  <si>
    <r>
      <t>TI</t>
    </r>
    <r>
      <rPr>
        <b/>
        <vertAlign val="subscript"/>
        <sz val="11"/>
        <color theme="1"/>
        <rFont val="Calibri"/>
        <family val="2"/>
        <scheme val="minor"/>
      </rPr>
      <t>basis,2021,i,ex-post</t>
    </r>
  </si>
  <si>
    <t>Inkomsten 2022</t>
  </si>
  <si>
    <t>Inflatieverwachtingen in 2021 o.b.v. consumptieprijsindex</t>
  </si>
  <si>
    <r>
      <t>I</t>
    </r>
    <r>
      <rPr>
        <b/>
        <vertAlign val="subscript"/>
        <sz val="11"/>
        <color indexed="8"/>
        <rFont val="Calibri"/>
        <family val="2"/>
      </rPr>
      <t>2022,v</t>
    </r>
  </si>
  <si>
    <t>https://www.plan.be/databases/17-nl-indexcijfer_der_consumptieprijzen_inflatievooruitzichten</t>
  </si>
  <si>
    <r>
      <t>CPI</t>
    </r>
    <r>
      <rPr>
        <b/>
        <vertAlign val="subscript"/>
        <sz val="11"/>
        <color indexed="8"/>
        <rFont val="Calibri"/>
        <family val="2"/>
      </rPr>
      <t>2022,v</t>
    </r>
  </si>
  <si>
    <t>x' waarde</t>
  </si>
  <si>
    <t>B</t>
  </si>
  <si>
    <t>x'</t>
  </si>
  <si>
    <t>Toegelaten inkomsten endogene kosten basisgedeelte 2022</t>
  </si>
  <si>
    <r>
      <t>CPI</t>
    </r>
    <r>
      <rPr>
        <vertAlign val="subscript"/>
        <sz val="11"/>
        <color indexed="8"/>
        <rFont val="Calibri"/>
        <family val="2"/>
      </rPr>
      <t>2022,v</t>
    </r>
  </si>
  <si>
    <r>
      <t>TI</t>
    </r>
    <r>
      <rPr>
        <b/>
        <vertAlign val="subscript"/>
        <sz val="11"/>
        <color theme="1"/>
        <rFont val="Calibri"/>
        <family val="2"/>
        <scheme val="minor"/>
      </rPr>
      <t>basis,2022,i</t>
    </r>
  </si>
  <si>
    <t>Ex-ante aanvullende endogene termen 2022</t>
  </si>
  <si>
    <r>
      <t>C</t>
    </r>
    <r>
      <rPr>
        <b/>
        <vertAlign val="subscript"/>
        <sz val="11"/>
        <color theme="1"/>
        <rFont val="Calibri"/>
        <family val="2"/>
        <scheme val="minor"/>
      </rPr>
      <t>A,2022,i</t>
    </r>
  </si>
  <si>
    <r>
      <t>C</t>
    </r>
    <r>
      <rPr>
        <b/>
        <vertAlign val="subscript"/>
        <sz val="11"/>
        <color theme="1"/>
        <rFont val="Calibri"/>
        <family val="2"/>
        <scheme val="minor"/>
      </rPr>
      <t>NI,2022,i</t>
    </r>
  </si>
  <si>
    <r>
      <t>C</t>
    </r>
    <r>
      <rPr>
        <b/>
        <vertAlign val="subscript"/>
        <sz val="11"/>
        <color theme="1"/>
        <rFont val="Calibri"/>
        <family val="2"/>
        <scheme val="minor"/>
      </rPr>
      <t>H,2022,i</t>
    </r>
  </si>
  <si>
    <r>
      <t>VNB</t>
    </r>
    <r>
      <rPr>
        <b/>
        <vertAlign val="subscript"/>
        <sz val="11"/>
        <color theme="1"/>
        <rFont val="Calibri"/>
        <family val="2"/>
        <scheme val="minor"/>
      </rPr>
      <t>2022,i</t>
    </r>
  </si>
  <si>
    <r>
      <t>HWMW</t>
    </r>
    <r>
      <rPr>
        <b/>
        <vertAlign val="subscript"/>
        <sz val="11"/>
        <color theme="1"/>
        <rFont val="Calibri"/>
        <family val="2"/>
        <scheme val="minor"/>
      </rPr>
      <t>2022,i</t>
    </r>
  </si>
  <si>
    <r>
      <t>BM</t>
    </r>
    <r>
      <rPr>
        <b/>
        <vertAlign val="subscript"/>
        <sz val="11"/>
        <color theme="1"/>
        <rFont val="Calibri"/>
        <family val="2"/>
        <scheme val="minor"/>
      </rPr>
      <t>ex-ante,2022,i</t>
    </r>
  </si>
  <si>
    <r>
      <t>BM</t>
    </r>
    <r>
      <rPr>
        <b/>
        <vertAlign val="subscript"/>
        <sz val="11"/>
        <color theme="1"/>
        <rFont val="Calibri"/>
        <family val="2"/>
        <scheme val="minor"/>
      </rPr>
      <t>ex-post,2022,i</t>
    </r>
  </si>
  <si>
    <r>
      <t>BM</t>
    </r>
    <r>
      <rPr>
        <b/>
        <vertAlign val="subscript"/>
        <sz val="11"/>
        <color theme="1"/>
        <rFont val="Calibri"/>
        <family val="2"/>
        <scheme val="minor"/>
      </rPr>
      <t>2022,i</t>
    </r>
  </si>
  <si>
    <r>
      <t>V</t>
    </r>
    <r>
      <rPr>
        <b/>
        <vertAlign val="subscript"/>
        <sz val="10"/>
        <color indexed="8"/>
        <rFont val="Calibri"/>
        <family val="2"/>
      </rPr>
      <t>2022,i</t>
    </r>
    <r>
      <rPr>
        <b/>
        <sz val="10"/>
        <color indexed="8"/>
        <rFont val="Calibri"/>
        <family val="2"/>
      </rPr>
      <t>-TV</t>
    </r>
    <r>
      <rPr>
        <b/>
        <vertAlign val="subscript"/>
        <sz val="10"/>
        <color indexed="8"/>
        <rFont val="Calibri"/>
        <family val="2"/>
      </rPr>
      <t>2022,i</t>
    </r>
  </si>
  <si>
    <t>Toegelaten inkomsten endogene kosten 2022</t>
  </si>
  <si>
    <r>
      <t>TI</t>
    </r>
    <r>
      <rPr>
        <b/>
        <vertAlign val="subscript"/>
        <sz val="10"/>
        <color indexed="8"/>
        <rFont val="Calibri"/>
        <family val="2"/>
      </rPr>
      <t>end,2022,i</t>
    </r>
  </si>
  <si>
    <t>Merk op dat het endogeen toegelaten inkomen 2021 dat uit onderstaande tabellen blijkt niet overeen komt met het werkelijk endogeen toegelaten inkomen 2021 aangezien de kosten inzake de ODV openbare verlichting vanaf 1 januari 2022 niet langer via de distributienettarieven worden verrekend (cfr besluit Vlaamse Regering van 23 april 2021) en aldus in de geactualiseerde endogene kosten buiten beschouwing worden gelaten.</t>
  </si>
  <si>
    <t>Totale geactualiseerde endogene kosten per distributienetbeheerder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</si>
</sst>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quot;€&quot;_-;\-* #,##0.00\ &quot;€&quot;_-;_-* &quot;-&quot;??\ &quot;€&quot;_-;_-@_-"/>
    <numFmt numFmtId="165" formatCode="#,##0.00\ &quot;€&quot;"/>
    <numFmt numFmtId="166" formatCode="0.000000"/>
    <numFmt numFmtId="167" formatCode="0.000%"/>
    <numFmt numFmtId="168" formatCode="&quot;€&quot;\ #,##0.00"/>
    <numFmt numFmtId="169" formatCode="_-* #,##0.00\ _€_-;\-* #,##0.00\ _€_-;_-* &quot;-&quot;??\ _€_-;_-@_-"/>
    <numFmt numFmtId="170" formatCode="_-* #,##0.000000\ _€_-;\-* #,##0.000000\ _€_-;_-* &quot;-&quot;??\ _€_-;_-@_-"/>
  </numFmts>
  <fonts count="1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20"/>
      <color theme="1"/>
      <name val="Calibri"/>
      <family val="2"/>
      <scheme val="minor"/>
    </font>
    <font>
      <sz val="16"/>
      <color theme="1"/>
      <name val="Calibri"/>
      <family val="2"/>
      <scheme val="minor"/>
    </font>
    <font>
      <b/>
      <vertAlign val="subscript"/>
      <sz val="11"/>
      <color indexed="8"/>
      <name val="Calibri"/>
      <family val="2"/>
    </font>
    <font>
      <b/>
      <vertAlign val="subscript"/>
      <sz val="11"/>
      <color theme="1"/>
      <name val="Calibri"/>
      <family val="2"/>
      <scheme val="minor"/>
    </font>
    <font>
      <b/>
      <sz val="11"/>
      <color theme="1"/>
      <name val="Calibri"/>
      <family val="2"/>
    </font>
    <font>
      <b/>
      <vertAlign val="subscript"/>
      <sz val="11"/>
      <color theme="1"/>
      <name val="Calibri"/>
      <family val="2"/>
    </font>
    <font>
      <b/>
      <vertAlign val="subscript"/>
      <sz val="10"/>
      <color indexed="8"/>
      <name val="Calibri"/>
      <family val="2"/>
    </font>
    <font>
      <vertAlign val="subscript"/>
      <sz val="11"/>
      <color indexed="8"/>
      <name val="Calibri"/>
      <family val="2"/>
    </font>
    <font>
      <b/>
      <i/>
      <sz val="11"/>
      <color theme="1"/>
      <name val="Calibri"/>
      <family val="2"/>
      <scheme val="minor"/>
    </font>
    <font>
      <i/>
      <sz val="11"/>
      <color theme="1"/>
      <name val="Calibri"/>
      <family val="2"/>
      <scheme val="minor"/>
    </font>
    <font>
      <b/>
      <sz val="10"/>
      <color indexed="8"/>
      <name val="Calibri"/>
      <family val="2"/>
    </font>
    <font>
      <i/>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3" tint="0.79998168889431442"/>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s>
  <cellStyleXfs count="5">
    <xf numFmtId="0" fontId="0" fillId="0" borderId="0"/>
    <xf numFmtId="169"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71">
    <xf numFmtId="0" fontId="0" fillId="0" borderId="0" xfId="0"/>
    <xf numFmtId="0" fontId="0" fillId="2" borderId="0" xfId="0" applyFill="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0" xfId="0" applyFont="1" applyFill="1"/>
    <xf numFmtId="0" fontId="5" fillId="3" borderId="7" xfId="0" applyFont="1" applyFill="1"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0" fillId="4" borderId="0" xfId="0" applyFill="1"/>
    <xf numFmtId="164" fontId="0" fillId="2" borderId="0" xfId="0" applyNumberFormat="1" applyFill="1"/>
    <xf numFmtId="0" fontId="2" fillId="2" borderId="10" xfId="0" applyFont="1" applyFill="1" applyBorder="1" applyAlignment="1">
      <alignment horizontal="center"/>
    </xf>
    <xf numFmtId="0" fontId="2" fillId="2" borderId="10" xfId="0" applyFont="1" applyFill="1" applyBorder="1" applyAlignment="1">
      <alignment horizontal="center" vertical="center"/>
    </xf>
    <xf numFmtId="0" fontId="0" fillId="2" borderId="11" xfId="0" applyFill="1" applyBorder="1"/>
    <xf numFmtId="164" fontId="1" fillId="0" borderId="10" xfId="2" applyFont="1" applyFill="1" applyBorder="1"/>
    <xf numFmtId="10" fontId="1" fillId="0" borderId="10" xfId="2" applyNumberFormat="1" applyFont="1" applyFill="1" applyBorder="1"/>
    <xf numFmtId="0" fontId="0" fillId="2" borderId="12" xfId="0" applyFill="1" applyBorder="1"/>
    <xf numFmtId="0" fontId="0" fillId="2" borderId="13" xfId="0" applyFill="1" applyBorder="1"/>
    <xf numFmtId="165" fontId="1" fillId="0" borderId="0" xfId="2" applyNumberFormat="1" applyFont="1" applyFill="1" applyBorder="1"/>
    <xf numFmtId="10" fontId="1" fillId="0" borderId="0" xfId="2" applyNumberFormat="1" applyFont="1" applyFill="1" applyBorder="1"/>
    <xf numFmtId="164" fontId="0" fillId="0" borderId="10" xfId="2" applyFont="1" applyBorder="1"/>
    <xf numFmtId="0" fontId="8" fillId="2" borderId="10" xfId="0" applyFont="1" applyFill="1" applyBorder="1" applyAlignment="1">
      <alignment horizontal="center"/>
    </xf>
    <xf numFmtId="0" fontId="0" fillId="2" borderId="10" xfId="0" applyFill="1" applyBorder="1"/>
    <xf numFmtId="164" fontId="1" fillId="2" borderId="10" xfId="2" applyFont="1" applyFill="1" applyBorder="1"/>
    <xf numFmtId="164" fontId="0" fillId="2" borderId="0" xfId="2" applyFont="1" applyFill="1"/>
    <xf numFmtId="0" fontId="2" fillId="2" borderId="10" xfId="0" applyFont="1" applyFill="1" applyBorder="1"/>
    <xf numFmtId="2" fontId="0" fillId="5" borderId="10" xfId="0" applyNumberFormat="1" applyFill="1" applyBorder="1"/>
    <xf numFmtId="10" fontId="1" fillId="2" borderId="10" xfId="3" applyNumberFormat="1" applyFont="1" applyFill="1" applyBorder="1"/>
    <xf numFmtId="10" fontId="0" fillId="2" borderId="0" xfId="3" applyNumberFormat="1" applyFont="1" applyFill="1"/>
    <xf numFmtId="0" fontId="2" fillId="2" borderId="10" xfId="0" applyFont="1" applyFill="1" applyBorder="1" applyAlignment="1">
      <alignment horizontal="left"/>
    </xf>
    <xf numFmtId="165" fontId="1" fillId="2" borderId="10" xfId="2" applyNumberFormat="1" applyFont="1" applyFill="1" applyBorder="1"/>
    <xf numFmtId="166" fontId="0" fillId="2" borderId="10" xfId="0" applyNumberFormat="1" applyFill="1" applyBorder="1"/>
    <xf numFmtId="10" fontId="0" fillId="0" borderId="10" xfId="0" applyNumberFormat="1" applyBorder="1"/>
    <xf numFmtId="4" fontId="0" fillId="2" borderId="0" xfId="0" applyNumberFormat="1" applyFill="1"/>
    <xf numFmtId="0" fontId="12" fillId="2" borderId="0" xfId="0" applyFont="1" applyFill="1" applyAlignment="1">
      <alignment horizontal="center"/>
    </xf>
    <xf numFmtId="164" fontId="0" fillId="2" borderId="10" xfId="2" applyFont="1" applyFill="1" applyBorder="1" applyAlignment="1">
      <alignment horizontal="center" vertical="center"/>
    </xf>
    <xf numFmtId="10" fontId="1" fillId="2" borderId="10" xfId="2" applyNumberFormat="1" applyFont="1" applyFill="1" applyBorder="1"/>
    <xf numFmtId="10" fontId="0" fillId="2" borderId="10" xfId="0" applyNumberFormat="1" applyFill="1" applyBorder="1" applyAlignment="1">
      <alignment horizontal="center" vertical="center"/>
    </xf>
    <xf numFmtId="167" fontId="0" fillId="5" borderId="10" xfId="3" applyNumberFormat="1" applyFont="1" applyFill="1" applyBorder="1" applyAlignment="1">
      <alignment vertical="center"/>
    </xf>
    <xf numFmtId="164" fontId="0" fillId="0" borderId="10" xfId="2" applyFont="1" applyFill="1" applyBorder="1" applyAlignment="1">
      <alignment horizontal="center" vertical="center"/>
    </xf>
    <xf numFmtId="4" fontId="13" fillId="2" borderId="0" xfId="0" applyNumberFormat="1" applyFont="1" applyFill="1"/>
    <xf numFmtId="0" fontId="0" fillId="2" borderId="10" xfId="0" applyFill="1" applyBorder="1" applyAlignment="1">
      <alignment horizontal="center" vertical="center"/>
    </xf>
    <xf numFmtId="165" fontId="2" fillId="2" borderId="0" xfId="0" applyNumberFormat="1" applyFont="1" applyFill="1"/>
    <xf numFmtId="4" fontId="12" fillId="2" borderId="0" xfId="0" applyNumberFormat="1" applyFont="1" applyFill="1"/>
    <xf numFmtId="0" fontId="2" fillId="2" borderId="10" xfId="0" quotePrefix="1" applyFont="1" applyFill="1" applyBorder="1" applyAlignment="1">
      <alignment horizontal="center" vertical="center"/>
    </xf>
    <xf numFmtId="164" fontId="1" fillId="5" borderId="10" xfId="2" applyFont="1" applyFill="1" applyBorder="1"/>
    <xf numFmtId="4" fontId="15" fillId="2" borderId="0" xfId="0" applyNumberFormat="1" applyFont="1" applyFill="1"/>
    <xf numFmtId="164" fontId="2" fillId="2" borderId="0" xfId="0" applyNumberFormat="1" applyFont="1" applyFill="1"/>
    <xf numFmtId="0" fontId="0" fillId="2" borderId="14" xfId="0" applyFill="1" applyBorder="1"/>
    <xf numFmtId="0" fontId="2" fillId="2" borderId="15" xfId="0" applyFont="1" applyFill="1" applyBorder="1" applyAlignment="1">
      <alignment horizontal="center" vertical="center"/>
    </xf>
    <xf numFmtId="164" fontId="1" fillId="2" borderId="16" xfId="2" applyFont="1" applyFill="1" applyBorder="1"/>
    <xf numFmtId="164" fontId="1" fillId="2" borderId="17" xfId="2" applyFont="1" applyFill="1" applyBorder="1"/>
    <xf numFmtId="164" fontId="1" fillId="2" borderId="18" xfId="2" applyFont="1" applyFill="1" applyBorder="1"/>
    <xf numFmtId="9" fontId="0" fillId="2" borderId="0" xfId="3" applyFont="1" applyFill="1"/>
    <xf numFmtId="164" fontId="1" fillId="2" borderId="12" xfId="2" applyFont="1" applyFill="1" applyBorder="1"/>
    <xf numFmtId="164" fontId="1" fillId="2" borderId="13" xfId="2" applyFont="1" applyFill="1" applyBorder="1"/>
    <xf numFmtId="0" fontId="3" fillId="2" borderId="0" xfId="4" applyFill="1"/>
    <xf numFmtId="2" fontId="0" fillId="2" borderId="10" xfId="0" applyNumberFormat="1" applyFill="1" applyBorder="1"/>
    <xf numFmtId="167" fontId="0" fillId="2" borderId="10" xfId="3" applyNumberFormat="1" applyFont="1" applyFill="1" applyBorder="1" applyAlignment="1">
      <alignment vertical="center"/>
    </xf>
    <xf numFmtId="168" fontId="0" fillId="2" borderId="0" xfId="0" applyNumberFormat="1" applyFill="1"/>
    <xf numFmtId="165" fontId="0" fillId="2" borderId="0" xfId="0" applyNumberFormat="1" applyFill="1"/>
    <xf numFmtId="0" fontId="2" fillId="2" borderId="10" xfId="0" applyFont="1" applyFill="1" applyBorder="1" applyAlignment="1">
      <alignment horizontal="left" vertical="center"/>
    </xf>
    <xf numFmtId="164" fontId="0" fillId="2" borderId="10" xfId="2" applyFont="1" applyFill="1" applyBorder="1"/>
    <xf numFmtId="164" fontId="0" fillId="0" borderId="10" xfId="2" applyFont="1" applyFill="1" applyBorder="1"/>
    <xf numFmtId="170" fontId="0" fillId="2" borderId="10" xfId="1" applyNumberFormat="1" applyFont="1" applyFill="1" applyBorder="1" applyAlignment="1">
      <alignment vertical="center"/>
    </xf>
    <xf numFmtId="165" fontId="1" fillId="2" borderId="16" xfId="2" applyNumberFormat="1" applyFont="1" applyFill="1" applyBorder="1"/>
    <xf numFmtId="164" fontId="2" fillId="2" borderId="0" xfId="2" applyFont="1" applyFill="1"/>
    <xf numFmtId="0" fontId="15" fillId="2" borderId="0" xfId="0" applyFont="1" applyFill="1" applyAlignment="1">
      <alignment horizontal="left" vertical="top" wrapText="1"/>
    </xf>
  </cellXfs>
  <cellStyles count="5">
    <cellStyle name="Hyperlink" xfId="4" builtinId="8"/>
    <cellStyle name="Komma" xfId="1" builtinId="3"/>
    <cellStyle name="Procent" xfId="3" builtinId="5"/>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195815</xdr:colOff>
      <xdr:row>25</xdr:row>
      <xdr:rowOff>78439</xdr:rowOff>
    </xdr:from>
    <xdr:to>
      <xdr:col>16</xdr:col>
      <xdr:colOff>459654</xdr:colOff>
      <xdr:row>50</xdr:row>
      <xdr:rowOff>45216</xdr:rowOff>
    </xdr:to>
    <xdr:pic>
      <xdr:nvPicPr>
        <xdr:cNvPr id="2" name="Afbeelding 1">
          <a:extLst>
            <a:ext uri="{FF2B5EF4-FFF2-40B4-BE49-F238E27FC236}">
              <a16:creationId xmlns:a16="http://schemas.microsoft.com/office/drawing/2014/main" id="{7A4331F0-869E-403C-88C1-145139ADFA22}"/>
            </a:ext>
          </a:extLst>
        </xdr:cNvPr>
        <xdr:cNvPicPr>
          <a:picLocks noChangeAspect="1"/>
        </xdr:cNvPicPr>
      </xdr:nvPicPr>
      <xdr:blipFill>
        <a:blip xmlns:r="http://schemas.openxmlformats.org/officeDocument/2006/relationships" r:embed="rId1"/>
        <a:stretch>
          <a:fillRect/>
        </a:stretch>
      </xdr:blipFill>
      <xdr:spPr>
        <a:xfrm>
          <a:off x="13463580" y="4751292"/>
          <a:ext cx="6483103" cy="4645980"/>
        </a:xfrm>
        <a:prstGeom prst="rect">
          <a:avLst/>
        </a:prstGeom>
      </xdr:spPr>
    </xdr:pic>
    <xdr:clientData/>
  </xdr:twoCellAnchor>
  <xdr:twoCellAnchor editAs="oneCell">
    <xdr:from>
      <xdr:col>9</xdr:col>
      <xdr:colOff>1165412</xdr:colOff>
      <xdr:row>111</xdr:row>
      <xdr:rowOff>148851</xdr:rowOff>
    </xdr:from>
    <xdr:to>
      <xdr:col>15</xdr:col>
      <xdr:colOff>725175</xdr:colOff>
      <xdr:row>134</xdr:row>
      <xdr:rowOff>64195</xdr:rowOff>
    </xdr:to>
    <xdr:pic>
      <xdr:nvPicPr>
        <xdr:cNvPr id="3" name="Afbeelding 2">
          <a:extLst>
            <a:ext uri="{FF2B5EF4-FFF2-40B4-BE49-F238E27FC236}">
              <a16:creationId xmlns:a16="http://schemas.microsoft.com/office/drawing/2014/main" id="{A063949E-59D3-47C4-B002-3B716F8389AA}"/>
            </a:ext>
          </a:extLst>
        </xdr:cNvPr>
        <xdr:cNvPicPr>
          <a:picLocks noChangeAspect="1"/>
        </xdr:cNvPicPr>
      </xdr:nvPicPr>
      <xdr:blipFill>
        <a:blip xmlns:r="http://schemas.openxmlformats.org/officeDocument/2006/relationships" r:embed="rId2"/>
        <a:stretch>
          <a:fillRect/>
        </a:stretch>
      </xdr:blipFill>
      <xdr:spPr>
        <a:xfrm>
          <a:off x="11903262" y="20872076"/>
          <a:ext cx="7109913" cy="42269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n.be/databases/17-nl-indexcijfer_der_consumptieprijzen_inflatievooruitzichten" TargetMode="External"/><Relationship Id="rId1" Type="http://schemas.openxmlformats.org/officeDocument/2006/relationships/hyperlink" Target="https://bestat.statbel.fgov.be/bestat/crosstable.xhtml?view=876acb9d-4eae-408e-93d9-88eae4ad1ea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C0F8E-544D-423F-9CA6-9708AFE35E74}">
  <dimension ref="A1:M167"/>
  <sheetViews>
    <sheetView showGridLines="0" tabSelected="1" zoomScale="85" zoomScaleNormal="85" workbookViewId="0">
      <selection activeCell="B30" sqref="B30"/>
    </sheetView>
  </sheetViews>
  <sheetFormatPr defaultColWidth="9.1796875" defaultRowHeight="14.5" x14ac:dyDescent="0.35"/>
  <cols>
    <col min="1" max="1" width="9.1796875" style="1"/>
    <col min="2" max="2" width="19.453125" style="1" customWidth="1"/>
    <col min="3" max="10" width="17.81640625" style="1" customWidth="1"/>
    <col min="11" max="11" width="18.81640625" style="1" customWidth="1"/>
    <col min="12" max="21" width="17.81640625" style="1" customWidth="1"/>
    <col min="22" max="16384" width="9.1796875" style="1"/>
  </cols>
  <sheetData>
    <row r="1" spans="2:10" ht="15" thickBot="1" x14ac:dyDescent="0.4"/>
    <row r="2" spans="2:10" x14ac:dyDescent="0.35">
      <c r="B2" s="2" t="s">
        <v>0</v>
      </c>
      <c r="C2" s="3"/>
      <c r="D2" s="3"/>
      <c r="E2" s="3"/>
      <c r="F2" s="3"/>
      <c r="G2" s="3"/>
      <c r="H2" s="3"/>
      <c r="I2" s="3"/>
      <c r="J2" s="4"/>
    </row>
    <row r="3" spans="2:10" ht="15" thickBot="1" x14ac:dyDescent="0.4">
      <c r="B3" s="5"/>
      <c r="C3" s="6"/>
      <c r="D3" s="6"/>
      <c r="E3" s="6"/>
      <c r="F3" s="6"/>
      <c r="G3" s="6"/>
      <c r="H3" s="6"/>
      <c r="I3" s="6"/>
      <c r="J3" s="7"/>
    </row>
    <row r="5" spans="2:10" x14ac:dyDescent="0.35">
      <c r="B5" s="8" t="s">
        <v>1</v>
      </c>
    </row>
    <row r="6" spans="2:10" ht="15" thickBot="1" x14ac:dyDescent="0.4"/>
    <row r="7" spans="2:10" ht="21.5" thickBot="1" x14ac:dyDescent="0.55000000000000004">
      <c r="B7" s="9" t="s">
        <v>2</v>
      </c>
      <c r="C7" s="10"/>
      <c r="D7" s="10"/>
      <c r="E7" s="10"/>
      <c r="F7" s="10"/>
      <c r="G7" s="10"/>
      <c r="H7" s="10"/>
      <c r="I7" s="10"/>
      <c r="J7" s="11"/>
    </row>
    <row r="8" spans="2:10" ht="50.5" customHeight="1" x14ac:dyDescent="0.35">
      <c r="B8" s="70" t="s">
        <v>83</v>
      </c>
      <c r="C8" s="70"/>
      <c r="D8" s="70"/>
      <c r="E8" s="70"/>
      <c r="F8" s="70"/>
      <c r="G8" s="70"/>
      <c r="H8" s="70"/>
      <c r="I8" s="70"/>
      <c r="J8" s="70"/>
    </row>
    <row r="10" spans="2:10" x14ac:dyDescent="0.35">
      <c r="B10" s="12" t="s">
        <v>3</v>
      </c>
      <c r="C10" s="12"/>
      <c r="D10" s="12"/>
      <c r="E10" s="12"/>
      <c r="F10" s="12"/>
      <c r="G10" s="12"/>
      <c r="H10" s="12"/>
      <c r="I10" s="12"/>
      <c r="J10" s="12"/>
    </row>
    <row r="13" spans="2:10" x14ac:dyDescent="0.35">
      <c r="B13" s="8" t="s">
        <v>84</v>
      </c>
    </row>
    <row r="14" spans="2:10" x14ac:dyDescent="0.35">
      <c r="C14" s="13"/>
    </row>
    <row r="15" spans="2:10" ht="17" thickBot="1" x14ac:dyDescent="0.5">
      <c r="B15" s="14" t="s">
        <v>4</v>
      </c>
      <c r="C15" s="15">
        <v>2015</v>
      </c>
      <c r="D15" s="15">
        <v>2016</v>
      </c>
      <c r="E15" s="15">
        <v>2017</v>
      </c>
      <c r="F15" s="15">
        <v>2018</v>
      </c>
      <c r="G15" s="15">
        <v>2019</v>
      </c>
      <c r="H15" s="15" t="s">
        <v>5</v>
      </c>
    </row>
    <row r="16" spans="2:10" x14ac:dyDescent="0.35">
      <c r="B16" s="16" t="s">
        <v>6</v>
      </c>
      <c r="C16" s="17">
        <v>122824839.63511728</v>
      </c>
      <c r="D16" s="17">
        <v>124836921.50873674</v>
      </c>
      <c r="E16" s="17">
        <v>113219625.83969255</v>
      </c>
      <c r="F16" s="17">
        <v>117581025.17983659</v>
      </c>
      <c r="G16" s="17">
        <v>124632867.81268902</v>
      </c>
      <c r="H16" s="18">
        <f t="shared" ref="H16:H25" si="0">SUM(C16:G16)/SUM($C$16:$G$25)</f>
        <v>0.1524960918190974</v>
      </c>
    </row>
    <row r="17" spans="2:10" x14ac:dyDescent="0.35">
      <c r="B17" s="19" t="s">
        <v>7</v>
      </c>
      <c r="C17" s="17">
        <v>120532275.9201988</v>
      </c>
      <c r="D17" s="17">
        <v>120993616.83774509</v>
      </c>
      <c r="E17" s="17">
        <v>112461664.05298562</v>
      </c>
      <c r="F17" s="17">
        <v>116432292.18002075</v>
      </c>
      <c r="G17" s="17">
        <v>115510251.93456672</v>
      </c>
      <c r="H17" s="18">
        <f t="shared" si="0"/>
        <v>0.14815577809505603</v>
      </c>
    </row>
    <row r="18" spans="2:10" x14ac:dyDescent="0.35">
      <c r="B18" s="19" t="s">
        <v>8</v>
      </c>
      <c r="C18" s="17">
        <v>84500109.086826846</v>
      </c>
      <c r="D18" s="17">
        <v>84126202.835027665</v>
      </c>
      <c r="E18" s="17">
        <v>84162372.28275466</v>
      </c>
      <c r="F18" s="17">
        <v>84661139.503818899</v>
      </c>
      <c r="G18" s="17">
        <v>84743210.785710901</v>
      </c>
      <c r="H18" s="18">
        <f t="shared" si="0"/>
        <v>0.10675392411652758</v>
      </c>
    </row>
    <row r="19" spans="2:10" x14ac:dyDescent="0.35">
      <c r="B19" s="19" t="s">
        <v>9</v>
      </c>
      <c r="C19" s="17">
        <v>33135698.393491101</v>
      </c>
      <c r="D19" s="17">
        <v>34210389.48418019</v>
      </c>
      <c r="E19" s="17">
        <v>31109042.407856848</v>
      </c>
      <c r="F19" s="17">
        <v>29519111.9696863</v>
      </c>
      <c r="G19" s="17">
        <v>31998661.379123785</v>
      </c>
      <c r="H19" s="18">
        <f t="shared" si="0"/>
        <v>4.0450063880714739E-2</v>
      </c>
    </row>
    <row r="20" spans="2:10" x14ac:dyDescent="0.35">
      <c r="B20" s="19" t="s">
        <v>10</v>
      </c>
      <c r="C20" s="17">
        <v>149496128.18884304</v>
      </c>
      <c r="D20" s="17">
        <v>146881649.24301276</v>
      </c>
      <c r="E20" s="17">
        <v>143263353.71685669</v>
      </c>
      <c r="F20" s="17">
        <v>148291431.75805154</v>
      </c>
      <c r="G20" s="17">
        <v>153992173.60666937</v>
      </c>
      <c r="H20" s="18">
        <f t="shared" si="0"/>
        <v>0.18759991414076568</v>
      </c>
    </row>
    <row r="21" spans="2:10" x14ac:dyDescent="0.35">
      <c r="B21" s="19" t="s">
        <v>11</v>
      </c>
      <c r="C21" s="17">
        <v>67994491.804509073</v>
      </c>
      <c r="D21" s="17">
        <v>66490650.635581829</v>
      </c>
      <c r="E21" s="17">
        <v>64282092.138642833</v>
      </c>
      <c r="F21" s="17">
        <v>64093568.574304245</v>
      </c>
      <c r="G21" s="17">
        <v>69853147.612842381</v>
      </c>
      <c r="H21" s="18">
        <f>SUM(C21:G21)/SUM($C$16:$G$25)</f>
        <v>8.412862589059121E-2</v>
      </c>
    </row>
    <row r="22" spans="2:10" x14ac:dyDescent="0.35">
      <c r="B22" s="19" t="s">
        <v>12</v>
      </c>
      <c r="C22" s="17">
        <v>59128135.93580734</v>
      </c>
      <c r="D22" s="17">
        <v>59308076.891263857</v>
      </c>
      <c r="E22" s="17">
        <v>52817508.210382476</v>
      </c>
      <c r="F22" s="17">
        <v>55153212.635825306</v>
      </c>
      <c r="G22" s="17">
        <v>56354944.737724692</v>
      </c>
      <c r="H22" s="18">
        <f t="shared" si="0"/>
        <v>7.149795862241809E-2</v>
      </c>
    </row>
    <row r="23" spans="2:10" x14ac:dyDescent="0.35">
      <c r="B23" s="19" t="s">
        <v>13</v>
      </c>
      <c r="C23" s="17">
        <v>128639272.73133835</v>
      </c>
      <c r="D23" s="17">
        <v>126250385.90804686</v>
      </c>
      <c r="E23" s="17">
        <v>119468615.38291813</v>
      </c>
      <c r="F23" s="17">
        <v>121843223.91834557</v>
      </c>
      <c r="G23" s="17">
        <v>130230819.6831488</v>
      </c>
      <c r="H23" s="18">
        <f t="shared" si="0"/>
        <v>0.15839699529831958</v>
      </c>
    </row>
    <row r="24" spans="2:10" x14ac:dyDescent="0.35">
      <c r="B24" s="19" t="s">
        <v>14</v>
      </c>
      <c r="C24" s="17">
        <v>25166756.999351244</v>
      </c>
      <c r="D24" s="17">
        <v>24957722.853059009</v>
      </c>
      <c r="E24" s="17">
        <v>23561818.43145949</v>
      </c>
      <c r="F24" s="17">
        <v>24893888.229700029</v>
      </c>
      <c r="G24" s="17">
        <v>26139954.243725032</v>
      </c>
      <c r="H24" s="18">
        <f t="shared" si="0"/>
        <v>3.1536201108006964E-2</v>
      </c>
    </row>
    <row r="25" spans="2:10" ht="15" thickBot="1" x14ac:dyDescent="0.4">
      <c r="B25" s="20" t="s">
        <v>15</v>
      </c>
      <c r="C25" s="17">
        <v>15922521.528698405</v>
      </c>
      <c r="D25" s="17">
        <v>15102727.616124878</v>
      </c>
      <c r="E25" s="17">
        <v>14502909.496728797</v>
      </c>
      <c r="F25" s="17">
        <v>14209266.141545219</v>
      </c>
      <c r="G25" s="17">
        <v>15342731.43118763</v>
      </c>
      <c r="H25" s="18">
        <f t="shared" si="0"/>
        <v>1.8984447028502736E-2</v>
      </c>
    </row>
    <row r="26" spans="2:10" x14ac:dyDescent="0.35">
      <c r="C26" s="21"/>
      <c r="D26" s="21"/>
      <c r="E26" s="21"/>
      <c r="F26" s="21"/>
      <c r="G26" s="21"/>
      <c r="H26" s="22"/>
    </row>
    <row r="27" spans="2:10" ht="16.5" x14ac:dyDescent="0.45">
      <c r="B27" s="14" t="s">
        <v>16</v>
      </c>
      <c r="C27" s="17">
        <v>-17000000</v>
      </c>
      <c r="D27" s="17">
        <v>-17000000</v>
      </c>
      <c r="E27" s="17">
        <v>-17000000</v>
      </c>
      <c r="F27" s="17">
        <v>-17000000</v>
      </c>
      <c r="G27" s="23">
        <v>-8463046.6500000004</v>
      </c>
      <c r="H27" s="22"/>
    </row>
    <row r="28" spans="2:10" x14ac:dyDescent="0.35">
      <c r="C28" s="21"/>
      <c r="D28" s="21"/>
      <c r="E28" s="21"/>
      <c r="F28" s="21"/>
      <c r="G28" s="21"/>
      <c r="H28" s="22"/>
    </row>
    <row r="29" spans="2:10" ht="16.5" x14ac:dyDescent="0.45">
      <c r="B29" s="24" t="s">
        <v>17</v>
      </c>
      <c r="C29" s="15">
        <v>2015</v>
      </c>
      <c r="D29" s="15">
        <v>2016</v>
      </c>
      <c r="E29" s="15">
        <v>2017</v>
      </c>
      <c r="F29" s="15">
        <v>2018</v>
      </c>
      <c r="G29" s="15">
        <v>2019</v>
      </c>
      <c r="I29" s="15" t="s">
        <v>18</v>
      </c>
      <c r="J29" s="15" t="s">
        <v>19</v>
      </c>
    </row>
    <row r="30" spans="2:10" x14ac:dyDescent="0.35">
      <c r="B30" s="25" t="s">
        <v>20</v>
      </c>
      <c r="C30" s="26">
        <f>SUM(C16:C25,C27)</f>
        <v>790340230.22418153</v>
      </c>
      <c r="D30" s="26">
        <f t="shared" ref="D30:G30" si="1">SUM(D16:D25,D27)</f>
        <v>786158343.81277895</v>
      </c>
      <c r="E30" s="26">
        <f t="shared" si="1"/>
        <v>741849001.96027803</v>
      </c>
      <c r="F30" s="26">
        <f t="shared" si="1"/>
        <v>759678160.09113419</v>
      </c>
      <c r="G30" s="26">
        <f t="shared" si="1"/>
        <v>800335716.57738841</v>
      </c>
      <c r="H30" s="27"/>
      <c r="I30" s="26">
        <f>TREND($C$30:$G$30,$C$29:$G$29,2021)</f>
        <v>773076606.1270597</v>
      </c>
      <c r="J30" s="26">
        <f>TREND($C$30:$G$30,$C$29:$G$29,2024)</f>
        <v>771129842.82249045</v>
      </c>
    </row>
    <row r="32" spans="2:10" x14ac:dyDescent="0.35">
      <c r="B32" s="8" t="s">
        <v>21</v>
      </c>
      <c r="I32" s="8" t="s">
        <v>22</v>
      </c>
    </row>
    <row r="33" spans="2:11" ht="15" customHeight="1" x14ac:dyDescent="0.35"/>
    <row r="34" spans="2:11" ht="15" customHeight="1" x14ac:dyDescent="0.45">
      <c r="B34" s="28" t="s">
        <v>23</v>
      </c>
      <c r="C34" s="29">
        <v>111.13</v>
      </c>
      <c r="D34" s="1" t="s">
        <v>24</v>
      </c>
      <c r="I34" s="25" t="s">
        <v>25</v>
      </c>
      <c r="J34" s="25">
        <v>2021</v>
      </c>
    </row>
    <row r="35" spans="2:11" ht="15" customHeight="1" x14ac:dyDescent="0.45">
      <c r="B35" s="28" t="s">
        <v>26</v>
      </c>
      <c r="C35" s="29">
        <v>109.76</v>
      </c>
      <c r="D35" s="1" t="s">
        <v>27</v>
      </c>
      <c r="I35" s="25" t="s">
        <v>28</v>
      </c>
      <c r="J35" s="25">
        <v>2024</v>
      </c>
    </row>
    <row r="36" spans="2:11" ht="15" customHeight="1" x14ac:dyDescent="0.45">
      <c r="B36" s="28" t="s">
        <v>29</v>
      </c>
      <c r="C36" s="30">
        <f>+C34/C35-1</f>
        <v>1.2481778425655898E-2</v>
      </c>
      <c r="E36" s="31"/>
      <c r="I36" s="32" t="s">
        <v>30</v>
      </c>
      <c r="J36" s="25">
        <f>+J35-J34+1</f>
        <v>4</v>
      </c>
    </row>
    <row r="37" spans="2:11" ht="15" customHeight="1" x14ac:dyDescent="0.4">
      <c r="I37" s="32" t="s">
        <v>31</v>
      </c>
      <c r="J37" s="33">
        <f>+I30</f>
        <v>773076606.1270597</v>
      </c>
    </row>
    <row r="38" spans="2:11" ht="15" customHeight="1" x14ac:dyDescent="0.4">
      <c r="B38" s="8" t="s">
        <v>32</v>
      </c>
      <c r="I38" s="32" t="s">
        <v>33</v>
      </c>
      <c r="J38" s="33">
        <f>+J30</f>
        <v>771129842.82249045</v>
      </c>
    </row>
    <row r="39" spans="2:11" ht="15" customHeight="1" x14ac:dyDescent="0.35">
      <c r="I39" s="32" t="s">
        <v>34</v>
      </c>
      <c r="J39" s="34">
        <f>1-POWER(J38/J37,1/3)</f>
        <v>8.4010635501718944E-4</v>
      </c>
    </row>
    <row r="40" spans="2:11" ht="15" customHeight="1" x14ac:dyDescent="0.35">
      <c r="B40" s="28" t="s">
        <v>35</v>
      </c>
      <c r="C40" s="35">
        <v>0</v>
      </c>
    </row>
    <row r="42" spans="2:11" x14ac:dyDescent="0.35">
      <c r="B42" s="8" t="s">
        <v>36</v>
      </c>
    </row>
    <row r="43" spans="2:11" x14ac:dyDescent="0.35">
      <c r="I43" s="36"/>
    </row>
    <row r="44" spans="2:11" ht="16.5" x14ac:dyDescent="0.35">
      <c r="B44" s="25"/>
      <c r="C44" s="15" t="s">
        <v>31</v>
      </c>
      <c r="D44" s="15" t="s">
        <v>5</v>
      </c>
      <c r="E44" s="15" t="s">
        <v>29</v>
      </c>
      <c r="F44" s="15" t="s">
        <v>35</v>
      </c>
      <c r="G44" s="15" t="s">
        <v>37</v>
      </c>
      <c r="H44" s="15" t="s">
        <v>38</v>
      </c>
      <c r="I44" s="15" t="s">
        <v>39</v>
      </c>
      <c r="J44" s="37"/>
      <c r="K44" s="37"/>
    </row>
    <row r="45" spans="2:11" x14ac:dyDescent="0.35">
      <c r="B45" s="25" t="s">
        <v>6</v>
      </c>
      <c r="C45" s="38">
        <f>+I30</f>
        <v>773076606.1270597</v>
      </c>
      <c r="D45" s="39">
        <f>+H16</f>
        <v>0.1524960918190974</v>
      </c>
      <c r="E45" s="40">
        <f>+C36</f>
        <v>1.2481778425655898E-2</v>
      </c>
      <c r="F45" s="40">
        <f>+C40</f>
        <v>0</v>
      </c>
      <c r="G45" s="41">
        <v>6.7916629450290615E-4</v>
      </c>
      <c r="H45" s="42">
        <v>14000000</v>
      </c>
      <c r="I45" s="33">
        <f>+($C$45*D45*(1+$E$45-$F$45)*(1+G45))-(D45*$H$45)</f>
        <v>117308774.26738858</v>
      </c>
      <c r="J45" s="36"/>
      <c r="K45" s="43"/>
    </row>
    <row r="46" spans="2:11" x14ac:dyDescent="0.35">
      <c r="B46" s="25" t="s">
        <v>7</v>
      </c>
      <c r="C46" s="38"/>
      <c r="D46" s="39">
        <f t="shared" ref="D46:D54" si="2">+H17</f>
        <v>0.14815577809505603</v>
      </c>
      <c r="E46" s="44"/>
      <c r="F46" s="44"/>
      <c r="G46" s="41">
        <v>-9.6281661936502798E-5</v>
      </c>
      <c r="H46" s="42"/>
      <c r="I46" s="33">
        <f t="shared" ref="I46:I54" si="3">+($C$45*D46*(1+$E$45-$F$45)*(1+G46))-(D46*$H$45)</f>
        <v>113880029.92973572</v>
      </c>
      <c r="J46" s="36"/>
      <c r="K46" s="43"/>
    </row>
    <row r="47" spans="2:11" x14ac:dyDescent="0.35">
      <c r="B47" s="25" t="s">
        <v>8</v>
      </c>
      <c r="C47" s="38"/>
      <c r="D47" s="39">
        <f t="shared" si="2"/>
        <v>0.10675392411652758</v>
      </c>
      <c r="E47" s="44"/>
      <c r="F47" s="44"/>
      <c r="G47" s="41">
        <v>3.2828398296149309E-4</v>
      </c>
      <c r="H47" s="42"/>
      <c r="I47" s="33">
        <f t="shared" si="3"/>
        <v>82091945.722515479</v>
      </c>
      <c r="J47" s="36"/>
      <c r="K47" s="43"/>
    </row>
    <row r="48" spans="2:11" x14ac:dyDescent="0.35">
      <c r="B48" s="25" t="s">
        <v>9</v>
      </c>
      <c r="C48" s="38"/>
      <c r="D48" s="39">
        <f t="shared" si="2"/>
        <v>4.0450063880714739E-2</v>
      </c>
      <c r="E48" s="44"/>
      <c r="F48" s="44"/>
      <c r="G48" s="41">
        <v>3.3863981362234621E-4</v>
      </c>
      <c r="H48" s="42"/>
      <c r="I48" s="33">
        <f t="shared" si="3"/>
        <v>31105736.659732599</v>
      </c>
      <c r="J48" s="36"/>
      <c r="K48" s="43"/>
    </row>
    <row r="49" spans="2:13" x14ac:dyDescent="0.35">
      <c r="B49" s="25" t="s">
        <v>10</v>
      </c>
      <c r="C49" s="38"/>
      <c r="D49" s="39">
        <f t="shared" si="2"/>
        <v>0.18759991414076568</v>
      </c>
      <c r="E49" s="44"/>
      <c r="F49" s="44"/>
      <c r="G49" s="41">
        <v>-5.2124897831584303E-4</v>
      </c>
      <c r="H49" s="42"/>
      <c r="I49" s="33">
        <f t="shared" si="3"/>
        <v>144136387.44005421</v>
      </c>
      <c r="J49" s="36"/>
      <c r="K49" s="43"/>
    </row>
    <row r="50" spans="2:13" x14ac:dyDescent="0.35">
      <c r="B50" s="25" t="s">
        <v>11</v>
      </c>
      <c r="C50" s="38"/>
      <c r="D50" s="39">
        <f t="shared" si="2"/>
        <v>8.412862589059121E-2</v>
      </c>
      <c r="E50" s="44"/>
      <c r="F50" s="44"/>
      <c r="G50" s="41">
        <v>1.9428981556073019E-4</v>
      </c>
      <c r="H50" s="42"/>
      <c r="I50" s="33">
        <f t="shared" si="3"/>
        <v>64684654.052473336</v>
      </c>
      <c r="J50" s="36"/>
      <c r="K50" s="43"/>
    </row>
    <row r="51" spans="2:13" x14ac:dyDescent="0.35">
      <c r="B51" s="25" t="s">
        <v>12</v>
      </c>
      <c r="C51" s="38"/>
      <c r="D51" s="39">
        <f t="shared" si="2"/>
        <v>7.149795862241809E-2</v>
      </c>
      <c r="E51" s="44"/>
      <c r="F51" s="44"/>
      <c r="G51" s="41">
        <v>2.5944293906788761E-4</v>
      </c>
      <c r="H51" s="42"/>
      <c r="I51" s="33">
        <f t="shared" si="3"/>
        <v>54976857.38322717</v>
      </c>
      <c r="J51" s="36"/>
      <c r="K51" s="43"/>
    </row>
    <row r="52" spans="2:13" x14ac:dyDescent="0.35">
      <c r="B52" s="25" t="s">
        <v>13</v>
      </c>
      <c r="C52" s="38"/>
      <c r="D52" s="39">
        <f t="shared" si="2"/>
        <v>0.15839699529831958</v>
      </c>
      <c r="E52" s="44"/>
      <c r="F52" s="44"/>
      <c r="G52" s="41">
        <v>-3.1371420155713398E-4</v>
      </c>
      <c r="H52" s="42"/>
      <c r="I52" s="33">
        <f t="shared" si="3"/>
        <v>121724990.23007466</v>
      </c>
      <c r="J52" s="36"/>
      <c r="K52" s="43"/>
    </row>
    <row r="53" spans="2:13" x14ac:dyDescent="0.35">
      <c r="B53" s="25" t="s">
        <v>14</v>
      </c>
      <c r="C53" s="38"/>
      <c r="D53" s="39">
        <f t="shared" si="2"/>
        <v>3.1536201108006964E-2</v>
      </c>
      <c r="E53" s="44"/>
      <c r="F53" s="44"/>
      <c r="G53" s="41">
        <v>-3.0588269972245998E-4</v>
      </c>
      <c r="H53" s="42"/>
      <c r="I53" s="33">
        <f t="shared" si="3"/>
        <v>24235146.537686098</v>
      </c>
      <c r="J53" s="36"/>
      <c r="K53" s="43"/>
    </row>
    <row r="54" spans="2:13" x14ac:dyDescent="0.35">
      <c r="B54" s="25" t="s">
        <v>15</v>
      </c>
      <c r="C54" s="38"/>
      <c r="D54" s="39">
        <f t="shared" si="2"/>
        <v>1.8984447028502736E-2</v>
      </c>
      <c r="E54" s="44"/>
      <c r="F54" s="44"/>
      <c r="G54" s="41">
        <v>-8.757534714342154E-4</v>
      </c>
      <c r="H54" s="42"/>
      <c r="I54" s="33">
        <f t="shared" si="3"/>
        <v>14580824.226708397</v>
      </c>
      <c r="J54" s="36"/>
      <c r="K54" s="43"/>
    </row>
    <row r="55" spans="2:13" x14ac:dyDescent="0.35">
      <c r="I55" s="45">
        <f>SUM(I45:I54)</f>
        <v>768725346.44959617</v>
      </c>
      <c r="J55" s="45"/>
      <c r="K55" s="46"/>
    </row>
    <row r="56" spans="2:13" x14ac:dyDescent="0.35">
      <c r="B56" s="8" t="s">
        <v>40</v>
      </c>
      <c r="I56" s="36"/>
    </row>
    <row r="58" spans="2:13" ht="16.5" x14ac:dyDescent="0.35">
      <c r="B58" s="25"/>
      <c r="C58" s="15" t="s">
        <v>41</v>
      </c>
      <c r="D58" s="15" t="s">
        <v>42</v>
      </c>
      <c r="E58" s="15" t="s">
        <v>43</v>
      </c>
      <c r="F58" s="15" t="s">
        <v>44</v>
      </c>
      <c r="G58" s="15" t="s">
        <v>45</v>
      </c>
      <c r="H58" s="15" t="s">
        <v>46</v>
      </c>
      <c r="I58" s="15" t="s">
        <v>47</v>
      </c>
      <c r="J58" s="15" t="s">
        <v>48</v>
      </c>
      <c r="K58" s="47" t="s">
        <v>49</v>
      </c>
      <c r="L58" s="15" t="s">
        <v>50</v>
      </c>
    </row>
    <row r="59" spans="2:13" x14ac:dyDescent="0.35">
      <c r="B59" s="25" t="s">
        <v>6</v>
      </c>
      <c r="C59" s="48">
        <v>2148535.376666666</v>
      </c>
      <c r="D59" s="48">
        <v>0</v>
      </c>
      <c r="E59" s="48">
        <v>29592.641219026133</v>
      </c>
      <c r="F59" s="26">
        <f>+C59+D59+E59</f>
        <v>2178128.017885692</v>
      </c>
      <c r="G59" s="48">
        <v>14450656.072367797</v>
      </c>
      <c r="H59" s="48">
        <v>0</v>
      </c>
      <c r="I59" s="48">
        <v>0</v>
      </c>
      <c r="J59" s="26">
        <f>+H59+I59</f>
        <v>0</v>
      </c>
      <c r="K59" s="26">
        <v>1592022.0637800877</v>
      </c>
      <c r="L59" s="26">
        <f>+F59+G59+J59+K59</f>
        <v>18220806.154033575</v>
      </c>
      <c r="M59" s="49"/>
    </row>
    <row r="60" spans="2:13" x14ac:dyDescent="0.35">
      <c r="B60" s="25" t="s">
        <v>7</v>
      </c>
      <c r="C60" s="48">
        <v>1171228.6916773338</v>
      </c>
      <c r="D60" s="48">
        <v>0</v>
      </c>
      <c r="E60" s="48">
        <v>20217.886872962943</v>
      </c>
      <c r="F60" s="26">
        <f t="shared" ref="F60:F68" si="4">+C60+D60+E60</f>
        <v>1191446.5785502968</v>
      </c>
      <c r="G60" s="48">
        <v>7971692.3473512828</v>
      </c>
      <c r="H60" s="48">
        <v>0</v>
      </c>
      <c r="I60" s="48">
        <v>0</v>
      </c>
      <c r="J60" s="26">
        <f t="shared" ref="J60:J68" si="5">+H60+I60</f>
        <v>0</v>
      </c>
      <c r="K60" s="26">
        <v>2005342.6801640664</v>
      </c>
      <c r="L60" s="26">
        <f t="shared" ref="L60:L68" si="6">+F60+G60+J60+K60</f>
        <v>11168481.606065648</v>
      </c>
      <c r="M60" s="49"/>
    </row>
    <row r="61" spans="2:13" x14ac:dyDescent="0.35">
      <c r="B61" s="25" t="s">
        <v>8</v>
      </c>
      <c r="C61" s="48">
        <v>2238581.5142000006</v>
      </c>
      <c r="D61" s="48">
        <v>0</v>
      </c>
      <c r="E61" s="48">
        <v>36693.786666666667</v>
      </c>
      <c r="F61" s="26">
        <f t="shared" si="4"/>
        <v>2275275.3008666672</v>
      </c>
      <c r="G61" s="48">
        <v>14740932.015213506</v>
      </c>
      <c r="H61" s="48">
        <v>0</v>
      </c>
      <c r="I61" s="48">
        <v>0</v>
      </c>
      <c r="J61" s="26">
        <f t="shared" si="5"/>
        <v>0</v>
      </c>
      <c r="K61" s="26">
        <v>2023410.7567726776</v>
      </c>
      <c r="L61" s="26">
        <f t="shared" si="6"/>
        <v>19039618.072852854</v>
      </c>
      <c r="M61" s="49"/>
    </row>
    <row r="62" spans="2:13" x14ac:dyDescent="0.35">
      <c r="B62" s="25" t="s">
        <v>9</v>
      </c>
      <c r="C62" s="48">
        <v>483692.03080533328</v>
      </c>
      <c r="D62" s="48">
        <v>0</v>
      </c>
      <c r="E62" s="48">
        <v>9263.4966666666678</v>
      </c>
      <c r="F62" s="26">
        <f t="shared" si="4"/>
        <v>492955.52747199993</v>
      </c>
      <c r="G62" s="48">
        <v>3112185.166669481</v>
      </c>
      <c r="H62" s="48">
        <v>0</v>
      </c>
      <c r="I62" s="48">
        <v>0</v>
      </c>
      <c r="J62" s="26">
        <f t="shared" si="5"/>
        <v>0</v>
      </c>
      <c r="K62" s="26">
        <v>434702.95556576701</v>
      </c>
      <c r="L62" s="26">
        <f t="shared" si="6"/>
        <v>4039843.649707248</v>
      </c>
      <c r="M62" s="49"/>
    </row>
    <row r="63" spans="2:13" x14ac:dyDescent="0.35">
      <c r="B63" s="25" t="s">
        <v>10</v>
      </c>
      <c r="C63" s="48">
        <v>1632274.3819066666</v>
      </c>
      <c r="D63" s="48">
        <v>0</v>
      </c>
      <c r="E63" s="48">
        <v>31505.707348753305</v>
      </c>
      <c r="F63" s="26">
        <f t="shared" si="4"/>
        <v>1663780.0892554198</v>
      </c>
      <c r="G63" s="48">
        <v>10981125.3628271</v>
      </c>
      <c r="H63" s="48">
        <v>0</v>
      </c>
      <c r="I63" s="48">
        <v>0</v>
      </c>
      <c r="J63" s="26">
        <f t="shared" si="5"/>
        <v>0</v>
      </c>
      <c r="K63" s="26">
        <v>2809211.7217034176</v>
      </c>
      <c r="L63" s="26">
        <f t="shared" si="6"/>
        <v>15454117.173785938</v>
      </c>
      <c r="M63" s="49"/>
    </row>
    <row r="64" spans="2:13" x14ac:dyDescent="0.35">
      <c r="B64" s="25" t="s">
        <v>11</v>
      </c>
      <c r="C64" s="48">
        <v>903815.10999999987</v>
      </c>
      <c r="D64" s="48">
        <v>0</v>
      </c>
      <c r="E64" s="48">
        <v>19910.433333333334</v>
      </c>
      <c r="F64" s="26">
        <f t="shared" si="4"/>
        <v>923725.54333333322</v>
      </c>
      <c r="G64" s="48">
        <v>6080415.7661249992</v>
      </c>
      <c r="H64" s="48">
        <v>0</v>
      </c>
      <c r="I64" s="48">
        <v>0</v>
      </c>
      <c r="J64" s="26">
        <f t="shared" si="5"/>
        <v>0</v>
      </c>
      <c r="K64" s="26">
        <v>1136043.6807284409</v>
      </c>
      <c r="L64" s="26">
        <f t="shared" si="6"/>
        <v>8140184.9901867732</v>
      </c>
      <c r="M64" s="49"/>
    </row>
    <row r="65" spans="2:13" x14ac:dyDescent="0.35">
      <c r="B65" s="25" t="s">
        <v>12</v>
      </c>
      <c r="C65" s="48">
        <v>528244.86</v>
      </c>
      <c r="D65" s="48">
        <v>0</v>
      </c>
      <c r="E65" s="48">
        <v>20693.639506314641</v>
      </c>
      <c r="F65" s="26">
        <f t="shared" si="4"/>
        <v>548938.49950631463</v>
      </c>
      <c r="G65" s="48">
        <v>3554119.3281</v>
      </c>
      <c r="H65" s="48">
        <v>0</v>
      </c>
      <c r="I65" s="48">
        <v>0</v>
      </c>
      <c r="J65" s="26">
        <f t="shared" si="5"/>
        <v>0</v>
      </c>
      <c r="K65" s="26">
        <v>1381192.19944765</v>
      </c>
      <c r="L65" s="26">
        <f t="shared" si="6"/>
        <v>5484250.0270539653</v>
      </c>
      <c r="M65" s="49"/>
    </row>
    <row r="66" spans="2:13" x14ac:dyDescent="0.35">
      <c r="B66" s="25" t="s">
        <v>13</v>
      </c>
      <c r="C66" s="48">
        <v>1347584.396666667</v>
      </c>
      <c r="D66" s="48">
        <v>0</v>
      </c>
      <c r="E66" s="48">
        <v>33355.369653665432</v>
      </c>
      <c r="F66" s="26">
        <f t="shared" si="4"/>
        <v>1380939.7663203324</v>
      </c>
      <c r="G66" s="48">
        <v>9065874.2459249999</v>
      </c>
      <c r="H66" s="48">
        <v>0</v>
      </c>
      <c r="I66" s="48">
        <v>0</v>
      </c>
      <c r="J66" s="26">
        <f t="shared" si="5"/>
        <v>0</v>
      </c>
      <c r="K66" s="26">
        <v>2131819.2164243469</v>
      </c>
      <c r="L66" s="26">
        <f t="shared" si="6"/>
        <v>12578633.228669681</v>
      </c>
      <c r="M66" s="49"/>
    </row>
    <row r="67" spans="2:13" x14ac:dyDescent="0.35">
      <c r="B67" s="25" t="s">
        <v>14</v>
      </c>
      <c r="C67" s="48">
        <v>343019.74186933326</v>
      </c>
      <c r="D67" s="48">
        <v>0</v>
      </c>
      <c r="E67" s="48">
        <v>10377.076666666666</v>
      </c>
      <c r="F67" s="26">
        <f t="shared" si="4"/>
        <v>353396.81853599992</v>
      </c>
      <c r="G67" s="48">
        <v>2204889.27351702</v>
      </c>
      <c r="H67" s="48">
        <v>0</v>
      </c>
      <c r="I67" s="48">
        <v>0</v>
      </c>
      <c r="J67" s="26">
        <f t="shared" si="5"/>
        <v>0</v>
      </c>
      <c r="K67" s="26">
        <v>284278.19942188257</v>
      </c>
      <c r="L67" s="26">
        <f t="shared" si="6"/>
        <v>2842564.2914749025</v>
      </c>
      <c r="M67" s="49"/>
    </row>
    <row r="68" spans="2:13" x14ac:dyDescent="0.35">
      <c r="B68" s="25" t="s">
        <v>15</v>
      </c>
      <c r="C68" s="48">
        <v>193908.46666666667</v>
      </c>
      <c r="D68" s="48">
        <v>0</v>
      </c>
      <c r="E68" s="48">
        <v>3251.594860139578</v>
      </c>
      <c r="F68" s="26">
        <f t="shared" si="4"/>
        <v>197160.06152680624</v>
      </c>
      <c r="G68" s="48">
        <v>1304518.8063000001</v>
      </c>
      <c r="H68" s="48">
        <v>0</v>
      </c>
      <c r="I68" s="48">
        <v>0</v>
      </c>
      <c r="J68" s="26">
        <f t="shared" si="5"/>
        <v>0</v>
      </c>
      <c r="K68" s="26">
        <v>242261.9029296675</v>
      </c>
      <c r="L68" s="26">
        <f t="shared" si="6"/>
        <v>1743940.7707564738</v>
      </c>
      <c r="M68" s="49"/>
    </row>
    <row r="69" spans="2:13" x14ac:dyDescent="0.35">
      <c r="F69" s="50">
        <f>SUM(F59:F68)</f>
        <v>11205746.203252863</v>
      </c>
      <c r="G69" s="50">
        <f>SUM(G59:G68)</f>
        <v>73466408.384396181</v>
      </c>
      <c r="H69" s="8"/>
      <c r="I69" s="8"/>
      <c r="J69" s="8"/>
      <c r="K69" s="50">
        <f>SUM(K59:K68)</f>
        <v>14040285.376938004</v>
      </c>
    </row>
    <row r="70" spans="2:13" x14ac:dyDescent="0.35">
      <c r="B70" s="8" t="s">
        <v>51</v>
      </c>
    </row>
    <row r="71" spans="2:13" ht="15" thickBot="1" x14ac:dyDescent="0.4"/>
    <row r="72" spans="2:13" ht="17" thickBot="1" x14ac:dyDescent="0.4">
      <c r="B72" s="51"/>
      <c r="C72" s="15" t="s">
        <v>39</v>
      </c>
      <c r="D72" s="15" t="str">
        <f t="shared" ref="D72:D82" si="7">+L58</f>
        <v>Totaal aanvullend</v>
      </c>
      <c r="E72" s="52" t="s">
        <v>52</v>
      </c>
      <c r="F72" s="36"/>
    </row>
    <row r="73" spans="2:13" x14ac:dyDescent="0.35">
      <c r="B73" s="16" t="s">
        <v>6</v>
      </c>
      <c r="C73" s="53">
        <f t="shared" ref="C73:C82" si="8">+I45</f>
        <v>117308774.26738858</v>
      </c>
      <c r="D73" s="54">
        <f t="shared" si="7"/>
        <v>18220806.154033575</v>
      </c>
      <c r="E73" s="55">
        <f>+C73+D73</f>
        <v>135529580.42142215</v>
      </c>
      <c r="F73" s="36"/>
      <c r="G73" s="56"/>
    </row>
    <row r="74" spans="2:13" x14ac:dyDescent="0.35">
      <c r="B74" s="19" t="s">
        <v>7</v>
      </c>
      <c r="C74" s="53">
        <f t="shared" si="8"/>
        <v>113880029.92973572</v>
      </c>
      <c r="D74" s="54">
        <f t="shared" si="7"/>
        <v>11168481.606065648</v>
      </c>
      <c r="E74" s="57">
        <f t="shared" ref="E74:E82" si="9">+C74+D74</f>
        <v>125048511.53580137</v>
      </c>
      <c r="F74" s="36"/>
      <c r="G74" s="56"/>
    </row>
    <row r="75" spans="2:13" x14ac:dyDescent="0.35">
      <c r="B75" s="19" t="s">
        <v>8</v>
      </c>
      <c r="C75" s="53">
        <f t="shared" si="8"/>
        <v>82091945.722515479</v>
      </c>
      <c r="D75" s="54">
        <f t="shared" si="7"/>
        <v>19039618.072852854</v>
      </c>
      <c r="E75" s="57">
        <f t="shared" si="9"/>
        <v>101131563.79536833</v>
      </c>
      <c r="F75" s="36"/>
      <c r="G75" s="56"/>
    </row>
    <row r="76" spans="2:13" x14ac:dyDescent="0.35">
      <c r="B76" s="19" t="s">
        <v>9</v>
      </c>
      <c r="C76" s="53">
        <f t="shared" si="8"/>
        <v>31105736.659732599</v>
      </c>
      <c r="D76" s="54">
        <f t="shared" si="7"/>
        <v>4039843.649707248</v>
      </c>
      <c r="E76" s="57">
        <f t="shared" si="9"/>
        <v>35145580.309439845</v>
      </c>
      <c r="F76" s="36"/>
      <c r="G76" s="56"/>
    </row>
    <row r="77" spans="2:13" x14ac:dyDescent="0.35">
      <c r="B77" s="19" t="s">
        <v>10</v>
      </c>
      <c r="C77" s="53">
        <f t="shared" si="8"/>
        <v>144136387.44005421</v>
      </c>
      <c r="D77" s="54">
        <f t="shared" si="7"/>
        <v>15454117.173785938</v>
      </c>
      <c r="E77" s="57">
        <f t="shared" si="9"/>
        <v>159590504.61384013</v>
      </c>
      <c r="F77" s="36"/>
      <c r="G77" s="56"/>
    </row>
    <row r="78" spans="2:13" x14ac:dyDescent="0.35">
      <c r="B78" s="19" t="s">
        <v>11</v>
      </c>
      <c r="C78" s="53">
        <f t="shared" si="8"/>
        <v>64684654.052473336</v>
      </c>
      <c r="D78" s="54">
        <f t="shared" si="7"/>
        <v>8140184.9901867732</v>
      </c>
      <c r="E78" s="57">
        <f t="shared" si="9"/>
        <v>72824839.042660117</v>
      </c>
      <c r="F78" s="36"/>
      <c r="G78" s="56"/>
    </row>
    <row r="79" spans="2:13" x14ac:dyDescent="0.35">
      <c r="B79" s="19" t="s">
        <v>12</v>
      </c>
      <c r="C79" s="53">
        <f t="shared" si="8"/>
        <v>54976857.38322717</v>
      </c>
      <c r="D79" s="54">
        <f t="shared" si="7"/>
        <v>5484250.0270539653</v>
      </c>
      <c r="E79" s="57">
        <f t="shared" si="9"/>
        <v>60461107.410281137</v>
      </c>
      <c r="F79" s="36"/>
      <c r="G79" s="56"/>
    </row>
    <row r="80" spans="2:13" x14ac:dyDescent="0.35">
      <c r="B80" s="19" t="s">
        <v>13</v>
      </c>
      <c r="C80" s="53">
        <f t="shared" si="8"/>
        <v>121724990.23007466</v>
      </c>
      <c r="D80" s="54">
        <f t="shared" si="7"/>
        <v>12578633.228669681</v>
      </c>
      <c r="E80" s="57">
        <f t="shared" si="9"/>
        <v>134303623.45874435</v>
      </c>
      <c r="F80" s="36"/>
      <c r="G80" s="56"/>
    </row>
    <row r="81" spans="1:12" x14ac:dyDescent="0.35">
      <c r="B81" s="19" t="s">
        <v>14</v>
      </c>
      <c r="C81" s="53">
        <f t="shared" si="8"/>
        <v>24235146.537686098</v>
      </c>
      <c r="D81" s="54">
        <f t="shared" si="7"/>
        <v>2842564.2914749025</v>
      </c>
      <c r="E81" s="57">
        <f t="shared" si="9"/>
        <v>27077710.829161</v>
      </c>
      <c r="F81" s="36"/>
      <c r="G81" s="56"/>
    </row>
    <row r="82" spans="1:12" ht="15" thickBot="1" x14ac:dyDescent="0.4">
      <c r="B82" s="20" t="s">
        <v>15</v>
      </c>
      <c r="C82" s="53">
        <f t="shared" si="8"/>
        <v>14580824.226708397</v>
      </c>
      <c r="D82" s="54">
        <f t="shared" si="7"/>
        <v>1743940.7707564738</v>
      </c>
      <c r="E82" s="58">
        <f t="shared" si="9"/>
        <v>16324764.997464871</v>
      </c>
      <c r="F82" s="36"/>
      <c r="G82" s="56"/>
    </row>
    <row r="83" spans="1:12" x14ac:dyDescent="0.35">
      <c r="C83" s="50">
        <f>SUM(C73:C82)</f>
        <v>768725346.44959617</v>
      </c>
      <c r="D83" s="50">
        <f t="shared" ref="D83:E83" si="10">SUM(D73:D82)</f>
        <v>98712439.964587077</v>
      </c>
      <c r="E83" s="50">
        <f t="shared" si="10"/>
        <v>867437786.4141835</v>
      </c>
      <c r="G83" s="56"/>
    </row>
    <row r="85" spans="1:12" customFormat="1" x14ac:dyDescent="0.35">
      <c r="A85" s="1"/>
      <c r="B85" s="12" t="s">
        <v>53</v>
      </c>
      <c r="C85" s="12"/>
      <c r="D85" s="12"/>
      <c r="E85" s="12"/>
      <c r="F85" s="12"/>
      <c r="G85" s="12"/>
      <c r="H85" s="12"/>
      <c r="I85" s="12"/>
      <c r="J85" s="12"/>
      <c r="K85" s="1"/>
      <c r="L85" s="1"/>
    </row>
    <row r="87" spans="1:12" x14ac:dyDescent="0.35">
      <c r="B87" s="8" t="s">
        <v>54</v>
      </c>
    </row>
    <row r="89" spans="1:12" ht="16.5" x14ac:dyDescent="0.45">
      <c r="B89" s="28" t="s">
        <v>55</v>
      </c>
      <c r="C89" s="29">
        <v>112.25</v>
      </c>
      <c r="D89" s="1" t="s">
        <v>27</v>
      </c>
      <c r="E89" s="59" t="s">
        <v>56</v>
      </c>
      <c r="F89" s="59"/>
      <c r="G89" s="59"/>
      <c r="H89" s="59"/>
      <c r="I89" s="59"/>
    </row>
    <row r="90" spans="1:12" ht="16.5" x14ac:dyDescent="0.45">
      <c r="B90" s="28" t="s">
        <v>26</v>
      </c>
      <c r="C90" s="60">
        <f>+C35</f>
        <v>109.76</v>
      </c>
      <c r="D90" s="1" t="s">
        <v>27</v>
      </c>
    </row>
    <row r="91" spans="1:12" ht="16.5" x14ac:dyDescent="0.45">
      <c r="B91" s="28" t="s">
        <v>57</v>
      </c>
      <c r="C91" s="30">
        <f>+C89/C90-1</f>
        <v>2.2685860058309082E-2</v>
      </c>
    </row>
    <row r="93" spans="1:12" x14ac:dyDescent="0.35">
      <c r="B93" s="8" t="s">
        <v>58</v>
      </c>
    </row>
    <row r="95" spans="1:12" ht="16.5" x14ac:dyDescent="0.35">
      <c r="B95" s="25"/>
      <c r="C95" s="15" t="s">
        <v>31</v>
      </c>
      <c r="D95" s="15" t="s">
        <v>5</v>
      </c>
      <c r="E95" s="15" t="s">
        <v>57</v>
      </c>
      <c r="F95" s="15" t="s">
        <v>35</v>
      </c>
      <c r="G95" s="15" t="s">
        <v>37</v>
      </c>
      <c r="H95" s="15" t="s">
        <v>38</v>
      </c>
      <c r="I95" s="15" t="s">
        <v>59</v>
      </c>
    </row>
    <row r="96" spans="1:12" x14ac:dyDescent="0.35">
      <c r="B96" s="25" t="s">
        <v>6</v>
      </c>
      <c r="C96" s="38">
        <f>+I30</f>
        <v>773076606.1270597</v>
      </c>
      <c r="D96" s="39">
        <f t="shared" ref="D96:D105" si="11">+H16</f>
        <v>0.1524960918190974</v>
      </c>
      <c r="E96" s="40">
        <f>+C91</f>
        <v>2.2685860058309082E-2</v>
      </c>
      <c r="F96" s="40">
        <f>+$C$40</f>
        <v>0</v>
      </c>
      <c r="G96" s="61">
        <f>+G45</f>
        <v>6.7916629450290615E-4</v>
      </c>
      <c r="H96" s="38">
        <f>+H45</f>
        <v>14000000</v>
      </c>
      <c r="I96" s="33">
        <f>+($C$96*D96*(1+$E$96-$F$96)*(1+G96))-(D96*$H$96)</f>
        <v>118512562.31651303</v>
      </c>
      <c r="J96" s="36"/>
      <c r="K96" s="62"/>
    </row>
    <row r="97" spans="1:12" x14ac:dyDescent="0.35">
      <c r="B97" s="25" t="s">
        <v>7</v>
      </c>
      <c r="C97" s="38"/>
      <c r="D97" s="39">
        <f t="shared" si="11"/>
        <v>0.14815577809505603</v>
      </c>
      <c r="E97" s="44"/>
      <c r="F97" s="44"/>
      <c r="G97" s="61">
        <f t="shared" ref="G97:G105" si="12">+G46</f>
        <v>-9.6281661936502798E-5</v>
      </c>
      <c r="H97" s="38"/>
      <c r="I97" s="33">
        <f t="shared" ref="I97:I105" si="13">+($C$96*D97*(1+$E$96-$F$96)*(1+G97))-(D97*$H$96)</f>
        <v>115048649.70946969</v>
      </c>
      <c r="J97" s="36"/>
      <c r="K97" s="62"/>
    </row>
    <row r="98" spans="1:12" x14ac:dyDescent="0.35">
      <c r="B98" s="25" t="s">
        <v>8</v>
      </c>
      <c r="C98" s="38"/>
      <c r="D98" s="39">
        <f t="shared" si="11"/>
        <v>0.10675392411652758</v>
      </c>
      <c r="E98" s="44"/>
      <c r="F98" s="44"/>
      <c r="G98" s="61">
        <f t="shared" si="12"/>
        <v>3.2828398296149309E-4</v>
      </c>
      <c r="H98" s="38"/>
      <c r="I98" s="33">
        <f t="shared" si="13"/>
        <v>82934354.439687848</v>
      </c>
      <c r="J98" s="36"/>
      <c r="K98" s="62"/>
    </row>
    <row r="99" spans="1:12" x14ac:dyDescent="0.35">
      <c r="B99" s="25" t="s">
        <v>9</v>
      </c>
      <c r="C99" s="38"/>
      <c r="D99" s="39">
        <f t="shared" si="11"/>
        <v>4.0450063880714739E-2</v>
      </c>
      <c r="E99" s="44"/>
      <c r="F99" s="44"/>
      <c r="G99" s="61">
        <f t="shared" si="12"/>
        <v>3.3863981362234621E-4</v>
      </c>
      <c r="H99" s="38"/>
      <c r="I99" s="33">
        <f t="shared" si="13"/>
        <v>31424936.534298878</v>
      </c>
      <c r="J99" s="36"/>
      <c r="K99" s="62"/>
    </row>
    <row r="100" spans="1:12" x14ac:dyDescent="0.35">
      <c r="B100" s="25" t="s">
        <v>10</v>
      </c>
      <c r="C100" s="38"/>
      <c r="D100" s="39">
        <f t="shared" si="11"/>
        <v>0.18759991414076568</v>
      </c>
      <c r="E100" s="44"/>
      <c r="F100" s="44"/>
      <c r="G100" s="61">
        <f t="shared" si="12"/>
        <v>-5.2124897831584303E-4</v>
      </c>
      <c r="H100" s="38"/>
      <c r="I100" s="33">
        <f t="shared" si="13"/>
        <v>145615504.87536952</v>
      </c>
      <c r="J100" s="36"/>
      <c r="K100" s="62"/>
    </row>
    <row r="101" spans="1:12" x14ac:dyDescent="0.35">
      <c r="B101" s="25" t="s">
        <v>11</v>
      </c>
      <c r="C101" s="38"/>
      <c r="D101" s="39">
        <f t="shared" si="11"/>
        <v>8.412862589059121E-2</v>
      </c>
      <c r="E101" s="44"/>
      <c r="F101" s="44"/>
      <c r="G101" s="61">
        <f t="shared" si="12"/>
        <v>1.9428981556073019E-4</v>
      </c>
      <c r="H101" s="38"/>
      <c r="I101" s="33">
        <f t="shared" si="13"/>
        <v>65348434.754288644</v>
      </c>
      <c r="J101" s="36"/>
      <c r="K101" s="62"/>
    </row>
    <row r="102" spans="1:12" x14ac:dyDescent="0.35">
      <c r="B102" s="25" t="s">
        <v>12</v>
      </c>
      <c r="C102" s="38"/>
      <c r="D102" s="39">
        <f t="shared" si="11"/>
        <v>7.149795862241809E-2</v>
      </c>
      <c r="E102" s="44"/>
      <c r="F102" s="44"/>
      <c r="G102" s="61">
        <f t="shared" si="12"/>
        <v>2.5944293906788761E-4</v>
      </c>
      <c r="H102" s="38"/>
      <c r="I102" s="33">
        <f t="shared" si="13"/>
        <v>55541017.990267709</v>
      </c>
      <c r="J102" s="36"/>
      <c r="K102" s="62"/>
    </row>
    <row r="103" spans="1:12" x14ac:dyDescent="0.35">
      <c r="B103" s="25" t="s">
        <v>13</v>
      </c>
      <c r="C103" s="38"/>
      <c r="D103" s="39">
        <f t="shared" si="11"/>
        <v>0.15839699529831958</v>
      </c>
      <c r="E103" s="44"/>
      <c r="F103" s="44"/>
      <c r="G103" s="61">
        <f t="shared" si="12"/>
        <v>-3.1371420155713398E-4</v>
      </c>
      <c r="H103" s="38"/>
      <c r="I103" s="33">
        <f t="shared" si="13"/>
        <v>122974118.7637196</v>
      </c>
      <c r="J103" s="36"/>
      <c r="K103" s="62"/>
    </row>
    <row r="104" spans="1:12" x14ac:dyDescent="0.35">
      <c r="B104" s="25" t="s">
        <v>14</v>
      </c>
      <c r="C104" s="38"/>
      <c r="D104" s="39">
        <f t="shared" si="11"/>
        <v>3.1536201108006964E-2</v>
      </c>
      <c r="E104" s="44"/>
      <c r="F104" s="44"/>
      <c r="G104" s="61">
        <f t="shared" si="12"/>
        <v>-3.0588269972245998E-4</v>
      </c>
      <c r="H104" s="38"/>
      <c r="I104" s="33">
        <f t="shared" si="13"/>
        <v>24483844.924760539</v>
      </c>
      <c r="J104" s="36"/>
      <c r="K104" s="62"/>
    </row>
    <row r="105" spans="1:12" x14ac:dyDescent="0.35">
      <c r="B105" s="25" t="s">
        <v>15</v>
      </c>
      <c r="C105" s="38"/>
      <c r="D105" s="39">
        <f t="shared" si="11"/>
        <v>1.8984447028502736E-2</v>
      </c>
      <c r="E105" s="44"/>
      <c r="F105" s="44"/>
      <c r="G105" s="61">
        <f t="shared" si="12"/>
        <v>-8.757534714342154E-4</v>
      </c>
      <c r="H105" s="38"/>
      <c r="I105" s="33">
        <f t="shared" si="13"/>
        <v>14730452.583257668</v>
      </c>
      <c r="J105" s="36"/>
      <c r="K105" s="62"/>
    </row>
    <row r="106" spans="1:12" x14ac:dyDescent="0.35">
      <c r="I106" s="63">
        <f>SUM(I96:I105)</f>
        <v>776613876.89163327</v>
      </c>
    </row>
    <row r="107" spans="1:12" ht="15" thickBot="1" x14ac:dyDescent="0.4"/>
    <row r="108" spans="1:12" customFormat="1" ht="21.5" thickBot="1" x14ac:dyDescent="0.55000000000000004">
      <c r="A108" s="1"/>
      <c r="B108" s="9" t="s">
        <v>60</v>
      </c>
      <c r="C108" s="10"/>
      <c r="D108" s="10"/>
      <c r="E108" s="10"/>
      <c r="F108" s="10"/>
      <c r="G108" s="10"/>
      <c r="H108" s="10"/>
      <c r="I108" s="10"/>
      <c r="J108" s="11"/>
      <c r="K108" s="1"/>
      <c r="L108" s="1"/>
    </row>
    <row r="111" spans="1:12" customFormat="1" x14ac:dyDescent="0.35">
      <c r="A111" s="1"/>
      <c r="B111" s="12" t="s">
        <v>3</v>
      </c>
      <c r="C111" s="12"/>
      <c r="D111" s="12"/>
      <c r="E111" s="12"/>
      <c r="F111" s="12"/>
      <c r="G111" s="12"/>
      <c r="H111" s="12"/>
      <c r="I111" s="12"/>
      <c r="J111" s="12"/>
      <c r="K111" s="1"/>
      <c r="L111" s="1"/>
    </row>
    <row r="113" spans="2:9" x14ac:dyDescent="0.35">
      <c r="B113" s="8" t="s">
        <v>61</v>
      </c>
    </row>
    <row r="115" spans="2:9" ht="16.5" x14ac:dyDescent="0.45">
      <c r="B115" s="28" t="s">
        <v>62</v>
      </c>
      <c r="C115" s="29">
        <v>114.23</v>
      </c>
      <c r="D115" s="1" t="s">
        <v>24</v>
      </c>
      <c r="E115" s="59" t="s">
        <v>63</v>
      </c>
      <c r="F115" s="59"/>
      <c r="G115" s="59"/>
      <c r="H115" s="59"/>
      <c r="I115" s="59"/>
    </row>
    <row r="116" spans="2:9" ht="16.5" x14ac:dyDescent="0.45">
      <c r="B116" s="28" t="s">
        <v>55</v>
      </c>
      <c r="C116" s="60">
        <f>+C89</f>
        <v>112.25</v>
      </c>
      <c r="D116" s="1" t="s">
        <v>27</v>
      </c>
    </row>
    <row r="117" spans="2:9" ht="16.5" x14ac:dyDescent="0.45">
      <c r="B117" s="28" t="s">
        <v>64</v>
      </c>
      <c r="C117" s="30">
        <f>+C115/C116-1</f>
        <v>1.7639198218262875E-2</v>
      </c>
    </row>
    <row r="119" spans="2:9" x14ac:dyDescent="0.35">
      <c r="B119" s="8" t="s">
        <v>65</v>
      </c>
    </row>
    <row r="121" spans="2:9" ht="16.5" x14ac:dyDescent="0.35">
      <c r="B121" s="64" t="s">
        <v>39</v>
      </c>
      <c r="C121" s="65">
        <f>SUM(I45:I54)</f>
        <v>768725346.44959617</v>
      </c>
    </row>
    <row r="122" spans="2:9" x14ac:dyDescent="0.35">
      <c r="B122" s="28" t="s">
        <v>66</v>
      </c>
      <c r="C122" s="66">
        <v>42000000</v>
      </c>
    </row>
    <row r="123" spans="2:9" x14ac:dyDescent="0.35">
      <c r="B123" s="28" t="s">
        <v>67</v>
      </c>
      <c r="C123" s="34">
        <f>1-POWER((C121-C122)/C121,1/3)</f>
        <v>1.8554091363058522E-2</v>
      </c>
      <c r="F123" s="36"/>
    </row>
    <row r="125" spans="2:9" x14ac:dyDescent="0.35">
      <c r="B125" s="8" t="s">
        <v>68</v>
      </c>
    </row>
    <row r="127" spans="2:9" ht="16.5" x14ac:dyDescent="0.35">
      <c r="B127" s="25"/>
      <c r="C127" s="15" t="s">
        <v>59</v>
      </c>
      <c r="D127" s="15" t="s">
        <v>69</v>
      </c>
      <c r="E127" s="15" t="s">
        <v>34</v>
      </c>
      <c r="F127" s="15" t="s">
        <v>67</v>
      </c>
      <c r="G127" s="15" t="s">
        <v>35</v>
      </c>
      <c r="H127" s="15" t="s">
        <v>37</v>
      </c>
      <c r="I127" s="15" t="s">
        <v>70</v>
      </c>
    </row>
    <row r="128" spans="2:9" x14ac:dyDescent="0.35">
      <c r="B128" s="25" t="s">
        <v>6</v>
      </c>
      <c r="C128" s="33">
        <f>+I96</f>
        <v>118512562.31651303</v>
      </c>
      <c r="D128" s="40">
        <f>+C117</f>
        <v>1.7639198218262875E-2</v>
      </c>
      <c r="E128" s="40">
        <f>+$J$39</f>
        <v>8.4010635501718944E-4</v>
      </c>
      <c r="F128" s="40">
        <f>+$C$123</f>
        <v>1.8554091363058522E-2</v>
      </c>
      <c r="G128" s="40">
        <f>+$C$40</f>
        <v>0</v>
      </c>
      <c r="H128" s="67">
        <f t="shared" ref="H128:H137" si="14">+G45</f>
        <v>6.7916629450290615E-4</v>
      </c>
      <c r="I128" s="33">
        <f>+C128*(1+$D$128-$E$128-$F$128-$G$128+H128)</f>
        <v>118385062.56672657</v>
      </c>
    </row>
    <row r="129" spans="2:12" x14ac:dyDescent="0.35">
      <c r="B129" s="25" t="s">
        <v>7</v>
      </c>
      <c r="C129" s="33">
        <f t="shared" ref="C129:C137" si="15">+I97</f>
        <v>115048649.70946969</v>
      </c>
      <c r="D129" s="44"/>
      <c r="E129" s="44"/>
      <c r="F129" s="44"/>
      <c r="G129" s="44"/>
      <c r="H129" s="67">
        <f t="shared" si="14"/>
        <v>-9.6281661936502798E-5</v>
      </c>
      <c r="I129" s="33">
        <f t="shared" ref="I129:I137" si="16">+C129*(1+$D$128-$E$128-$F$128-$G$128+H129)</f>
        <v>114835662.31157784</v>
      </c>
    </row>
    <row r="130" spans="2:12" x14ac:dyDescent="0.35">
      <c r="B130" s="25" t="s">
        <v>8</v>
      </c>
      <c r="C130" s="33">
        <f t="shared" si="15"/>
        <v>82934354.439687848</v>
      </c>
      <c r="D130" s="44"/>
      <c r="E130" s="44"/>
      <c r="F130" s="44"/>
      <c r="G130" s="44"/>
      <c r="H130" s="67">
        <f t="shared" si="14"/>
        <v>3.2828398296149309E-4</v>
      </c>
      <c r="I130" s="33">
        <f t="shared" si="16"/>
        <v>82816030.709328696</v>
      </c>
    </row>
    <row r="131" spans="2:12" x14ac:dyDescent="0.35">
      <c r="B131" s="25" t="s">
        <v>9</v>
      </c>
      <c r="C131" s="33">
        <f t="shared" si="15"/>
        <v>31424936.534298878</v>
      </c>
      <c r="D131" s="44"/>
      <c r="E131" s="44"/>
      <c r="F131" s="44"/>
      <c r="G131" s="44"/>
      <c r="H131" s="67">
        <f t="shared" si="14"/>
        <v>3.3863981362234621E-4</v>
      </c>
      <c r="I131" s="33">
        <f t="shared" si="16"/>
        <v>31380427.521050602</v>
      </c>
    </row>
    <row r="132" spans="2:12" x14ac:dyDescent="0.35">
      <c r="B132" s="25" t="s">
        <v>10</v>
      </c>
      <c r="C132" s="33">
        <f t="shared" si="15"/>
        <v>145615504.87536952</v>
      </c>
      <c r="D132" s="44"/>
      <c r="E132" s="44"/>
      <c r="F132" s="44"/>
      <c r="G132" s="44"/>
      <c r="H132" s="67">
        <f t="shared" si="14"/>
        <v>-5.2124897831584303E-4</v>
      </c>
      <c r="I132" s="33">
        <f t="shared" si="16"/>
        <v>145284047.80400503</v>
      </c>
    </row>
    <row r="133" spans="2:12" x14ac:dyDescent="0.35">
      <c r="B133" s="25" t="s">
        <v>11</v>
      </c>
      <c r="C133" s="33">
        <f t="shared" si="15"/>
        <v>65348434.754288644</v>
      </c>
      <c r="D133" s="44"/>
      <c r="E133" s="44"/>
      <c r="F133" s="44"/>
      <c r="G133" s="44"/>
      <c r="H133" s="67">
        <f t="shared" si="14"/>
        <v>1.9428981556073019E-4</v>
      </c>
      <c r="I133" s="33">
        <f t="shared" si="16"/>
        <v>65246444.819316909</v>
      </c>
    </row>
    <row r="134" spans="2:12" x14ac:dyDescent="0.35">
      <c r="B134" s="25" t="s">
        <v>12</v>
      </c>
      <c r="C134" s="33">
        <f t="shared" si="15"/>
        <v>55541017.990267709</v>
      </c>
      <c r="D134" s="44"/>
      <c r="E134" s="44"/>
      <c r="F134" s="44"/>
      <c r="G134" s="44"/>
      <c r="H134" s="67">
        <f t="shared" si="14"/>
        <v>2.5944293906788761E-4</v>
      </c>
      <c r="I134" s="33">
        <f t="shared" si="16"/>
        <v>55457953.256421909</v>
      </c>
    </row>
    <row r="135" spans="2:12" x14ac:dyDescent="0.35">
      <c r="B135" s="25" t="s">
        <v>13</v>
      </c>
      <c r="C135" s="33">
        <f t="shared" si="15"/>
        <v>122974118.7637196</v>
      </c>
      <c r="D135" s="44"/>
      <c r="E135" s="44"/>
      <c r="F135" s="44"/>
      <c r="G135" s="44"/>
      <c r="H135" s="67">
        <f t="shared" si="14"/>
        <v>-3.1371420155713398E-4</v>
      </c>
      <c r="I135" s="33">
        <f t="shared" si="16"/>
        <v>122719720.51931921</v>
      </c>
    </row>
    <row r="136" spans="2:12" x14ac:dyDescent="0.35">
      <c r="B136" s="25" t="s">
        <v>14</v>
      </c>
      <c r="C136" s="33">
        <f t="shared" si="15"/>
        <v>24483844.924760539</v>
      </c>
      <c r="D136" s="44"/>
      <c r="E136" s="44"/>
      <c r="F136" s="44"/>
      <c r="G136" s="44"/>
      <c r="H136" s="67">
        <f t="shared" si="14"/>
        <v>-3.0588269972245998E-4</v>
      </c>
      <c r="I136" s="33">
        <f t="shared" si="16"/>
        <v>24433386.60457892</v>
      </c>
    </row>
    <row r="137" spans="2:12" x14ac:dyDescent="0.35">
      <c r="B137" s="25" t="s">
        <v>15</v>
      </c>
      <c r="C137" s="33">
        <f t="shared" si="15"/>
        <v>14730452.583257668</v>
      </c>
      <c r="D137" s="44"/>
      <c r="E137" s="44"/>
      <c r="F137" s="44"/>
      <c r="G137" s="44"/>
      <c r="H137" s="67">
        <f t="shared" si="14"/>
        <v>-8.757534714342154E-4</v>
      </c>
      <c r="I137" s="33">
        <f t="shared" si="16"/>
        <v>14691700.401356449</v>
      </c>
    </row>
    <row r="138" spans="2:12" x14ac:dyDescent="0.35">
      <c r="I138" s="45">
        <f>SUM(I128:I137)</f>
        <v>775250436.51368213</v>
      </c>
    </row>
    <row r="139" spans="2:12" x14ac:dyDescent="0.35">
      <c r="B139" s="8" t="s">
        <v>71</v>
      </c>
    </row>
    <row r="141" spans="2:12" ht="16.5" x14ac:dyDescent="0.35">
      <c r="B141" s="25"/>
      <c r="C141" s="15" t="s">
        <v>72</v>
      </c>
      <c r="D141" s="15" t="s">
        <v>73</v>
      </c>
      <c r="E141" s="15" t="s">
        <v>74</v>
      </c>
      <c r="F141" s="15" t="s">
        <v>75</v>
      </c>
      <c r="G141" s="15" t="s">
        <v>76</v>
      </c>
      <c r="H141" s="15" t="s">
        <v>77</v>
      </c>
      <c r="I141" s="15" t="s">
        <v>78</v>
      </c>
      <c r="J141" s="15" t="s">
        <v>79</v>
      </c>
      <c r="K141" s="47" t="s">
        <v>80</v>
      </c>
      <c r="L141" s="15" t="s">
        <v>50</v>
      </c>
    </row>
    <row r="142" spans="2:12" x14ac:dyDescent="0.35">
      <c r="B142" s="25" t="s">
        <v>6</v>
      </c>
      <c r="C142" s="48">
        <v>2145936.06</v>
      </c>
      <c r="D142" s="48">
        <v>0</v>
      </c>
      <c r="E142" s="48">
        <v>29592.640435304096</v>
      </c>
      <c r="F142" s="26">
        <f>+C142+D142+E142</f>
        <v>2175528.7004353041</v>
      </c>
      <c r="G142" s="48">
        <v>13234320.983522337</v>
      </c>
      <c r="H142" s="48">
        <v>0</v>
      </c>
      <c r="I142" s="48">
        <v>0</v>
      </c>
      <c r="J142" s="26">
        <f>+H142+I142</f>
        <v>0</v>
      </c>
      <c r="K142" s="26">
        <v>2739871.2218371457</v>
      </c>
      <c r="L142" s="26">
        <f>+F142+G142+J142+K142</f>
        <v>18149720.905794784</v>
      </c>
    </row>
    <row r="143" spans="2:12" x14ac:dyDescent="0.35">
      <c r="B143" s="25" t="s">
        <v>7</v>
      </c>
      <c r="C143" s="48">
        <v>1202336.6368666666</v>
      </c>
      <c r="D143" s="48">
        <v>0</v>
      </c>
      <c r="E143" s="48">
        <v>20217.886872962943</v>
      </c>
      <c r="F143" s="26">
        <f t="shared" ref="F143:F151" si="17">+C143+D143+E143</f>
        <v>1222554.5237396297</v>
      </c>
      <c r="G143" s="48">
        <v>7391156.67510782</v>
      </c>
      <c r="H143" s="48">
        <v>0</v>
      </c>
      <c r="I143" s="48">
        <v>0</v>
      </c>
      <c r="J143" s="26">
        <f t="shared" ref="J143:J151" si="18">+H143+I143</f>
        <v>0</v>
      </c>
      <c r="K143" s="26">
        <v>3364839.0015004054</v>
      </c>
      <c r="L143" s="26">
        <f t="shared" ref="L143:L151" si="19">+F143+G143+J143+K143</f>
        <v>11978550.200347856</v>
      </c>
    </row>
    <row r="144" spans="2:12" x14ac:dyDescent="0.35">
      <c r="B144" s="25" t="s">
        <v>8</v>
      </c>
      <c r="C144" s="48">
        <v>2198448.6267333333</v>
      </c>
      <c r="D144" s="48">
        <v>0</v>
      </c>
      <c r="E144" s="48">
        <v>36693.786666666667</v>
      </c>
      <c r="F144" s="26">
        <f t="shared" si="17"/>
        <v>2235142.4134</v>
      </c>
      <c r="G144" s="48">
        <v>13410665.87416894</v>
      </c>
      <c r="H144" s="48">
        <v>0</v>
      </c>
      <c r="I144" s="48">
        <v>0</v>
      </c>
      <c r="J144" s="26">
        <f t="shared" si="18"/>
        <v>0</v>
      </c>
      <c r="K144" s="26">
        <v>3017513.7988648745</v>
      </c>
      <c r="L144" s="26">
        <f t="shared" si="19"/>
        <v>18663322.086433813</v>
      </c>
    </row>
    <row r="145" spans="2:12" x14ac:dyDescent="0.35">
      <c r="B145" s="25" t="s">
        <v>9</v>
      </c>
      <c r="C145" s="48">
        <v>468756.36980000004</v>
      </c>
      <c r="D145" s="48">
        <v>0</v>
      </c>
      <c r="E145" s="48">
        <v>9263.4966666666678</v>
      </c>
      <c r="F145" s="26">
        <f t="shared" si="17"/>
        <v>478019.86646666669</v>
      </c>
      <c r="G145" s="48">
        <v>2815992.80341818</v>
      </c>
      <c r="H145" s="48">
        <v>0</v>
      </c>
      <c r="I145" s="48">
        <v>0</v>
      </c>
      <c r="J145" s="26">
        <f t="shared" si="18"/>
        <v>0</v>
      </c>
      <c r="K145" s="26">
        <v>751243.00325532525</v>
      </c>
      <c r="L145" s="26">
        <f t="shared" si="19"/>
        <v>4045255.6731401719</v>
      </c>
    </row>
    <row r="146" spans="2:12" x14ac:dyDescent="0.35">
      <c r="B146" s="25" t="s">
        <v>10</v>
      </c>
      <c r="C146" s="48">
        <v>1633862.2300000002</v>
      </c>
      <c r="D146" s="48">
        <v>0</v>
      </c>
      <c r="E146" s="48">
        <v>31505.706231362568</v>
      </c>
      <c r="F146" s="26">
        <f t="shared" si="17"/>
        <v>1665367.9362313629</v>
      </c>
      <c r="G146" s="48">
        <v>10076289.322662663</v>
      </c>
      <c r="H146" s="48">
        <v>0</v>
      </c>
      <c r="I146" s="48">
        <v>0</v>
      </c>
      <c r="J146" s="26">
        <f t="shared" si="18"/>
        <v>0</v>
      </c>
      <c r="K146" s="26">
        <v>3909970.2468887353</v>
      </c>
      <c r="L146" s="26">
        <f t="shared" si="19"/>
        <v>15651627.505782761</v>
      </c>
    </row>
    <row r="147" spans="2:12" x14ac:dyDescent="0.35">
      <c r="B147" s="25" t="s">
        <v>11</v>
      </c>
      <c r="C147" s="48">
        <v>903815.03333333321</v>
      </c>
      <c r="D147" s="48">
        <v>0</v>
      </c>
      <c r="E147" s="48">
        <v>19910.433333333334</v>
      </c>
      <c r="F147" s="26">
        <f t="shared" si="17"/>
        <v>923725.46666666656</v>
      </c>
      <c r="G147" s="48">
        <v>5574030.7091919985</v>
      </c>
      <c r="H147" s="48">
        <v>0</v>
      </c>
      <c r="I147" s="48">
        <v>0</v>
      </c>
      <c r="J147" s="26">
        <f t="shared" si="18"/>
        <v>0</v>
      </c>
      <c r="K147" s="26">
        <v>2003664.3189015973</v>
      </c>
      <c r="L147" s="26">
        <f t="shared" si="19"/>
        <v>8501420.4947602618</v>
      </c>
    </row>
    <row r="148" spans="2:12" x14ac:dyDescent="0.35">
      <c r="B148" s="25" t="s">
        <v>12</v>
      </c>
      <c r="C148" s="48">
        <v>528277.48666666669</v>
      </c>
      <c r="D148" s="48">
        <v>0</v>
      </c>
      <c r="E148" s="48">
        <v>20693.639506314641</v>
      </c>
      <c r="F148" s="26">
        <f t="shared" si="17"/>
        <v>548971.12617298134</v>
      </c>
      <c r="G148" s="48">
        <v>3255080.4822200001</v>
      </c>
      <c r="H148" s="48">
        <v>0</v>
      </c>
      <c r="I148" s="48">
        <v>0</v>
      </c>
      <c r="J148" s="26">
        <f t="shared" si="18"/>
        <v>0</v>
      </c>
      <c r="K148" s="26">
        <v>1556982.6850612939</v>
      </c>
      <c r="L148" s="26">
        <f t="shared" si="19"/>
        <v>5361034.2934542755</v>
      </c>
    </row>
    <row r="149" spans="2:12" x14ac:dyDescent="0.35">
      <c r="B149" s="25" t="s">
        <v>13</v>
      </c>
      <c r="C149" s="48">
        <v>1347634.4599999997</v>
      </c>
      <c r="D149" s="48">
        <v>0</v>
      </c>
      <c r="E149" s="48">
        <v>33355.370000000003</v>
      </c>
      <c r="F149" s="26">
        <f t="shared" si="17"/>
        <v>1380989.8299999998</v>
      </c>
      <c r="G149" s="48">
        <v>8311147.7120339992</v>
      </c>
      <c r="H149" s="48">
        <v>0</v>
      </c>
      <c r="I149" s="48">
        <v>0</v>
      </c>
      <c r="J149" s="26">
        <f t="shared" si="18"/>
        <v>0</v>
      </c>
      <c r="K149" s="26">
        <v>3619546.9861605321</v>
      </c>
      <c r="L149" s="26">
        <f t="shared" si="19"/>
        <v>13311684.52819453</v>
      </c>
    </row>
    <row r="150" spans="2:12" x14ac:dyDescent="0.35">
      <c r="B150" s="25" t="s">
        <v>14</v>
      </c>
      <c r="C150" s="48">
        <v>331780.5989333333</v>
      </c>
      <c r="D150" s="48">
        <v>0</v>
      </c>
      <c r="E150" s="48">
        <v>10377.076666666666</v>
      </c>
      <c r="F150" s="26">
        <f t="shared" si="17"/>
        <v>342157.67559999996</v>
      </c>
      <c r="G150" s="48">
        <v>1993890.2490649596</v>
      </c>
      <c r="H150" s="48">
        <v>0</v>
      </c>
      <c r="I150" s="48">
        <v>0</v>
      </c>
      <c r="J150" s="26">
        <f t="shared" si="18"/>
        <v>0</v>
      </c>
      <c r="K150" s="26">
        <v>622451.0216426705</v>
      </c>
      <c r="L150" s="26">
        <f t="shared" si="19"/>
        <v>2958498.9463076298</v>
      </c>
    </row>
    <row r="151" spans="2:12" x14ac:dyDescent="0.35">
      <c r="B151" s="25" t="s">
        <v>15</v>
      </c>
      <c r="C151" s="48">
        <v>193908.38</v>
      </c>
      <c r="D151" s="48">
        <v>0</v>
      </c>
      <c r="E151" s="48">
        <v>3251.5933333333337</v>
      </c>
      <c r="F151" s="26">
        <f t="shared" si="17"/>
        <v>197159.97333333333</v>
      </c>
      <c r="G151" s="48">
        <v>1195871.1767519997</v>
      </c>
      <c r="H151" s="48">
        <v>0</v>
      </c>
      <c r="I151" s="48">
        <v>0</v>
      </c>
      <c r="J151" s="26">
        <f t="shared" si="18"/>
        <v>0</v>
      </c>
      <c r="K151" s="26">
        <v>411977.24083530996</v>
      </c>
      <c r="L151" s="26">
        <f t="shared" si="19"/>
        <v>1805008.390920643</v>
      </c>
    </row>
    <row r="152" spans="2:12" x14ac:dyDescent="0.35">
      <c r="C152" s="50"/>
      <c r="D152" s="69"/>
      <c r="E152" s="69"/>
      <c r="F152" s="69">
        <f t="shared" ref="D152:G152" si="20">SUM(F142:F151)</f>
        <v>11169617.512045944</v>
      </c>
      <c r="G152" s="69">
        <f t="shared" si="20"/>
        <v>67258445.988142893</v>
      </c>
      <c r="H152" s="8"/>
      <c r="I152" s="8"/>
      <c r="J152" s="8"/>
      <c r="K152" s="50">
        <f>SUM(K142:K151)</f>
        <v>21998059.524947885</v>
      </c>
      <c r="L152" s="8"/>
    </row>
    <row r="153" spans="2:12" x14ac:dyDescent="0.35">
      <c r="C153" s="50"/>
      <c r="D153" s="69"/>
      <c r="E153" s="69"/>
      <c r="F153" s="69"/>
      <c r="G153" s="69"/>
      <c r="H153" s="8"/>
      <c r="I153" s="8"/>
      <c r="J153" s="8"/>
      <c r="K153" s="50"/>
      <c r="L153" s="8"/>
    </row>
    <row r="154" spans="2:12" x14ac:dyDescent="0.35">
      <c r="B154" s="8" t="s">
        <v>81</v>
      </c>
    </row>
    <row r="155" spans="2:12" ht="15" thickBot="1" x14ac:dyDescent="0.4"/>
    <row r="156" spans="2:12" ht="17" thickBot="1" x14ac:dyDescent="0.4">
      <c r="B156" s="51"/>
      <c r="C156" s="15" t="s">
        <v>70</v>
      </c>
      <c r="D156" s="15" t="str">
        <f>+L141</f>
        <v>Totaal aanvullend</v>
      </c>
      <c r="E156" s="52" t="s">
        <v>82</v>
      </c>
    </row>
    <row r="157" spans="2:12" x14ac:dyDescent="0.35">
      <c r="B157" s="16" t="s">
        <v>6</v>
      </c>
      <c r="C157" s="68">
        <f>+I128</f>
        <v>118385062.56672657</v>
      </c>
      <c r="D157" s="54">
        <f>+L142</f>
        <v>18149720.905794784</v>
      </c>
      <c r="E157" s="55">
        <f>+D157+C157</f>
        <v>136534783.47252136</v>
      </c>
    </row>
    <row r="158" spans="2:12" x14ac:dyDescent="0.35">
      <c r="B158" s="19" t="s">
        <v>7</v>
      </c>
      <c r="C158" s="68">
        <f>+I129</f>
        <v>114835662.31157784</v>
      </c>
      <c r="D158" s="54">
        <f>+L143</f>
        <v>11978550.200347856</v>
      </c>
      <c r="E158" s="57">
        <f t="shared" ref="E158:E166" si="21">+D158+C158</f>
        <v>126814212.5119257</v>
      </c>
    </row>
    <row r="159" spans="2:12" x14ac:dyDescent="0.35">
      <c r="B159" s="19" t="s">
        <v>8</v>
      </c>
      <c r="C159" s="68">
        <f>+I130</f>
        <v>82816030.709328696</v>
      </c>
      <c r="D159" s="54">
        <f>+L144</f>
        <v>18663322.086433813</v>
      </c>
      <c r="E159" s="57">
        <f t="shared" si="21"/>
        <v>101479352.79576251</v>
      </c>
    </row>
    <row r="160" spans="2:12" x14ac:dyDescent="0.35">
      <c r="B160" s="19" t="s">
        <v>9</v>
      </c>
      <c r="C160" s="68">
        <f>+I131</f>
        <v>31380427.521050602</v>
      </c>
      <c r="D160" s="54">
        <f>+L145</f>
        <v>4045255.6731401719</v>
      </c>
      <c r="E160" s="57">
        <f t="shared" si="21"/>
        <v>35425683.19419077</v>
      </c>
    </row>
    <row r="161" spans="2:5" x14ac:dyDescent="0.35">
      <c r="B161" s="19" t="s">
        <v>10</v>
      </c>
      <c r="C161" s="68">
        <f>+I132</f>
        <v>145284047.80400503</v>
      </c>
      <c r="D161" s="54">
        <f>+L146</f>
        <v>15651627.505782761</v>
      </c>
      <c r="E161" s="57">
        <f t="shared" si="21"/>
        <v>160935675.30978778</v>
      </c>
    </row>
    <row r="162" spans="2:5" x14ac:dyDescent="0.35">
      <c r="B162" s="19" t="s">
        <v>11</v>
      </c>
      <c r="C162" s="68">
        <f>+I133</f>
        <v>65246444.819316909</v>
      </c>
      <c r="D162" s="54">
        <f>+L147</f>
        <v>8501420.4947602618</v>
      </c>
      <c r="E162" s="57">
        <f t="shared" si="21"/>
        <v>73747865.314077169</v>
      </c>
    </row>
    <row r="163" spans="2:5" x14ac:dyDescent="0.35">
      <c r="B163" s="19" t="s">
        <v>12</v>
      </c>
      <c r="C163" s="68">
        <f>+I134</f>
        <v>55457953.256421909</v>
      </c>
      <c r="D163" s="54">
        <f>+L148</f>
        <v>5361034.2934542755</v>
      </c>
      <c r="E163" s="57">
        <f t="shared" si="21"/>
        <v>60818987.549876183</v>
      </c>
    </row>
    <row r="164" spans="2:5" x14ac:dyDescent="0.35">
      <c r="B164" s="19" t="s">
        <v>13</v>
      </c>
      <c r="C164" s="68">
        <f>+I135</f>
        <v>122719720.51931921</v>
      </c>
      <c r="D164" s="54">
        <f>+L149</f>
        <v>13311684.52819453</v>
      </c>
      <c r="E164" s="57">
        <f t="shared" si="21"/>
        <v>136031405.04751372</v>
      </c>
    </row>
    <row r="165" spans="2:5" x14ac:dyDescent="0.35">
      <c r="B165" s="19" t="s">
        <v>14</v>
      </c>
      <c r="C165" s="68">
        <f>+I136</f>
        <v>24433386.60457892</v>
      </c>
      <c r="D165" s="54">
        <f>+L150</f>
        <v>2958498.9463076298</v>
      </c>
      <c r="E165" s="57">
        <f t="shared" si="21"/>
        <v>27391885.550886549</v>
      </c>
    </row>
    <row r="166" spans="2:5" ht="15" thickBot="1" x14ac:dyDescent="0.4">
      <c r="B166" s="20" t="s">
        <v>15</v>
      </c>
      <c r="C166" s="68">
        <f>+I137</f>
        <v>14691700.401356449</v>
      </c>
      <c r="D166" s="54">
        <f>+L151</f>
        <v>1805008.390920643</v>
      </c>
      <c r="E166" s="58">
        <f t="shared" si="21"/>
        <v>16496708.792277092</v>
      </c>
    </row>
    <row r="167" spans="2:5" x14ac:dyDescent="0.35">
      <c r="C167" s="45">
        <f>SUM(C157:C166)</f>
        <v>775250436.51368213</v>
      </c>
      <c r="D167" s="45">
        <f>SUM(D157:D166)</f>
        <v>100426123.02513672</v>
      </c>
      <c r="E167" s="45">
        <f>SUM(E157:E166)</f>
        <v>875676559.53881872</v>
      </c>
    </row>
  </sheetData>
  <mergeCells count="16">
    <mergeCell ref="B8:J8"/>
    <mergeCell ref="C96:C105"/>
    <mergeCell ref="E96:E105"/>
    <mergeCell ref="F96:F105"/>
    <mergeCell ref="H96:H105"/>
    <mergeCell ref="B108:J108"/>
    <mergeCell ref="D128:D137"/>
    <mergeCell ref="E128:E137"/>
    <mergeCell ref="F128:F137"/>
    <mergeCell ref="G128:G137"/>
    <mergeCell ref="B2:J3"/>
    <mergeCell ref="B7:J7"/>
    <mergeCell ref="C45:C54"/>
    <mergeCell ref="E45:E54"/>
    <mergeCell ref="F45:F54"/>
    <mergeCell ref="H45:H54"/>
  </mergeCells>
  <hyperlinks>
    <hyperlink ref="E89:I89" r:id="rId1" display="https://bestat.statbel.fgov.be/bestat/crosstable.xhtml?view=876acb9d-4eae-408e-93d9-88eae4ad1eaf" xr:uid="{28D3D40D-765E-422E-A502-2A7AFD1BADE6}"/>
    <hyperlink ref="E115:I115" r:id="rId2" display="https://www.plan.be/databases/17-nl-indexcijfer_der_consumptieprijzen_inflatievooruitzichten" xr:uid="{0387FE5F-6391-476C-A7AA-841916D68A4B}"/>
  </hyperlinks>
  <pageMargins left="0.7" right="0.7" top="0.75" bottom="0.75" header="0.3" footer="0.3"/>
  <pageSetup paperSize="9" scale="37" orientation="portrait" r:id="rId3"/>
  <rowBreaks count="1" manualBreakCount="1">
    <brk id="92" max="16383"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aabf7fb0be0efa736609aefc912e377d">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ff94e258df4ab531b6825425a8be82e0"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Props1.xml><?xml version="1.0" encoding="utf-8"?>
<ds:datastoreItem xmlns:ds="http://schemas.openxmlformats.org/officeDocument/2006/customXml" ds:itemID="{26113223-7EA8-4BE9-A1F7-FB111DEBF91A}"/>
</file>

<file path=customXml/itemProps2.xml><?xml version="1.0" encoding="utf-8"?>
<ds:datastoreItem xmlns:ds="http://schemas.openxmlformats.org/officeDocument/2006/customXml" ds:itemID="{1400E57B-D1D9-49E7-BD45-652E047466ED}"/>
</file>

<file path=customXml/itemProps3.xml><?xml version="1.0" encoding="utf-8"?>
<ds:datastoreItem xmlns:ds="http://schemas.openxmlformats.org/officeDocument/2006/customXml" ds:itemID="{382123CE-ED8B-4019-891F-6C447AAC20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TI_En_Elek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Bert Stockman</cp:lastModifiedBy>
  <dcterms:created xsi:type="dcterms:W3CDTF">2021-10-05T05:51:37Z</dcterms:created>
  <dcterms:modified xsi:type="dcterms:W3CDTF">2021-10-05T06:13:26Z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ies>
</file>