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1/"/>
    </mc:Choice>
  </mc:AlternateContent>
  <xr:revisionPtr revIDLastSave="0" documentId="8_{3D7661B8-312D-404B-B289-752C62A50A2B}" xr6:coauthVersionLast="45" xr6:coauthVersionMax="45" xr10:uidLastSave="{00000000-0000-0000-0000-000000000000}"/>
  <bookViews>
    <workbookView xWindow="-110" yWindow="-110" windowWidth="19420" windowHeight="10560" xr2:uid="{ED39D46F-FC58-49DE-9351-F8E9FFB4D704}"/>
  </bookViews>
  <sheets>
    <sheet name="TI_En_Elek" sheetId="1" r:id="rId1"/>
  </sheets>
  <externalReferences>
    <externalReference r:id="rId2"/>
    <externalReference r:id="rId3"/>
    <externalReference r:id="rId4"/>
  </externalReferences>
  <definedNames>
    <definedName name="Aftakklem_LS">'[2]BASISPRIJZEN MATERIAAL'!$I$188</definedName>
    <definedName name="Codes">'[3]Codes des IM'!$B$2:$D$23</definedName>
    <definedName name="Forfaitair_feeder">75000</definedName>
    <definedName name="Hangslot">'[2]BASISPRIJZEN MATERIAAL'!$I$138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'[2]BASISPRIJZEN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'[2]BASISPRIJZEN MATERIAAL'!$I$159</definedName>
    <definedName name="Slot_voor_sleutelkastje">'[2]BASISPRIJZEN MATERIAAL'!$I$158</definedName>
    <definedName name="Terminal_kunststof">'[2]BASISPRIJZEN MATERIAAL'!$I$195</definedName>
    <definedName name="Terminal_LS">'[2]BASISPRIJZEN MATERIAAL'!$I$200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Wikkeldoos_LS">'[2]BASISPRIJZEN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1" l="1"/>
  <c r="K68" i="1"/>
  <c r="L68" i="1" s="1"/>
  <c r="D82" i="1" s="1"/>
  <c r="J68" i="1"/>
  <c r="F68" i="1"/>
  <c r="K67" i="1"/>
  <c r="L67" i="1" s="1"/>
  <c r="D81" i="1" s="1"/>
  <c r="J67" i="1"/>
  <c r="F67" i="1"/>
  <c r="K66" i="1"/>
  <c r="L66" i="1" s="1"/>
  <c r="D80" i="1" s="1"/>
  <c r="J66" i="1"/>
  <c r="F66" i="1"/>
  <c r="K65" i="1"/>
  <c r="L65" i="1" s="1"/>
  <c r="D79" i="1" s="1"/>
  <c r="J65" i="1"/>
  <c r="F65" i="1"/>
  <c r="K64" i="1"/>
  <c r="L64" i="1" s="1"/>
  <c r="D78" i="1" s="1"/>
  <c r="J64" i="1"/>
  <c r="F64" i="1"/>
  <c r="K63" i="1"/>
  <c r="L63" i="1" s="1"/>
  <c r="D77" i="1" s="1"/>
  <c r="J63" i="1"/>
  <c r="F63" i="1"/>
  <c r="K62" i="1"/>
  <c r="L62" i="1" s="1"/>
  <c r="D76" i="1" s="1"/>
  <c r="J62" i="1"/>
  <c r="F62" i="1"/>
  <c r="K61" i="1"/>
  <c r="L61" i="1" s="1"/>
  <c r="D75" i="1" s="1"/>
  <c r="J61" i="1"/>
  <c r="F61" i="1"/>
  <c r="K60" i="1"/>
  <c r="L60" i="1" s="1"/>
  <c r="D74" i="1" s="1"/>
  <c r="J60" i="1"/>
  <c r="F60" i="1"/>
  <c r="K59" i="1"/>
  <c r="L59" i="1" s="1"/>
  <c r="D73" i="1" s="1"/>
  <c r="J59" i="1"/>
  <c r="F59" i="1"/>
  <c r="F45" i="1"/>
  <c r="E45" i="1"/>
  <c r="J36" i="1"/>
  <c r="C36" i="1"/>
  <c r="H24" i="1"/>
  <c r="H22" i="1"/>
  <c r="H20" i="1"/>
  <c r="H19" i="1"/>
  <c r="H18" i="1"/>
  <c r="H17" i="1"/>
  <c r="G30" i="1"/>
  <c r="E30" i="1"/>
  <c r="D30" i="1"/>
  <c r="C30" i="1"/>
  <c r="D47" i="1" l="1"/>
  <c r="D51" i="1"/>
  <c r="D49" i="1"/>
  <c r="D46" i="1"/>
  <c r="D48" i="1"/>
  <c r="D53" i="1"/>
  <c r="H25" i="1"/>
  <c r="H23" i="1"/>
  <c r="H16" i="1"/>
  <c r="H21" i="1"/>
  <c r="F30" i="1"/>
  <c r="I30" i="1" s="1"/>
  <c r="C45" i="1" l="1"/>
  <c r="J37" i="1"/>
  <c r="D50" i="1"/>
  <c r="J30" i="1"/>
  <c r="J38" i="1" s="1"/>
  <c r="J39" i="1" s="1"/>
  <c r="D52" i="1"/>
  <c r="D45" i="1"/>
  <c r="D54" i="1"/>
  <c r="I53" i="1" l="1"/>
  <c r="C81" i="1" s="1"/>
  <c r="E81" i="1" s="1"/>
  <c r="I49" i="1"/>
  <c r="C77" i="1" s="1"/>
  <c r="E77" i="1" s="1"/>
  <c r="I45" i="1"/>
  <c r="I54" i="1"/>
  <c r="C82" i="1" s="1"/>
  <c r="E82" i="1" s="1"/>
  <c r="I50" i="1"/>
  <c r="C78" i="1" s="1"/>
  <c r="E78" i="1" s="1"/>
  <c r="I46" i="1"/>
  <c r="C74" i="1" s="1"/>
  <c r="E74" i="1" s="1"/>
  <c r="I51" i="1"/>
  <c r="C79" i="1" s="1"/>
  <c r="E79" i="1" s="1"/>
  <c r="I47" i="1"/>
  <c r="C75" i="1" s="1"/>
  <c r="E75" i="1" s="1"/>
  <c r="I48" i="1"/>
  <c r="C76" i="1" s="1"/>
  <c r="E76" i="1" s="1"/>
  <c r="I52" i="1"/>
  <c r="C80" i="1" s="1"/>
  <c r="E80" i="1" s="1"/>
  <c r="C73" i="1" l="1"/>
  <c r="E73" i="1" s="1"/>
</calcChain>
</file>

<file path=xl/sharedStrings.xml><?xml version="1.0" encoding="utf-8"?>
<sst xmlns="http://schemas.openxmlformats.org/spreadsheetml/2006/main" count="89" uniqueCount="54">
  <si>
    <t>ELEKTRICITEIT</t>
  </si>
  <si>
    <t>Toegelaten inkomen uit periodieke distributienettarieven voor endogene kosten</t>
  </si>
  <si>
    <t>Inkomsten 2021</t>
  </si>
  <si>
    <t>EX-ANTE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</si>
  <si>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</si>
  <si>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</si>
  <si>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t>Gaselwest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</si>
  <si>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</si>
  <si>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</si>
  <si>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</si>
  <si>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</si>
  <si>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</si>
  <si>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</si>
  <si>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</si>
  <si>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PBE</t>
  </si>
  <si>
    <t>Sibelgas</t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</si>
  <si>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</si>
  <si>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</si>
  <si>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r>
      <t>TK</t>
    </r>
    <r>
      <rPr>
        <b/>
        <vertAlign val="subscript"/>
        <sz val="11"/>
        <color indexed="8"/>
        <rFont val="Calibri"/>
        <family val="2"/>
      </rPr>
      <t>trend,2021</t>
    </r>
  </si>
  <si>
    <r>
      <t>TK</t>
    </r>
    <r>
      <rPr>
        <b/>
        <vertAlign val="subscript"/>
        <sz val="11"/>
        <color indexed="8"/>
        <rFont val="Calibri"/>
        <family val="2"/>
      </rPr>
      <t>trend,2024</t>
    </r>
  </si>
  <si>
    <t xml:space="preserve">Evolutie sector </t>
  </si>
  <si>
    <t>Inflatieverwachtingen in 2020 o.b.v. consumptieprijsindex</t>
  </si>
  <si>
    <t>X-waarde reguleringsperiode 2021-2024</t>
  </si>
  <si>
    <r>
      <t>I</t>
    </r>
    <r>
      <rPr>
        <b/>
        <vertAlign val="subscript"/>
        <sz val="11"/>
        <color indexed="8"/>
        <rFont val="Calibri"/>
        <family val="2"/>
      </rPr>
      <t>2021,v</t>
    </r>
  </si>
  <si>
    <t>FP</t>
  </si>
  <si>
    <t>beginjaar</t>
  </si>
  <si>
    <r>
      <t>I</t>
    </r>
    <r>
      <rPr>
        <b/>
        <vertAlign val="subscript"/>
        <sz val="11"/>
        <color indexed="8"/>
        <rFont val="Calibri"/>
        <family val="2"/>
      </rPr>
      <t>2020</t>
    </r>
  </si>
  <si>
    <t>FOD</t>
  </si>
  <si>
    <t>eindjaar</t>
  </si>
  <si>
    <r>
      <t>CPI</t>
    </r>
    <r>
      <rPr>
        <b/>
        <vertAlign val="subscript"/>
        <sz val="11"/>
        <color indexed="8"/>
        <rFont val="Calibri"/>
        <family val="2"/>
      </rPr>
      <t>2021,v</t>
    </r>
  </si>
  <si>
    <t>p</t>
  </si>
  <si>
    <r>
      <t>TI</t>
    </r>
    <r>
      <rPr>
        <b/>
        <vertAlign val="subscript"/>
        <sz val="10"/>
        <color indexed="8"/>
        <rFont val="Calibri"/>
        <family val="2"/>
      </rPr>
      <t>trend,2021</t>
    </r>
  </si>
  <si>
    <t>Netto frontier shift elektriciteit</t>
  </si>
  <si>
    <r>
      <t>TI</t>
    </r>
    <r>
      <rPr>
        <b/>
        <vertAlign val="subscript"/>
        <sz val="10"/>
        <color indexed="8"/>
        <rFont val="Calibri"/>
        <family val="2"/>
      </rPr>
      <t>trend,2024</t>
    </r>
  </si>
  <si>
    <t>x</t>
  </si>
  <si>
    <t>x"</t>
  </si>
  <si>
    <t>Toegelaten inkomsten endogene kosten basisgedeelte 2021</t>
  </si>
  <si>
    <r>
      <t>q</t>
    </r>
    <r>
      <rPr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</si>
  <si>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21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</si>
  <si>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</t>
    </r>
  </si>
  <si>
    <t>Ex-ante aanvullende endogene termen 2021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</si>
  <si>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</si>
  <si>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</si>
  <si>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H,2021,i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</si>
  <si>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</si>
  <si>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</si>
  <si>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</si>
  <si>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</si>
  <si>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</si>
  <si>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V</t>
    </r>
    <r>
      <rPr>
        <b/>
        <vertAlign val="subscript"/>
        <sz val="10"/>
        <color indexed="8"/>
        <rFont val="Calibri"/>
        <family val="2"/>
      </rPr>
      <t>2021,i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2021,i</t>
    </r>
  </si>
  <si>
    <t>Totaal aanvullend</t>
  </si>
  <si>
    <t>Toegelaten inkomsten endogene kosten 2021</t>
  </si>
  <si>
    <r>
      <t>TI</t>
    </r>
    <r>
      <rPr>
        <b/>
        <vertAlign val="subscript"/>
        <sz val="10"/>
        <color indexed="8"/>
        <rFont val="Calibri"/>
        <family val="2"/>
      </rPr>
      <t>end,2021,i</t>
    </r>
  </si>
  <si>
    <t>Totale geactualiseerde endogene kosten per distributienetbeheerder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</si>
</sst>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000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bscript"/>
      <sz val="11"/>
      <color indexed="8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0" xfId="0" applyFont="1" applyFill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1" xfId="0" applyFill="1" applyBorder="1"/>
    <xf numFmtId="44" fontId="1" fillId="0" borderId="10" xfId="1" applyFont="1" applyFill="1" applyBorder="1"/>
    <xf numFmtId="10" fontId="1" fillId="0" borderId="10" xfId="1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164" fontId="1" fillId="0" borderId="0" xfId="1" applyNumberFormat="1" applyFont="1" applyFill="1" applyBorder="1"/>
    <xf numFmtId="10" fontId="1" fillId="0" borderId="0" xfId="1" applyNumberFormat="1" applyFont="1" applyFill="1" applyBorder="1"/>
    <xf numFmtId="44" fontId="0" fillId="0" borderId="10" xfId="1" applyFont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44" fontId="1" fillId="2" borderId="10" xfId="1" applyFont="1" applyFill="1" applyBorder="1"/>
    <xf numFmtId="44" fontId="0" fillId="2" borderId="0" xfId="1" applyFont="1" applyFill="1"/>
    <xf numFmtId="0" fontId="2" fillId="2" borderId="10" xfId="0" applyFont="1" applyFill="1" applyBorder="1"/>
    <xf numFmtId="2" fontId="0" fillId="5" borderId="10" xfId="0" applyNumberFormat="1" applyFill="1" applyBorder="1"/>
    <xf numFmtId="10" fontId="1" fillId="2" borderId="10" xfId="2" applyNumberFormat="1" applyFont="1" applyFill="1" applyBorder="1"/>
    <xf numFmtId="0" fontId="2" fillId="2" borderId="10" xfId="0" applyFont="1" applyFill="1" applyBorder="1" applyAlignment="1">
      <alignment horizontal="left"/>
    </xf>
    <xf numFmtId="164" fontId="1" fillId="2" borderId="10" xfId="1" applyNumberFormat="1" applyFont="1" applyFill="1" applyBorder="1"/>
    <xf numFmtId="165" fontId="0" fillId="2" borderId="10" xfId="0" applyNumberFormat="1" applyFill="1" applyBorder="1"/>
    <xf numFmtId="10" fontId="0" fillId="0" borderId="10" xfId="0" applyNumberFormat="1" applyBorder="1"/>
    <xf numFmtId="4" fontId="0" fillId="2" borderId="0" xfId="0" applyNumberFormat="1" applyFill="1"/>
    <xf numFmtId="44" fontId="0" fillId="2" borderId="10" xfId="1" applyFont="1" applyFill="1" applyBorder="1" applyAlignment="1">
      <alignment horizontal="center" vertical="center"/>
    </xf>
    <xf numFmtId="10" fontId="1" fillId="2" borderId="10" xfId="1" applyNumberFormat="1" applyFont="1" applyFill="1" applyBorder="1"/>
    <xf numFmtId="10" fontId="0" fillId="2" borderId="10" xfId="0" applyNumberFormat="1" applyFill="1" applyBorder="1" applyAlignment="1">
      <alignment horizontal="center" vertical="center"/>
    </xf>
    <xf numFmtId="166" fontId="0" fillId="5" borderId="10" xfId="2" applyNumberFormat="1" applyFont="1" applyFill="1" applyBorder="1" applyAlignment="1">
      <alignment vertical="center"/>
    </xf>
    <xf numFmtId="44" fontId="0" fillId="0" borderId="10" xfId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2" borderId="0" xfId="0" applyNumberFormat="1" applyFill="1"/>
    <xf numFmtId="0" fontId="2" fillId="2" borderId="10" xfId="0" quotePrefix="1" applyFont="1" applyFill="1" applyBorder="1" applyAlignment="1">
      <alignment horizontal="center" vertical="center"/>
    </xf>
    <xf numFmtId="44" fontId="1" fillId="5" borderId="10" xfId="1" applyFont="1" applyFill="1" applyBorder="1"/>
    <xf numFmtId="0" fontId="0" fillId="2" borderId="14" xfId="0" applyFill="1" applyBorder="1"/>
    <xf numFmtId="0" fontId="2" fillId="2" borderId="15" xfId="0" applyFont="1" applyFill="1" applyBorder="1" applyAlignment="1">
      <alignment horizontal="center" vertical="center"/>
    </xf>
    <xf numFmtId="44" fontId="1" fillId="2" borderId="16" xfId="1" applyFont="1" applyFill="1" applyBorder="1"/>
    <xf numFmtId="44" fontId="1" fillId="2" borderId="17" xfId="1" applyFont="1" applyFill="1" applyBorder="1"/>
    <xf numFmtId="44" fontId="1" fillId="2" borderId="18" xfId="1" applyFont="1" applyFill="1" applyBorder="1"/>
    <xf numFmtId="9" fontId="0" fillId="2" borderId="0" xfId="2" applyFont="1" applyFill="1"/>
    <xf numFmtId="44" fontId="1" fillId="2" borderId="12" xfId="1" applyFont="1" applyFill="1" applyBorder="1"/>
    <xf numFmtId="44" fontId="1" fillId="2" borderId="13" xfId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2%20Toegelaten%20inkomens\T.I.%202021\ENDO\Bijlage%2010%20-%20Ex-ante%20T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stabel"/>
      <sheetName val="wacc"/>
      <sheetName val="T1"/>
      <sheetName val="T2"/>
      <sheetName val="T3"/>
      <sheetName val="T4"/>
      <sheetName val="T5"/>
      <sheetName val="TI_Elek"/>
      <sheetName val="TI_Ex_Elek"/>
      <sheetName val="TI_En_Elek"/>
      <sheetName val="T9"/>
      <sheetName val="Gemeenteversch '19-'21 - ELEK"/>
      <sheetName val="T10"/>
      <sheetName val="TI_Gas"/>
      <sheetName val="TI_Ex_Gas"/>
      <sheetName val="TI_En_Gas"/>
      <sheetName val="T14"/>
      <sheetName val="Gemeenteversch '19-'21 - GAS"/>
      <sheetName val="T15"/>
      <sheetName val="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G6" t="str">
            <v>Gaselwest</v>
          </cell>
          <cell r="H6">
            <v>1592022.0637800877</v>
          </cell>
        </row>
        <row r="7">
          <cell r="G7" t="str">
            <v>Fluvius Antwerpen</v>
          </cell>
          <cell r="H7">
            <v>2005342.6801640664</v>
          </cell>
        </row>
        <row r="8">
          <cell r="G8" t="str">
            <v>Fluvius Limburg</v>
          </cell>
          <cell r="H8">
            <v>2023410.7567726776</v>
          </cell>
        </row>
        <row r="9">
          <cell r="G9" t="str">
            <v>Fluvius West</v>
          </cell>
          <cell r="H9">
            <v>434702.95556576701</v>
          </cell>
        </row>
        <row r="10">
          <cell r="G10" t="str">
            <v>Imewo</v>
          </cell>
          <cell r="H10">
            <v>2809211.7217034176</v>
          </cell>
        </row>
        <row r="11">
          <cell r="G11" t="str">
            <v>Intergem</v>
          </cell>
          <cell r="H11">
            <v>1136043.6807284409</v>
          </cell>
        </row>
        <row r="12">
          <cell r="G12" t="str">
            <v>Iveka</v>
          </cell>
          <cell r="H12">
            <v>1381192.19944765</v>
          </cell>
        </row>
        <row r="13">
          <cell r="G13" t="str">
            <v>Iverlek</v>
          </cell>
          <cell r="H13">
            <v>2131819.2164243469</v>
          </cell>
        </row>
        <row r="14">
          <cell r="G14" t="str">
            <v>PBE</v>
          </cell>
          <cell r="H14">
            <v>284278.19942188257</v>
          </cell>
        </row>
        <row r="15">
          <cell r="G15" t="str">
            <v>Sibelgas</v>
          </cell>
          <cell r="H15">
            <v>242261.9029296675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0422-E46C-459B-99C9-933835DF3C28}">
  <dimension ref="B1:L83"/>
  <sheetViews>
    <sheetView showGridLines="0" tabSelected="1" zoomScale="85" zoomScaleNormal="85" workbookViewId="0">
      <selection activeCell="B11" sqref="B11"/>
    </sheetView>
  </sheetViews>
  <sheetFormatPr defaultColWidth="9.1796875" defaultRowHeight="14.5" x14ac:dyDescent="0.35"/>
  <cols>
    <col min="1" max="1" width="9.1796875" style="1"/>
    <col min="2" max="2" width="19.453125" style="1" customWidth="1"/>
    <col min="3" max="21" width="17.81640625" style="1" customWidth="1"/>
    <col min="22" max="16384" width="9.1796875" style="1"/>
  </cols>
  <sheetData>
    <row r="1" spans="2:10" ht="15" thickBot="1" x14ac:dyDescent="0.4"/>
    <row r="2" spans="2:10" x14ac:dyDescent="0.35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2:10" ht="15" thickBot="1" x14ac:dyDescent="0.4">
      <c r="B3" s="5"/>
      <c r="C3" s="6"/>
      <c r="D3" s="6"/>
      <c r="E3" s="6"/>
      <c r="F3" s="6"/>
      <c r="G3" s="6"/>
      <c r="H3" s="6"/>
      <c r="I3" s="6"/>
      <c r="J3" s="7"/>
    </row>
    <row r="5" spans="2:10" x14ac:dyDescent="0.35">
      <c r="B5" s="8" t="s">
        <v>1</v>
      </c>
    </row>
    <row r="6" spans="2:10" ht="15" thickBot="1" x14ac:dyDescent="0.4"/>
    <row r="7" spans="2:10" ht="21.5" thickBot="1" x14ac:dyDescent="0.55000000000000004">
      <c r="B7" s="9" t="s">
        <v>2</v>
      </c>
      <c r="C7" s="10"/>
      <c r="D7" s="10"/>
      <c r="E7" s="10"/>
      <c r="F7" s="10"/>
      <c r="G7" s="10"/>
      <c r="H7" s="10"/>
      <c r="I7" s="10"/>
      <c r="J7" s="11"/>
    </row>
    <row r="10" spans="2:10" x14ac:dyDescent="0.35">
      <c r="B10" s="12" t="s">
        <v>3</v>
      </c>
      <c r="C10" s="12"/>
      <c r="D10" s="12"/>
      <c r="E10" s="12"/>
      <c r="F10" s="12"/>
      <c r="G10" s="12"/>
      <c r="H10" s="12"/>
      <c r="I10" s="12"/>
      <c r="J10" s="12"/>
    </row>
    <row r="13" spans="2:10" x14ac:dyDescent="0.35">
      <c r="B13" s="8" t="s">
        <v>53</v>
      </c>
    </row>
    <row r="14" spans="2:10" x14ac:dyDescent="0.35">
      <c r="C14" s="13"/>
    </row>
    <row r="15" spans="2:10" ht="17" thickBot="1" x14ac:dyDescent="0.5">
      <c r="B15" s="14" t="s">
        <v>4</v>
      </c>
      <c r="C15" s="15">
        <v>2015</v>
      </c>
      <c r="D15" s="15">
        <v>2016</v>
      </c>
      <c r="E15" s="15">
        <v>2017</v>
      </c>
      <c r="F15" s="15">
        <v>2018</v>
      </c>
      <c r="G15" s="15">
        <v>2019</v>
      </c>
      <c r="H15" s="15" t="s">
        <v>5</v>
      </c>
    </row>
    <row r="16" spans="2:10" x14ac:dyDescent="0.35">
      <c r="B16" s="16" t="s">
        <v>6</v>
      </c>
      <c r="C16" s="17">
        <v>124468558.13767883</v>
      </c>
      <c r="D16" s="17">
        <v>126360995.38617671</v>
      </c>
      <c r="E16" s="17">
        <v>114238966.11957267</v>
      </c>
      <c r="F16" s="17">
        <v>118425882.358246</v>
      </c>
      <c r="G16" s="17">
        <v>125718079.45323125</v>
      </c>
      <c r="H16" s="18">
        <f t="shared" ref="H16:H25" si="0">SUM(C16:G16)/SUM($C$16:$G$25)</f>
        <v>0.15221910020475304</v>
      </c>
    </row>
    <row r="17" spans="2:10" x14ac:dyDescent="0.35">
      <c r="B17" s="19" t="s">
        <v>7</v>
      </c>
      <c r="C17" s="17">
        <v>122062788.90057094</v>
      </c>
      <c r="D17" s="17">
        <v>122452823.70982459</v>
      </c>
      <c r="E17" s="17">
        <v>113634145.62702817</v>
      </c>
      <c r="F17" s="17">
        <v>117640637.69391486</v>
      </c>
      <c r="G17" s="17">
        <v>116422043.2741729</v>
      </c>
      <c r="H17" s="18">
        <f t="shared" si="0"/>
        <v>0.14797143422052109</v>
      </c>
    </row>
    <row r="18" spans="2:10" x14ac:dyDescent="0.35">
      <c r="B18" s="19" t="s">
        <v>8</v>
      </c>
      <c r="C18" s="17">
        <v>86601652.384660378</v>
      </c>
      <c r="D18" s="17">
        <v>86238348.35365814</v>
      </c>
      <c r="E18" s="17">
        <v>86073837.005265385</v>
      </c>
      <c r="F18" s="17">
        <v>86618328.730178416</v>
      </c>
      <c r="G18" s="17">
        <v>86575163.138965249</v>
      </c>
      <c r="H18" s="18">
        <f t="shared" si="0"/>
        <v>0.10796723788134791</v>
      </c>
    </row>
    <row r="19" spans="2:10" x14ac:dyDescent="0.35">
      <c r="B19" s="19" t="s">
        <v>9</v>
      </c>
      <c r="C19" s="17">
        <v>33988998.988161415</v>
      </c>
      <c r="D19" s="17">
        <v>34634421.422783993</v>
      </c>
      <c r="E19" s="17">
        <v>31579306.676891509</v>
      </c>
      <c r="F19" s="17">
        <v>30306926.485843819</v>
      </c>
      <c r="G19" s="17">
        <v>32252193.795135163</v>
      </c>
      <c r="H19" s="18">
        <f t="shared" si="0"/>
        <v>4.0668014376488794E-2</v>
      </c>
    </row>
    <row r="20" spans="2:10" x14ac:dyDescent="0.35">
      <c r="B20" s="19" t="s">
        <v>10</v>
      </c>
      <c r="C20" s="17">
        <v>150947099.04313526</v>
      </c>
      <c r="D20" s="17">
        <v>148603957.30052391</v>
      </c>
      <c r="E20" s="17">
        <v>144395138.74294516</v>
      </c>
      <c r="F20" s="17">
        <v>149269075.22566837</v>
      </c>
      <c r="G20" s="17">
        <v>155302332.50171638</v>
      </c>
      <c r="H20" s="18">
        <f t="shared" si="0"/>
        <v>0.18702616813703285</v>
      </c>
    </row>
    <row r="21" spans="2:10" x14ac:dyDescent="0.35">
      <c r="B21" s="19" t="s">
        <v>11</v>
      </c>
      <c r="C21" s="17">
        <v>69010469.050039232</v>
      </c>
      <c r="D21" s="17">
        <v>67428234.870043203</v>
      </c>
      <c r="E21" s="17">
        <v>64969690.012698971</v>
      </c>
      <c r="F21" s="17">
        <v>64805675.272451863</v>
      </c>
      <c r="G21" s="17">
        <v>70522732.978376523</v>
      </c>
      <c r="H21" s="18">
        <f>SUM(C21:G21)/SUM($C$16:$G$25)</f>
        <v>8.4137759147354496E-2</v>
      </c>
    </row>
    <row r="22" spans="2:10" x14ac:dyDescent="0.35">
      <c r="B22" s="19" t="s">
        <v>12</v>
      </c>
      <c r="C22" s="17">
        <v>59598654.574982911</v>
      </c>
      <c r="D22" s="17">
        <v>59906619.558065102</v>
      </c>
      <c r="E22" s="17">
        <v>53285549.823213927</v>
      </c>
      <c r="F22" s="17">
        <v>55455298.319319256</v>
      </c>
      <c r="G22" s="17">
        <v>56649280.474789992</v>
      </c>
      <c r="H22" s="18">
        <f t="shared" si="0"/>
        <v>7.1184559048372453E-2</v>
      </c>
    </row>
    <row r="23" spans="2:10" x14ac:dyDescent="0.35">
      <c r="B23" s="19" t="s">
        <v>13</v>
      </c>
      <c r="C23" s="17">
        <v>130184525.76403417</v>
      </c>
      <c r="D23" s="17">
        <v>128096466.76186547</v>
      </c>
      <c r="E23" s="17">
        <v>120870292.8007004</v>
      </c>
      <c r="F23" s="17">
        <v>122660535.26838376</v>
      </c>
      <c r="G23" s="17">
        <v>131413886.36052577</v>
      </c>
      <c r="H23" s="18">
        <f t="shared" si="0"/>
        <v>0.15821909477148674</v>
      </c>
    </row>
    <row r="24" spans="2:10" x14ac:dyDescent="0.35">
      <c r="B24" s="19" t="s">
        <v>14</v>
      </c>
      <c r="C24" s="17">
        <v>25711210.880155135</v>
      </c>
      <c r="D24" s="17">
        <v>25447247.695959035</v>
      </c>
      <c r="E24" s="17">
        <v>24040044.451430991</v>
      </c>
      <c r="F24" s="17">
        <v>25336801.028471321</v>
      </c>
      <c r="G24" s="17">
        <v>26509303.700028259</v>
      </c>
      <c r="H24" s="18">
        <f t="shared" si="0"/>
        <v>3.1743630452723062E-2</v>
      </c>
    </row>
    <row r="25" spans="2:10" ht="15" thickBot="1" x14ac:dyDescent="0.4">
      <c r="B25" s="20" t="s">
        <v>15</v>
      </c>
      <c r="C25" s="17">
        <v>15878607.170597224</v>
      </c>
      <c r="D25" s="17">
        <v>15244936.272142688</v>
      </c>
      <c r="E25" s="17">
        <v>14581254.398720236</v>
      </c>
      <c r="F25" s="17">
        <v>14355383.932437893</v>
      </c>
      <c r="G25" s="17">
        <v>15433472.402162299</v>
      </c>
      <c r="H25" s="18">
        <f t="shared" si="0"/>
        <v>1.8863001759919326E-2</v>
      </c>
    </row>
    <row r="26" spans="2:10" x14ac:dyDescent="0.35">
      <c r="C26" s="21"/>
      <c r="D26" s="21"/>
      <c r="E26" s="21"/>
      <c r="F26" s="21"/>
      <c r="G26" s="21"/>
      <c r="H26" s="22"/>
    </row>
    <row r="27" spans="2:10" ht="16.5" x14ac:dyDescent="0.45">
      <c r="B27" s="14" t="s">
        <v>16</v>
      </c>
      <c r="C27" s="17">
        <v>-17000000</v>
      </c>
      <c r="D27" s="17">
        <v>-17000000</v>
      </c>
      <c r="E27" s="17">
        <v>-17000000</v>
      </c>
      <c r="F27" s="17">
        <v>-17000000</v>
      </c>
      <c r="G27" s="23">
        <v>-8463046.6500000004</v>
      </c>
      <c r="H27" s="22"/>
    </row>
    <row r="28" spans="2:10" x14ac:dyDescent="0.35">
      <c r="C28" s="21"/>
      <c r="D28" s="21"/>
      <c r="E28" s="21"/>
      <c r="F28" s="21"/>
      <c r="G28" s="21"/>
      <c r="H28" s="22"/>
    </row>
    <row r="29" spans="2:10" ht="16.5" x14ac:dyDescent="0.45">
      <c r="B29" s="24" t="s">
        <v>17</v>
      </c>
      <c r="C29" s="15">
        <v>2015</v>
      </c>
      <c r="D29" s="15">
        <v>2016</v>
      </c>
      <c r="E29" s="15">
        <v>2017</v>
      </c>
      <c r="F29" s="15">
        <v>2018</v>
      </c>
      <c r="G29" s="15">
        <v>2019</v>
      </c>
      <c r="I29" s="15" t="s">
        <v>18</v>
      </c>
      <c r="J29" s="15" t="s">
        <v>19</v>
      </c>
    </row>
    <row r="30" spans="2:10" x14ac:dyDescent="0.35">
      <c r="B30" s="25" t="s">
        <v>20</v>
      </c>
      <c r="C30" s="26">
        <f>SUM(C16:C25,C27)</f>
        <v>801452564.89401531</v>
      </c>
      <c r="D30" s="26">
        <f t="shared" ref="D30:G30" si="1">SUM(D16:D25,D27)</f>
        <v>797414051.33104277</v>
      </c>
      <c r="E30" s="26">
        <f t="shared" si="1"/>
        <v>750668225.65846753</v>
      </c>
      <c r="F30" s="26">
        <f t="shared" si="1"/>
        <v>767874544.31491554</v>
      </c>
      <c r="G30" s="26">
        <f t="shared" si="1"/>
        <v>808335441.42910373</v>
      </c>
      <c r="H30" s="27"/>
      <c r="I30" s="26">
        <f>TREND($C$30:$G$30,$C$29:$G$29,2021)</f>
        <v>778839463.94712877</v>
      </c>
      <c r="J30" s="26">
        <f>TREND($C$30:$G$30,$C$29:$G$29,2024)</f>
        <v>774107337.76334381</v>
      </c>
    </row>
    <row r="32" spans="2:10" x14ac:dyDescent="0.35">
      <c r="B32" s="8" t="s">
        <v>21</v>
      </c>
      <c r="I32" s="8" t="s">
        <v>22</v>
      </c>
    </row>
    <row r="33" spans="2:11" ht="15" customHeight="1" x14ac:dyDescent="0.35"/>
    <row r="34" spans="2:11" ht="15" customHeight="1" x14ac:dyDescent="0.45">
      <c r="B34" s="28" t="s">
        <v>23</v>
      </c>
      <c r="C34" s="29">
        <v>111.13</v>
      </c>
      <c r="D34" s="1" t="s">
        <v>24</v>
      </c>
      <c r="I34" s="25" t="s">
        <v>25</v>
      </c>
      <c r="J34" s="25">
        <v>2021</v>
      </c>
    </row>
    <row r="35" spans="2:11" ht="15" customHeight="1" x14ac:dyDescent="0.45">
      <c r="B35" s="28" t="s">
        <v>26</v>
      </c>
      <c r="C35" s="29">
        <v>109.76</v>
      </c>
      <c r="D35" s="1" t="s">
        <v>27</v>
      </c>
      <c r="I35" s="25" t="s">
        <v>28</v>
      </c>
      <c r="J35" s="25">
        <v>2024</v>
      </c>
    </row>
    <row r="36" spans="2:11" ht="15" customHeight="1" x14ac:dyDescent="0.45">
      <c r="B36" s="28" t="s">
        <v>29</v>
      </c>
      <c r="C36" s="30">
        <f>+C34/C35-1</f>
        <v>1.2481778425655898E-2</v>
      </c>
      <c r="I36" s="31" t="s">
        <v>30</v>
      </c>
      <c r="J36" s="25">
        <f>+J35-J34+1</f>
        <v>4</v>
      </c>
    </row>
    <row r="37" spans="2:11" ht="15" customHeight="1" x14ac:dyDescent="0.4">
      <c r="I37" s="31" t="s">
        <v>31</v>
      </c>
      <c r="J37" s="32">
        <f>+I30</f>
        <v>778839463.94712877</v>
      </c>
    </row>
    <row r="38" spans="2:11" ht="15" customHeight="1" x14ac:dyDescent="0.4">
      <c r="B38" s="8" t="s">
        <v>32</v>
      </c>
      <c r="I38" s="31" t="s">
        <v>33</v>
      </c>
      <c r="J38" s="32">
        <f>+J30</f>
        <v>774107337.76334381</v>
      </c>
    </row>
    <row r="39" spans="2:11" ht="15" customHeight="1" x14ac:dyDescent="0.35">
      <c r="I39" s="31" t="s">
        <v>34</v>
      </c>
      <c r="J39" s="33">
        <f>1-POWER(J38/J37,1/3)</f>
        <v>2.0294052072729052E-3</v>
      </c>
    </row>
    <row r="40" spans="2:11" ht="15" customHeight="1" x14ac:dyDescent="0.35">
      <c r="B40" s="28" t="s">
        <v>35</v>
      </c>
      <c r="C40" s="34">
        <v>0</v>
      </c>
    </row>
    <row r="42" spans="2:11" x14ac:dyDescent="0.35">
      <c r="B42" s="8" t="s">
        <v>36</v>
      </c>
    </row>
    <row r="43" spans="2:11" x14ac:dyDescent="0.35">
      <c r="I43" s="35"/>
    </row>
    <row r="44" spans="2:11" ht="16.5" x14ac:dyDescent="0.35">
      <c r="B44" s="25"/>
      <c r="C44" s="15" t="s">
        <v>31</v>
      </c>
      <c r="D44" s="15" t="s">
        <v>5</v>
      </c>
      <c r="E44" s="15" t="s">
        <v>29</v>
      </c>
      <c r="F44" s="15" t="s">
        <v>35</v>
      </c>
      <c r="G44" s="15" t="s">
        <v>37</v>
      </c>
      <c r="H44" s="15" t="s">
        <v>38</v>
      </c>
      <c r="I44" s="15" t="s">
        <v>39</v>
      </c>
    </row>
    <row r="45" spans="2:11" x14ac:dyDescent="0.35">
      <c r="B45" s="25" t="s">
        <v>6</v>
      </c>
      <c r="C45" s="36">
        <f>+I30</f>
        <v>778839463.94712877</v>
      </c>
      <c r="D45" s="37">
        <f>+H16</f>
        <v>0.15221910020475304</v>
      </c>
      <c r="E45" s="38">
        <f>+C36</f>
        <v>1.2481778425655898E-2</v>
      </c>
      <c r="F45" s="38">
        <f>+C40</f>
        <v>0</v>
      </c>
      <c r="G45" s="39">
        <v>6.796365561792517E-4</v>
      </c>
      <c r="H45" s="40">
        <v>14000000</v>
      </c>
      <c r="I45" s="32">
        <f>+($C$45*D45*(1+$E$45-$F$45)*(1+G45))-(D45*$H$45)</f>
        <v>117984522.28956126</v>
      </c>
      <c r="J45" s="35"/>
      <c r="K45" s="35"/>
    </row>
    <row r="46" spans="2:11" x14ac:dyDescent="0.35">
      <c r="B46" s="25" t="s">
        <v>7</v>
      </c>
      <c r="C46" s="36"/>
      <c r="D46" s="37">
        <f t="shared" ref="D46:D54" si="2">+H17</f>
        <v>0.14797143422052109</v>
      </c>
      <c r="E46" s="41"/>
      <c r="F46" s="41"/>
      <c r="G46" s="39">
        <v>-9.6266590767895584E-5</v>
      </c>
      <c r="H46" s="40"/>
      <c r="I46" s="32">
        <f t="shared" ref="I46:I54" si="3">+($C$45*D46*(1+$E$45-$F$45)*(1+G46))-(D46*$H$45)</f>
        <v>114601634.55576125</v>
      </c>
      <c r="J46" s="35"/>
      <c r="K46" s="35"/>
    </row>
    <row r="47" spans="2:11" x14ac:dyDescent="0.35">
      <c r="B47" s="25" t="s">
        <v>8</v>
      </c>
      <c r="C47" s="36"/>
      <c r="D47" s="37">
        <f t="shared" si="2"/>
        <v>0.10796723788134791</v>
      </c>
      <c r="E47" s="41"/>
      <c r="F47" s="41"/>
      <c r="G47" s="39">
        <v>3.2839392514058991E-4</v>
      </c>
      <c r="H47" s="40"/>
      <c r="I47" s="32">
        <f t="shared" si="3"/>
        <v>83655145.47033532</v>
      </c>
      <c r="J47" s="35"/>
      <c r="K47" s="35"/>
    </row>
    <row r="48" spans="2:11" x14ac:dyDescent="0.35">
      <c r="B48" s="25" t="s">
        <v>9</v>
      </c>
      <c r="C48" s="36"/>
      <c r="D48" s="37">
        <f t="shared" si="2"/>
        <v>4.0668014376488794E-2</v>
      </c>
      <c r="E48" s="41"/>
      <c r="F48" s="41"/>
      <c r="G48" s="39">
        <v>3.4059814767897767E-4</v>
      </c>
      <c r="H48" s="40"/>
      <c r="I48" s="32">
        <f t="shared" si="3"/>
        <v>31510771.059777834</v>
      </c>
      <c r="J48" s="35"/>
      <c r="K48" s="35"/>
    </row>
    <row r="49" spans="2:12" x14ac:dyDescent="0.35">
      <c r="B49" s="25" t="s">
        <v>10</v>
      </c>
      <c r="C49" s="36"/>
      <c r="D49" s="37">
        <f t="shared" si="2"/>
        <v>0.18702616813703285</v>
      </c>
      <c r="E49" s="41"/>
      <c r="F49" s="41"/>
      <c r="G49" s="39">
        <v>-5.2097285880928982E-4</v>
      </c>
      <c r="H49" s="40"/>
      <c r="I49" s="32">
        <f t="shared" si="3"/>
        <v>144786298.11515489</v>
      </c>
      <c r="J49" s="35"/>
      <c r="K49" s="35"/>
    </row>
    <row r="50" spans="2:12" x14ac:dyDescent="0.35">
      <c r="B50" s="25" t="s">
        <v>11</v>
      </c>
      <c r="C50" s="36"/>
      <c r="D50" s="37">
        <f t="shared" si="2"/>
        <v>8.4137759147354496E-2</v>
      </c>
      <c r="E50" s="41"/>
      <c r="F50" s="41"/>
      <c r="G50" s="39">
        <v>1.94328486704788E-4</v>
      </c>
      <c r="H50" s="40"/>
      <c r="I50" s="32">
        <f t="shared" si="3"/>
        <v>65182700.393209212</v>
      </c>
      <c r="J50" s="35"/>
      <c r="K50" s="35"/>
    </row>
    <row r="51" spans="2:12" x14ac:dyDescent="0.35">
      <c r="B51" s="25" t="s">
        <v>12</v>
      </c>
      <c r="C51" s="36"/>
      <c r="D51" s="37">
        <f t="shared" si="2"/>
        <v>7.1184559048372453E-2</v>
      </c>
      <c r="E51" s="41"/>
      <c r="F51" s="41"/>
      <c r="G51" s="39">
        <v>2.5953807041378176E-4</v>
      </c>
      <c r="H51" s="40"/>
      <c r="I51" s="32">
        <f t="shared" si="3"/>
        <v>55151335.294377163</v>
      </c>
      <c r="J51" s="35"/>
      <c r="K51" s="35"/>
    </row>
    <row r="52" spans="2:12" x14ac:dyDescent="0.35">
      <c r="B52" s="25" t="s">
        <v>13</v>
      </c>
      <c r="C52" s="36"/>
      <c r="D52" s="37">
        <f t="shared" si="2"/>
        <v>0.15821909477148674</v>
      </c>
      <c r="E52" s="41"/>
      <c r="F52" s="41"/>
      <c r="G52" s="39">
        <v>-3.1361432003695943E-4</v>
      </c>
      <c r="H52" s="40"/>
      <c r="I52" s="32">
        <f t="shared" si="3"/>
        <v>122511174.9664138</v>
      </c>
      <c r="J52" s="35"/>
      <c r="K52" s="35"/>
    </row>
    <row r="53" spans="2:12" x14ac:dyDescent="0.35">
      <c r="B53" s="25" t="s">
        <v>14</v>
      </c>
      <c r="C53" s="36"/>
      <c r="D53" s="37">
        <f t="shared" si="2"/>
        <v>3.1743630452723062E-2</v>
      </c>
      <c r="E53" s="41"/>
      <c r="F53" s="41"/>
      <c r="G53" s="39">
        <v>-3.0578788151529714E-4</v>
      </c>
      <c r="H53" s="40"/>
      <c r="I53" s="32">
        <f t="shared" si="3"/>
        <v>24579716.289837196</v>
      </c>
      <c r="J53" s="35"/>
      <c r="K53" s="35"/>
    </row>
    <row r="54" spans="2:12" x14ac:dyDescent="0.35">
      <c r="B54" s="25" t="s">
        <v>15</v>
      </c>
      <c r="C54" s="36"/>
      <c r="D54" s="37">
        <f t="shared" si="2"/>
        <v>1.8863001759919326E-2</v>
      </c>
      <c r="E54" s="41"/>
      <c r="F54" s="41"/>
      <c r="G54" s="39">
        <v>-8.7497443978852931E-4</v>
      </c>
      <c r="H54" s="40"/>
      <c r="I54" s="32">
        <f t="shared" si="3"/>
        <v>14597526.169000646</v>
      </c>
      <c r="J54" s="35"/>
      <c r="K54" s="35"/>
    </row>
    <row r="55" spans="2:12" x14ac:dyDescent="0.35">
      <c r="I55" s="42"/>
    </row>
    <row r="56" spans="2:12" x14ac:dyDescent="0.35">
      <c r="B56" s="8" t="s">
        <v>40</v>
      </c>
      <c r="I56" s="35"/>
    </row>
    <row r="58" spans="2:12" ht="16.5" x14ac:dyDescent="0.35">
      <c r="B58" s="25"/>
      <c r="C58" s="15" t="s">
        <v>41</v>
      </c>
      <c r="D58" s="15" t="s">
        <v>42</v>
      </c>
      <c r="E58" s="15" t="s">
        <v>43</v>
      </c>
      <c r="F58" s="15" t="s">
        <v>44</v>
      </c>
      <c r="G58" s="15" t="s">
        <v>45</v>
      </c>
      <c r="H58" s="15" t="s">
        <v>46</v>
      </c>
      <c r="I58" s="15" t="s">
        <v>47</v>
      </c>
      <c r="J58" s="15" t="s">
        <v>48</v>
      </c>
      <c r="K58" s="43" t="s">
        <v>49</v>
      </c>
      <c r="L58" s="15" t="s">
        <v>50</v>
      </c>
    </row>
    <row r="59" spans="2:12" x14ac:dyDescent="0.35">
      <c r="B59" s="25" t="s">
        <v>6</v>
      </c>
      <c r="C59" s="44">
        <v>2148535.376666666</v>
      </c>
      <c r="D59" s="44">
        <v>0</v>
      </c>
      <c r="E59" s="44">
        <v>29592.641219026133</v>
      </c>
      <c r="F59" s="26">
        <f>+C59+D59+E59</f>
        <v>2178128.017885692</v>
      </c>
      <c r="G59" s="44">
        <v>14450656.072367797</v>
      </c>
      <c r="H59" s="44">
        <v>0</v>
      </c>
      <c r="I59" s="44">
        <v>0</v>
      </c>
      <c r="J59" s="26">
        <f>+H59+I59</f>
        <v>0</v>
      </c>
      <c r="K59" s="26">
        <f>VLOOKUP(B59,[1]T10!$G$6:$H$15,2,0)</f>
        <v>1592022.0637800877</v>
      </c>
      <c r="L59" s="26">
        <f>+F59+G59+J59+K59</f>
        <v>18220806.154033575</v>
      </c>
    </row>
    <row r="60" spans="2:12" x14ac:dyDescent="0.35">
      <c r="B60" s="25" t="s">
        <v>7</v>
      </c>
      <c r="C60" s="44">
        <v>1171228.6916773338</v>
      </c>
      <c r="D60" s="44">
        <v>0</v>
      </c>
      <c r="E60" s="44">
        <v>20217.886872962943</v>
      </c>
      <c r="F60" s="26">
        <f t="shared" ref="F60:F68" si="4">+C60+D60+E60</f>
        <v>1191446.5785502968</v>
      </c>
      <c r="G60" s="44">
        <v>7971692.3473512828</v>
      </c>
      <c r="H60" s="44">
        <v>0</v>
      </c>
      <c r="I60" s="44">
        <v>0</v>
      </c>
      <c r="J60" s="26">
        <f t="shared" ref="J60:J68" si="5">+H60+I60</f>
        <v>0</v>
      </c>
      <c r="K60" s="26">
        <f>VLOOKUP(B60,[1]T10!$G$6:$H$15,2,0)</f>
        <v>2005342.6801640664</v>
      </c>
      <c r="L60" s="26">
        <f t="shared" ref="L60:L68" si="6">+F60+G60+J60+K60</f>
        <v>11168481.606065648</v>
      </c>
    </row>
    <row r="61" spans="2:12" x14ac:dyDescent="0.35">
      <c r="B61" s="25" t="s">
        <v>8</v>
      </c>
      <c r="C61" s="44">
        <v>2238581.5142000006</v>
      </c>
      <c r="D61" s="44">
        <v>0</v>
      </c>
      <c r="E61" s="44">
        <v>36693.786666666667</v>
      </c>
      <c r="F61" s="26">
        <f t="shared" si="4"/>
        <v>2275275.3008666672</v>
      </c>
      <c r="G61" s="44">
        <v>14740932.015213506</v>
      </c>
      <c r="H61" s="44">
        <v>0</v>
      </c>
      <c r="I61" s="44">
        <v>0</v>
      </c>
      <c r="J61" s="26">
        <f t="shared" si="5"/>
        <v>0</v>
      </c>
      <c r="K61" s="26">
        <f>VLOOKUP(B61,[1]T10!$G$6:$H$15,2,0)</f>
        <v>2023410.7567726776</v>
      </c>
      <c r="L61" s="26">
        <f t="shared" si="6"/>
        <v>19039618.072852854</v>
      </c>
    </row>
    <row r="62" spans="2:12" x14ac:dyDescent="0.35">
      <c r="B62" s="25" t="s">
        <v>9</v>
      </c>
      <c r="C62" s="44">
        <v>483692.03080533328</v>
      </c>
      <c r="D62" s="44">
        <v>0</v>
      </c>
      <c r="E62" s="44">
        <v>9263.4966666666678</v>
      </c>
      <c r="F62" s="26">
        <f t="shared" si="4"/>
        <v>492955.52747199993</v>
      </c>
      <c r="G62" s="44">
        <v>3112185.166669481</v>
      </c>
      <c r="H62" s="44">
        <v>0</v>
      </c>
      <c r="I62" s="44">
        <v>0</v>
      </c>
      <c r="J62" s="26">
        <f t="shared" si="5"/>
        <v>0</v>
      </c>
      <c r="K62" s="26">
        <f>VLOOKUP(B62,[1]T10!$G$6:$H$15,2,0)</f>
        <v>434702.95556576701</v>
      </c>
      <c r="L62" s="26">
        <f t="shared" si="6"/>
        <v>4039843.649707248</v>
      </c>
    </row>
    <row r="63" spans="2:12" x14ac:dyDescent="0.35">
      <c r="B63" s="25" t="s">
        <v>10</v>
      </c>
      <c r="C63" s="44">
        <v>1632274.3819066666</v>
      </c>
      <c r="D63" s="44">
        <v>0</v>
      </c>
      <c r="E63" s="44">
        <v>31505.707348753305</v>
      </c>
      <c r="F63" s="26">
        <f t="shared" si="4"/>
        <v>1663780.0892554198</v>
      </c>
      <c r="G63" s="44">
        <v>10981125.3628271</v>
      </c>
      <c r="H63" s="44">
        <v>0</v>
      </c>
      <c r="I63" s="44">
        <v>0</v>
      </c>
      <c r="J63" s="26">
        <f t="shared" si="5"/>
        <v>0</v>
      </c>
      <c r="K63" s="26">
        <f>VLOOKUP(B63,[1]T10!$G$6:$H$15,2,0)</f>
        <v>2809211.7217034176</v>
      </c>
      <c r="L63" s="26">
        <f t="shared" si="6"/>
        <v>15454117.173785938</v>
      </c>
    </row>
    <row r="64" spans="2:12" x14ac:dyDescent="0.35">
      <c r="B64" s="25" t="s">
        <v>11</v>
      </c>
      <c r="C64" s="44">
        <v>903815.10999999987</v>
      </c>
      <c r="D64" s="44">
        <v>0</v>
      </c>
      <c r="E64" s="44">
        <v>19910.433333333334</v>
      </c>
      <c r="F64" s="26">
        <f t="shared" si="4"/>
        <v>923725.54333333322</v>
      </c>
      <c r="G64" s="44">
        <v>6080415.7661249992</v>
      </c>
      <c r="H64" s="44">
        <v>0</v>
      </c>
      <c r="I64" s="44">
        <v>0</v>
      </c>
      <c r="J64" s="26">
        <f t="shared" si="5"/>
        <v>0</v>
      </c>
      <c r="K64" s="26">
        <f>VLOOKUP(B64,[1]T10!$G$6:$H$15,2,0)</f>
        <v>1136043.6807284409</v>
      </c>
      <c r="L64" s="26">
        <f t="shared" si="6"/>
        <v>8140184.9901867732</v>
      </c>
    </row>
    <row r="65" spans="2:12" x14ac:dyDescent="0.35">
      <c r="B65" s="25" t="s">
        <v>12</v>
      </c>
      <c r="C65" s="44">
        <v>528244.86</v>
      </c>
      <c r="D65" s="44">
        <v>0</v>
      </c>
      <c r="E65" s="44">
        <v>20693.639506314641</v>
      </c>
      <c r="F65" s="26">
        <f t="shared" si="4"/>
        <v>548938.49950631463</v>
      </c>
      <c r="G65" s="44">
        <v>3554119.3281</v>
      </c>
      <c r="H65" s="44">
        <v>0</v>
      </c>
      <c r="I65" s="44">
        <v>0</v>
      </c>
      <c r="J65" s="26">
        <f t="shared" si="5"/>
        <v>0</v>
      </c>
      <c r="K65" s="26">
        <f>VLOOKUP(B65,[1]T10!$G$6:$H$15,2,0)</f>
        <v>1381192.19944765</v>
      </c>
      <c r="L65" s="26">
        <f t="shared" si="6"/>
        <v>5484250.0270539653</v>
      </c>
    </row>
    <row r="66" spans="2:12" x14ac:dyDescent="0.35">
      <c r="B66" s="25" t="s">
        <v>13</v>
      </c>
      <c r="C66" s="44">
        <v>1347584.396666667</v>
      </c>
      <c r="D66" s="44">
        <v>0</v>
      </c>
      <c r="E66" s="44">
        <v>33355.369653665432</v>
      </c>
      <c r="F66" s="26">
        <f t="shared" si="4"/>
        <v>1380939.7663203324</v>
      </c>
      <c r="G66" s="44">
        <v>9065874.2459249999</v>
      </c>
      <c r="H66" s="44">
        <v>0</v>
      </c>
      <c r="I66" s="44">
        <v>0</v>
      </c>
      <c r="J66" s="26">
        <f t="shared" si="5"/>
        <v>0</v>
      </c>
      <c r="K66" s="26">
        <f>VLOOKUP(B66,[1]T10!$G$6:$H$15,2,0)</f>
        <v>2131819.2164243469</v>
      </c>
      <c r="L66" s="26">
        <f t="shared" si="6"/>
        <v>12578633.228669681</v>
      </c>
    </row>
    <row r="67" spans="2:12" x14ac:dyDescent="0.35">
      <c r="B67" s="25" t="s">
        <v>14</v>
      </c>
      <c r="C67" s="44">
        <v>343019.74186933326</v>
      </c>
      <c r="D67" s="44">
        <v>0</v>
      </c>
      <c r="E67" s="44">
        <v>10377.076666666666</v>
      </c>
      <c r="F67" s="26">
        <f t="shared" si="4"/>
        <v>353396.81853599992</v>
      </c>
      <c r="G67" s="44">
        <v>2204889.27351702</v>
      </c>
      <c r="H67" s="44">
        <v>0</v>
      </c>
      <c r="I67" s="44">
        <v>0</v>
      </c>
      <c r="J67" s="26">
        <f t="shared" si="5"/>
        <v>0</v>
      </c>
      <c r="K67" s="26">
        <f>VLOOKUP(B67,[1]T10!$G$6:$H$15,2,0)</f>
        <v>284278.19942188257</v>
      </c>
      <c r="L67" s="26">
        <f t="shared" si="6"/>
        <v>2842564.2914749025</v>
      </c>
    </row>
    <row r="68" spans="2:12" x14ac:dyDescent="0.35">
      <c r="B68" s="25" t="s">
        <v>15</v>
      </c>
      <c r="C68" s="44">
        <v>193908.46666666667</v>
      </c>
      <c r="D68" s="44">
        <v>0</v>
      </c>
      <c r="E68" s="44">
        <v>3251.594860139578</v>
      </c>
      <c r="F68" s="26">
        <f t="shared" si="4"/>
        <v>197160.06152680624</v>
      </c>
      <c r="G68" s="44">
        <v>1304518.8063000001</v>
      </c>
      <c r="H68" s="44">
        <v>0</v>
      </c>
      <c r="I68" s="44">
        <v>0</v>
      </c>
      <c r="J68" s="26">
        <f t="shared" si="5"/>
        <v>0</v>
      </c>
      <c r="K68" s="26">
        <f>VLOOKUP(B68,[1]T10!$G$6:$H$15,2,0)</f>
        <v>242261.9029296675</v>
      </c>
      <c r="L68" s="26">
        <f t="shared" si="6"/>
        <v>1743940.7707564738</v>
      </c>
    </row>
    <row r="69" spans="2:12" x14ac:dyDescent="0.35">
      <c r="F69" s="13"/>
      <c r="G69" s="13"/>
      <c r="K69" s="13"/>
    </row>
    <row r="70" spans="2:12" x14ac:dyDescent="0.35">
      <c r="B70" s="8" t="s">
        <v>51</v>
      </c>
    </row>
    <row r="71" spans="2:12" ht="15" thickBot="1" x14ac:dyDescent="0.4"/>
    <row r="72" spans="2:12" ht="17" thickBot="1" x14ac:dyDescent="0.4">
      <c r="B72" s="45"/>
      <c r="C72" s="15" t="s">
        <v>39</v>
      </c>
      <c r="D72" s="15" t="str">
        <f t="shared" ref="D72:D82" si="7">+L58</f>
        <v>Totaal aanvullend</v>
      </c>
      <c r="E72" s="46" t="s">
        <v>52</v>
      </c>
      <c r="F72" s="35"/>
    </row>
    <row r="73" spans="2:12" x14ac:dyDescent="0.35">
      <c r="B73" s="16" t="s">
        <v>6</v>
      </c>
      <c r="C73" s="47">
        <f t="shared" ref="C73:C82" si="8">+I45</f>
        <v>117984522.28956126</v>
      </c>
      <c r="D73" s="48">
        <f t="shared" si="7"/>
        <v>18220806.154033575</v>
      </c>
      <c r="E73" s="49">
        <f>+C73+D73</f>
        <v>136205328.44359484</v>
      </c>
      <c r="F73" s="35"/>
      <c r="G73" s="50"/>
    </row>
    <row r="74" spans="2:12" x14ac:dyDescent="0.35">
      <c r="B74" s="19" t="s">
        <v>7</v>
      </c>
      <c r="C74" s="47">
        <f t="shared" si="8"/>
        <v>114601634.55576125</v>
      </c>
      <c r="D74" s="48">
        <f t="shared" si="7"/>
        <v>11168481.606065648</v>
      </c>
      <c r="E74" s="51">
        <f t="shared" ref="E74:E82" si="9">+C74+D74</f>
        <v>125770116.16182689</v>
      </c>
      <c r="F74" s="35"/>
      <c r="G74" s="50"/>
    </row>
    <row r="75" spans="2:12" x14ac:dyDescent="0.35">
      <c r="B75" s="19" t="s">
        <v>8</v>
      </c>
      <c r="C75" s="47">
        <f t="shared" si="8"/>
        <v>83655145.47033532</v>
      </c>
      <c r="D75" s="48">
        <f t="shared" si="7"/>
        <v>19039618.072852854</v>
      </c>
      <c r="E75" s="51">
        <f t="shared" si="9"/>
        <v>102694763.54318817</v>
      </c>
      <c r="F75" s="35"/>
      <c r="G75" s="50"/>
    </row>
    <row r="76" spans="2:12" x14ac:dyDescent="0.35">
      <c r="B76" s="19" t="s">
        <v>9</v>
      </c>
      <c r="C76" s="47">
        <f t="shared" si="8"/>
        <v>31510771.059777834</v>
      </c>
      <c r="D76" s="48">
        <f t="shared" si="7"/>
        <v>4039843.649707248</v>
      </c>
      <c r="E76" s="51">
        <f t="shared" si="9"/>
        <v>35550614.709485084</v>
      </c>
      <c r="F76" s="35"/>
      <c r="G76" s="50"/>
    </row>
    <row r="77" spans="2:12" x14ac:dyDescent="0.35">
      <c r="B77" s="19" t="s">
        <v>10</v>
      </c>
      <c r="C77" s="47">
        <f t="shared" si="8"/>
        <v>144786298.11515489</v>
      </c>
      <c r="D77" s="48">
        <f t="shared" si="7"/>
        <v>15454117.173785938</v>
      </c>
      <c r="E77" s="51">
        <f t="shared" si="9"/>
        <v>160240415.28894082</v>
      </c>
      <c r="F77" s="35"/>
      <c r="G77" s="50"/>
    </row>
    <row r="78" spans="2:12" x14ac:dyDescent="0.35">
      <c r="B78" s="19" t="s">
        <v>11</v>
      </c>
      <c r="C78" s="47">
        <f t="shared" si="8"/>
        <v>65182700.393209212</v>
      </c>
      <c r="D78" s="48">
        <f t="shared" si="7"/>
        <v>8140184.9901867732</v>
      </c>
      <c r="E78" s="51">
        <f t="shared" si="9"/>
        <v>73322885.383395985</v>
      </c>
      <c r="F78" s="35"/>
      <c r="G78" s="50"/>
    </row>
    <row r="79" spans="2:12" x14ac:dyDescent="0.35">
      <c r="B79" s="19" t="s">
        <v>12</v>
      </c>
      <c r="C79" s="47">
        <f t="shared" si="8"/>
        <v>55151335.294377163</v>
      </c>
      <c r="D79" s="48">
        <f t="shared" si="7"/>
        <v>5484250.0270539653</v>
      </c>
      <c r="E79" s="51">
        <f t="shared" si="9"/>
        <v>60635585.32143113</v>
      </c>
      <c r="F79" s="35"/>
      <c r="G79" s="50"/>
    </row>
    <row r="80" spans="2:12" x14ac:dyDescent="0.35">
      <c r="B80" s="19" t="s">
        <v>13</v>
      </c>
      <c r="C80" s="47">
        <f t="shared" si="8"/>
        <v>122511174.9664138</v>
      </c>
      <c r="D80" s="48">
        <f t="shared" si="7"/>
        <v>12578633.228669681</v>
      </c>
      <c r="E80" s="51">
        <f t="shared" si="9"/>
        <v>135089808.19508347</v>
      </c>
      <c r="F80" s="35"/>
      <c r="G80" s="50"/>
    </row>
    <row r="81" spans="2:7" x14ac:dyDescent="0.35">
      <c r="B81" s="19" t="s">
        <v>14</v>
      </c>
      <c r="C81" s="47">
        <f t="shared" si="8"/>
        <v>24579716.289837196</v>
      </c>
      <c r="D81" s="48">
        <f t="shared" si="7"/>
        <v>2842564.2914749025</v>
      </c>
      <c r="E81" s="51">
        <f t="shared" si="9"/>
        <v>27422280.581312098</v>
      </c>
      <c r="F81" s="35"/>
      <c r="G81" s="50"/>
    </row>
    <row r="82" spans="2:7" ht="15" thickBot="1" x14ac:dyDescent="0.4">
      <c r="B82" s="20" t="s">
        <v>15</v>
      </c>
      <c r="C82" s="47">
        <f t="shared" si="8"/>
        <v>14597526.169000646</v>
      </c>
      <c r="D82" s="48">
        <f t="shared" si="7"/>
        <v>1743940.7707564738</v>
      </c>
      <c r="E82" s="52">
        <f t="shared" si="9"/>
        <v>16341466.93975712</v>
      </c>
      <c r="F82" s="35"/>
      <c r="G82" s="50"/>
    </row>
    <row r="83" spans="2:7" x14ac:dyDescent="0.35">
      <c r="G83" s="50"/>
    </row>
  </sheetData>
  <mergeCells count="6">
    <mergeCell ref="B2:J3"/>
    <mergeCell ref="B7:J7"/>
    <mergeCell ref="C45:C54"/>
    <mergeCell ref="E45:E54"/>
    <mergeCell ref="F45:F54"/>
    <mergeCell ref="H45:H54"/>
  </mergeCell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5463B6D6-3379-4F7A-8F35-BBA7DDF9C91C}"/>
</file>

<file path=customXml/itemProps2.xml><?xml version="1.0" encoding="utf-8"?>
<ds:datastoreItem xmlns:ds="http://schemas.openxmlformats.org/officeDocument/2006/customXml" ds:itemID="{AB347259-DF10-4BF9-87F7-A51D26582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E1AFB-5C72-41B3-8EF8-47702074C7C8}">
  <ds:schemaRefs>
    <ds:schemaRef ds:uri="http://schemas.microsoft.com/office/2006/metadata/properties"/>
    <ds:schemaRef ds:uri="http://schemas.microsoft.com/office/infopath/2007/PartnerControls"/>
    <ds:schemaRef ds:uri="dc27eef4-d356-41e1-bcf3-2711032fb0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TI_En_Elek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2020-10-09T05:49:44Z</dcterms:created>
  <dcterms:modified xsi:type="dcterms:W3CDTF">2020-10-09T05:55:57Z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