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7 Analyses/Toegelaten inkomen 2022/"/>
    </mc:Choice>
  </mc:AlternateContent>
  <xr:revisionPtr revIDLastSave="14" documentId="8_{968E57B9-9D11-46B4-8B20-46A8B950EF83}" xr6:coauthVersionLast="47" xr6:coauthVersionMax="47" xr10:uidLastSave="{FD9998A0-7FDC-4589-A423-43AA2B570DB1}"/>
  <bookViews>
    <workbookView xWindow="12840" yWindow="6930" windowWidth="19425" windowHeight="10425" xr2:uid="{258051FB-71EF-4FEE-B19F-3C2F4BC63D60}"/>
  </bookViews>
  <sheets>
    <sheet name="TI_En_Gas" sheetId="1" r:id="rId1"/>
  </sheets>
  <externalReferences>
    <externalReference r:id="rId2"/>
    <externalReference r:id="rId3"/>
    <externalReference r:id="rId4"/>
  </externalReferences>
  <definedNames>
    <definedName name="Aftakklem_LS">'[1]BASISPRIJZEN MATERIAAL'!$I$188</definedName>
    <definedName name="Codes">'[2]Codes des IM'!$B$2:$D$23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aduction1">'[2]Codes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ikkeldoos_LS">'[1]BASISPRIJZEN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D155" i="1"/>
  <c r="K151" i="1"/>
  <c r="J151" i="1"/>
  <c r="F151" i="1"/>
  <c r="K149" i="1"/>
  <c r="J149" i="1"/>
  <c r="F149" i="1"/>
  <c r="K148" i="1"/>
  <c r="J148" i="1"/>
  <c r="F148" i="1"/>
  <c r="K147" i="1"/>
  <c r="J147" i="1"/>
  <c r="F147" i="1"/>
  <c r="K146" i="1"/>
  <c r="J146" i="1"/>
  <c r="L146" i="1" s="1"/>
  <c r="D160" i="1" s="1"/>
  <c r="F146" i="1"/>
  <c r="K145" i="1"/>
  <c r="J145" i="1"/>
  <c r="L145" i="1" s="1"/>
  <c r="D159" i="1" s="1"/>
  <c r="F145" i="1"/>
  <c r="K144" i="1"/>
  <c r="J144" i="1"/>
  <c r="L144" i="1" s="1"/>
  <c r="D158" i="1" s="1"/>
  <c r="F144" i="1"/>
  <c r="K143" i="1"/>
  <c r="J143" i="1"/>
  <c r="F143" i="1"/>
  <c r="K142" i="1"/>
  <c r="J142" i="1"/>
  <c r="F142" i="1"/>
  <c r="H137" i="1"/>
  <c r="H135" i="1"/>
  <c r="H134" i="1"/>
  <c r="H133" i="1"/>
  <c r="H132" i="1"/>
  <c r="H131" i="1"/>
  <c r="H130" i="1"/>
  <c r="H129" i="1"/>
  <c r="H128" i="1"/>
  <c r="G128" i="1"/>
  <c r="C117" i="1"/>
  <c r="D128" i="1" s="1"/>
  <c r="C116" i="1"/>
  <c r="G105" i="1"/>
  <c r="G103" i="1"/>
  <c r="G102" i="1"/>
  <c r="G101" i="1"/>
  <c r="G100" i="1"/>
  <c r="G99" i="1"/>
  <c r="G98" i="1"/>
  <c r="G97" i="1"/>
  <c r="H96" i="1"/>
  <c r="G96" i="1"/>
  <c r="F96" i="1"/>
  <c r="C90" i="1"/>
  <c r="C91" i="1" s="1"/>
  <c r="E96" i="1" s="1"/>
  <c r="D72" i="1"/>
  <c r="K68" i="1"/>
  <c r="J68" i="1"/>
  <c r="F68" i="1"/>
  <c r="K66" i="1"/>
  <c r="J66" i="1"/>
  <c r="F66" i="1"/>
  <c r="K65" i="1"/>
  <c r="J65" i="1"/>
  <c r="F65" i="1"/>
  <c r="K64" i="1"/>
  <c r="J64" i="1"/>
  <c r="F64" i="1"/>
  <c r="K63" i="1"/>
  <c r="J63" i="1"/>
  <c r="F63" i="1"/>
  <c r="L63" i="1" s="1"/>
  <c r="D77" i="1" s="1"/>
  <c r="K62" i="1"/>
  <c r="J62" i="1"/>
  <c r="F62" i="1"/>
  <c r="L62" i="1" s="1"/>
  <c r="D76" i="1" s="1"/>
  <c r="K61" i="1"/>
  <c r="J61" i="1"/>
  <c r="F61" i="1"/>
  <c r="L61" i="1" s="1"/>
  <c r="D75" i="1" s="1"/>
  <c r="K60" i="1"/>
  <c r="J60" i="1"/>
  <c r="F60" i="1"/>
  <c r="L60" i="1" s="1"/>
  <c r="D74" i="1" s="1"/>
  <c r="K59" i="1"/>
  <c r="J59" i="1"/>
  <c r="F59" i="1"/>
  <c r="F45" i="1"/>
  <c r="J36" i="1"/>
  <c r="C36" i="1"/>
  <c r="E45" i="1" s="1"/>
  <c r="L65" i="1" l="1"/>
  <c r="D79" i="1" s="1"/>
  <c r="L149" i="1"/>
  <c r="D163" i="1" s="1"/>
  <c r="L147" i="1"/>
  <c r="D161" i="1" s="1"/>
  <c r="L66" i="1"/>
  <c r="D80" i="1" s="1"/>
  <c r="L142" i="1"/>
  <c r="D156" i="1" s="1"/>
  <c r="L151" i="1"/>
  <c r="D165" i="1" s="1"/>
  <c r="L64" i="1"/>
  <c r="D78" i="1" s="1"/>
  <c r="L148" i="1"/>
  <c r="D162" i="1" s="1"/>
  <c r="L68" i="1"/>
  <c r="D82" i="1" s="1"/>
  <c r="L143" i="1"/>
  <c r="D157" i="1" s="1"/>
  <c r="D101" i="1"/>
  <c r="D50" i="1"/>
  <c r="D103" i="1"/>
  <c r="D52" i="1"/>
  <c r="D100" i="1"/>
  <c r="D49" i="1"/>
  <c r="D105" i="1"/>
  <c r="D54" i="1"/>
  <c r="J30" i="1"/>
  <c r="J38" i="1" s="1"/>
  <c r="I30" i="1"/>
  <c r="D96" i="1"/>
  <c r="D45" i="1"/>
  <c r="D98" i="1"/>
  <c r="D47" i="1"/>
  <c r="D102" i="1"/>
  <c r="D51" i="1"/>
  <c r="D48" i="1"/>
  <c r="D99" i="1"/>
  <c r="L59" i="1"/>
  <c r="D73" i="1" s="1"/>
  <c r="D97" i="1" l="1"/>
  <c r="D46" i="1"/>
  <c r="C96" i="1"/>
  <c r="J37" i="1"/>
  <c r="J39" i="1" s="1"/>
  <c r="C45" i="1"/>
  <c r="E128" i="1" l="1"/>
  <c r="I46" i="1"/>
  <c r="C74" i="1" s="1"/>
  <c r="E74" i="1" s="1"/>
  <c r="I51" i="1"/>
  <c r="C79" i="1" s="1"/>
  <c r="E79" i="1" s="1"/>
  <c r="I48" i="1"/>
  <c r="C76" i="1" s="1"/>
  <c r="E76" i="1" s="1"/>
  <c r="I54" i="1"/>
  <c r="C82" i="1" s="1"/>
  <c r="E82" i="1" s="1"/>
  <c r="I45" i="1"/>
  <c r="I50" i="1"/>
  <c r="C78" i="1" s="1"/>
  <c r="E78" i="1" s="1"/>
  <c r="I47" i="1"/>
  <c r="C75" i="1" s="1"/>
  <c r="E75" i="1" s="1"/>
  <c r="I49" i="1"/>
  <c r="C77" i="1" s="1"/>
  <c r="E77" i="1" s="1"/>
  <c r="I52" i="1"/>
  <c r="C80" i="1" s="1"/>
  <c r="E80" i="1" s="1"/>
  <c r="I102" i="1"/>
  <c r="I99" i="1"/>
  <c r="I101" i="1"/>
  <c r="I105" i="1"/>
  <c r="I96" i="1"/>
  <c r="I98" i="1"/>
  <c r="I103" i="1"/>
  <c r="I97" i="1"/>
  <c r="I100" i="1"/>
  <c r="C135" i="1" l="1"/>
  <c r="C133" i="1"/>
  <c r="C129" i="1"/>
  <c r="C73" i="1"/>
  <c r="E73" i="1" s="1"/>
  <c r="C121" i="1"/>
  <c r="C123" i="1" s="1"/>
  <c r="C137" i="1"/>
  <c r="C131" i="1"/>
  <c r="C130" i="1"/>
  <c r="C128" i="1"/>
  <c r="C132" i="1"/>
  <c r="C134" i="1"/>
  <c r="F128" i="1" l="1"/>
  <c r="I130" i="1" s="1"/>
  <c r="C158" i="1" s="1"/>
  <c r="E158" i="1" s="1"/>
  <c r="I129" i="1" l="1"/>
  <c r="C157" i="1" s="1"/>
  <c r="E157" i="1" s="1"/>
  <c r="I137" i="1"/>
  <c r="C165" i="1" s="1"/>
  <c r="E165" i="1" s="1"/>
  <c r="I132" i="1"/>
  <c r="C160" i="1" s="1"/>
  <c r="E160" i="1" s="1"/>
  <c r="I135" i="1"/>
  <c r="C163" i="1" s="1"/>
  <c r="E163" i="1" s="1"/>
  <c r="I134" i="1"/>
  <c r="C162" i="1" s="1"/>
  <c r="E162" i="1" s="1"/>
  <c r="I128" i="1"/>
  <c r="I131" i="1"/>
  <c r="C159" i="1" s="1"/>
  <c r="E159" i="1" s="1"/>
  <c r="I133" i="1"/>
  <c r="C161" i="1" s="1"/>
  <c r="E161" i="1" s="1"/>
  <c r="C156" i="1" l="1"/>
  <c r="E156" i="1" l="1"/>
</calcChain>
</file>

<file path=xl/sharedStrings.xml><?xml version="1.0" encoding="utf-8"?>
<sst xmlns="http://schemas.openxmlformats.org/spreadsheetml/2006/main" count="180" uniqueCount="84">
  <si>
    <t>AARDGAS</t>
  </si>
  <si>
    <t>Toegelaten inkomen uit periodieke distributienettarieven voor endogene kosten</t>
  </si>
  <si>
    <t>Inkomsten 2021</t>
  </si>
  <si>
    <t>EX-ANTE</t>
  </si>
  <si>
    <t>Gaselwest</t>
  </si>
  <si>
    <t>Fluvius Antwerpen</t>
  </si>
  <si>
    <t>Fluvius Limburg</t>
  </si>
  <si>
    <t>Fluvius West</t>
  </si>
  <si>
    <t>Imewo</t>
  </si>
  <si>
    <t>Intergem</t>
  </si>
  <si>
    <t>Iveka</t>
  </si>
  <si>
    <t>Iverlek</t>
  </si>
  <si>
    <t>PBE</t>
  </si>
  <si>
    <t>Sibelgas</t>
  </si>
  <si>
    <t xml:space="preserve">Evolutie sector </t>
  </si>
  <si>
    <t>Inflatieverwachtingen in 2020 o.b.v. consumptieprijsindex</t>
  </si>
  <si>
    <t>X-waarde reguleringsperiode 2021-2024</t>
  </si>
  <si>
    <t>FP</t>
  </si>
  <si>
    <t>beginjaar</t>
  </si>
  <si>
    <t>FOD</t>
  </si>
  <si>
    <t>eindjaar</t>
  </si>
  <si>
    <t>p</t>
  </si>
  <si>
    <t>Netto frontier shift elektriciteit</t>
  </si>
  <si>
    <t>x</t>
  </si>
  <si>
    <t>x"</t>
  </si>
  <si>
    <t>Toegelaten inkomsten endogene kosten basisgedeelte 2021</t>
  </si>
  <si>
    <t>Ex-ante aanvullende endogene termen 2021</t>
  </si>
  <si>
    <t>Totaal aanvullend</t>
  </si>
  <si>
    <t>Toegelaten inkomsten endogene kosten 2021</t>
  </si>
  <si>
    <t>EX-POST BASISGEDEELTE 2021</t>
  </si>
  <si>
    <t>Inflatie o.b.v. consumptieprijsindex</t>
  </si>
  <si>
    <t>https://bestat.statbel.fgov.be/bestat/crosstable.xhtml?view=876acb9d-4eae-408e-93d9-88eae4ad1eaf</t>
  </si>
  <si>
    <t>Toegelaten inkomsten endogene kosten basisgedeelte 2021 ex-post</t>
  </si>
  <si>
    <t>Inkomsten 2022</t>
  </si>
  <si>
    <t>Inflatieverwachtingen in 2021 o.b.v. consumptieprijsindex</t>
  </si>
  <si>
    <t>https://www.plan.be/databases/17-nl-indexcijfer_der_consumptieprijzen_inflatievooruitzichten</t>
  </si>
  <si>
    <t>x' waarde</t>
  </si>
  <si>
    <t>B</t>
  </si>
  <si>
    <t>x'</t>
  </si>
  <si>
    <t>Toegelaten inkomsten endogene kosten basisgedeelte 2022</t>
  </si>
  <si>
    <t>Ex-ante aanvullende endogene termen 2022</t>
  </si>
  <si>
    <t>Toegelaten inkomsten endogene kosten 2022</t>
  </si>
  <si>
    <t>Totale geactualiseerde endogene kosten per distributienetbeheerder  (T11)</t>
  </si>
  <si>
    <r>
      <t>TK</t>
    </r>
    <r>
      <rPr>
        <b/>
        <vertAlign val="subscript"/>
        <sz val="11"/>
        <color rgb="FF000000"/>
        <rFont val="Calibri"/>
        <family val="2"/>
      </rPr>
      <t>act,n,i</t>
    </r>
  </si>
  <si>
    <r>
      <t>a</t>
    </r>
    <r>
      <rPr>
        <b/>
        <vertAlign val="subscript"/>
        <sz val="11"/>
        <color rgb="FF000000"/>
        <rFont val="Calibri"/>
        <family val="2"/>
      </rPr>
      <t>i</t>
    </r>
  </si>
  <si>
    <r>
      <t>Fl</t>
    </r>
    <r>
      <rPr>
        <b/>
        <vertAlign val="subscript"/>
        <sz val="11"/>
        <color rgb="FF000000"/>
        <rFont val="Calibri"/>
        <family val="2"/>
      </rPr>
      <t>n</t>
    </r>
  </si>
  <si>
    <r>
      <t>SK</t>
    </r>
    <r>
      <rPr>
        <b/>
        <vertAlign val="subscript"/>
        <sz val="11"/>
        <color rgb="FF000000"/>
        <rFont val="Calibri"/>
        <family val="2"/>
      </rPr>
      <t>n</t>
    </r>
  </si>
  <si>
    <r>
      <t>TK</t>
    </r>
    <r>
      <rPr>
        <b/>
        <vertAlign val="subscript"/>
        <sz val="11"/>
        <color rgb="FF000000"/>
        <rFont val="Calibri"/>
        <family val="2"/>
      </rPr>
      <t>trend,2021</t>
    </r>
  </si>
  <si>
    <r>
      <t>TK</t>
    </r>
    <r>
      <rPr>
        <b/>
        <vertAlign val="subscript"/>
        <sz val="11"/>
        <color rgb="FF000000"/>
        <rFont val="Calibri"/>
        <family val="2"/>
      </rPr>
      <t>trend,2024</t>
    </r>
  </si>
  <si>
    <r>
      <t>I</t>
    </r>
    <r>
      <rPr>
        <b/>
        <vertAlign val="subscript"/>
        <sz val="11"/>
        <color rgb="FF000000"/>
        <rFont val="Calibri"/>
        <family val="2"/>
      </rPr>
      <t>2021,v</t>
    </r>
  </si>
  <si>
    <r>
      <t>I</t>
    </r>
    <r>
      <rPr>
        <b/>
        <vertAlign val="subscript"/>
        <sz val="11"/>
        <color rgb="FF000000"/>
        <rFont val="Calibri"/>
        <family val="2"/>
      </rPr>
      <t>2020</t>
    </r>
  </si>
  <si>
    <r>
      <t>CPI</t>
    </r>
    <r>
      <rPr>
        <b/>
        <vertAlign val="subscript"/>
        <sz val="11"/>
        <color rgb="FF000000"/>
        <rFont val="Calibri"/>
        <family val="2"/>
      </rPr>
      <t>2021,v</t>
    </r>
  </si>
  <si>
    <r>
      <t>TI</t>
    </r>
    <r>
      <rPr>
        <b/>
        <vertAlign val="subscript"/>
        <sz val="10"/>
        <color rgb="FF000000"/>
        <rFont val="Calibri"/>
        <family val="2"/>
      </rPr>
      <t>trend,2021</t>
    </r>
  </si>
  <si>
    <r>
      <t>TI</t>
    </r>
    <r>
      <rPr>
        <b/>
        <vertAlign val="subscript"/>
        <sz val="10"/>
        <color rgb="FF000000"/>
        <rFont val="Calibri"/>
        <family val="2"/>
      </rPr>
      <t>trend,2024</t>
    </r>
  </si>
  <si>
    <r>
      <t>q</t>
    </r>
    <r>
      <rPr>
        <vertAlign val="subscript"/>
        <sz val="11"/>
        <color rgb="FF000000"/>
        <rFont val="Calibri"/>
        <family val="2"/>
      </rPr>
      <t>i</t>
    </r>
  </si>
  <si>
    <r>
      <t>Fl</t>
    </r>
    <r>
      <rPr>
        <b/>
        <vertAlign val="subscript"/>
        <sz val="11"/>
        <color rgb="FF000000"/>
        <rFont val="Calibri"/>
        <family val="2"/>
      </rPr>
      <t>21</t>
    </r>
  </si>
  <si>
    <r>
      <t>TI</t>
    </r>
    <r>
      <rPr>
        <b/>
        <vertAlign val="subscript"/>
        <sz val="11"/>
        <color rgb="FF000000"/>
        <rFont val="Calibri"/>
        <family val="2"/>
      </rPr>
      <t>basis,2021,i</t>
    </r>
  </si>
  <si>
    <r>
      <t>C</t>
    </r>
    <r>
      <rPr>
        <b/>
        <vertAlign val="subscript"/>
        <sz val="11"/>
        <color rgb="FF000000"/>
        <rFont val="Calibri"/>
        <family val="2"/>
      </rPr>
      <t>A,2021,i</t>
    </r>
  </si>
  <si>
    <r>
      <t>C</t>
    </r>
    <r>
      <rPr>
        <b/>
        <vertAlign val="subscript"/>
        <sz val="11"/>
        <color rgb="FF000000"/>
        <rFont val="Calibri"/>
        <family val="2"/>
      </rPr>
      <t>NI,2021,i</t>
    </r>
  </si>
  <si>
    <r>
      <t>C</t>
    </r>
    <r>
      <rPr>
        <b/>
        <vertAlign val="subscript"/>
        <sz val="11"/>
        <color rgb="FF000000"/>
        <rFont val="Calibri"/>
        <family val="2"/>
      </rPr>
      <t>H,2021,i</t>
    </r>
  </si>
  <si>
    <r>
      <t>VNB</t>
    </r>
    <r>
      <rPr>
        <b/>
        <vertAlign val="subscript"/>
        <sz val="11"/>
        <color rgb="FF000000"/>
        <rFont val="Calibri"/>
        <family val="2"/>
      </rPr>
      <t>2021,i</t>
    </r>
  </si>
  <si>
    <r>
      <t>HWMW</t>
    </r>
    <r>
      <rPr>
        <b/>
        <vertAlign val="subscript"/>
        <sz val="11"/>
        <color rgb="FF000000"/>
        <rFont val="Calibri"/>
        <family val="2"/>
      </rPr>
      <t>2021,i</t>
    </r>
  </si>
  <si>
    <r>
      <t>BM</t>
    </r>
    <r>
      <rPr>
        <b/>
        <vertAlign val="subscript"/>
        <sz val="11"/>
        <color rgb="FF000000"/>
        <rFont val="Calibri"/>
        <family val="2"/>
      </rPr>
      <t>ex-ante,2021,i</t>
    </r>
  </si>
  <si>
    <r>
      <t>BM</t>
    </r>
    <r>
      <rPr>
        <b/>
        <vertAlign val="subscript"/>
        <sz val="11"/>
        <color rgb="FF000000"/>
        <rFont val="Calibri"/>
        <family val="2"/>
      </rPr>
      <t>ex-post,2021,i</t>
    </r>
  </si>
  <si>
    <r>
      <t>BM</t>
    </r>
    <r>
      <rPr>
        <b/>
        <vertAlign val="subscript"/>
        <sz val="11"/>
        <color rgb="FF000000"/>
        <rFont val="Calibri"/>
        <family val="2"/>
      </rPr>
      <t>2021,i</t>
    </r>
  </si>
  <si>
    <r>
      <t>V</t>
    </r>
    <r>
      <rPr>
        <b/>
        <vertAlign val="subscript"/>
        <sz val="10"/>
        <color rgb="FF000000"/>
        <rFont val="Calibri"/>
        <family val="2"/>
      </rPr>
      <t>2021,i</t>
    </r>
    <r>
      <rPr>
        <b/>
        <sz val="10"/>
        <color rgb="FF000000"/>
        <rFont val="Calibri"/>
        <family val="2"/>
      </rPr>
      <t>-TV</t>
    </r>
    <r>
      <rPr>
        <b/>
        <vertAlign val="subscript"/>
        <sz val="10"/>
        <color rgb="FF000000"/>
        <rFont val="Calibri"/>
        <family val="2"/>
      </rPr>
      <t>2021,i</t>
    </r>
  </si>
  <si>
    <r>
      <t>TI</t>
    </r>
    <r>
      <rPr>
        <b/>
        <vertAlign val="subscript"/>
        <sz val="10"/>
        <color rgb="FF000000"/>
        <rFont val="Calibri"/>
        <family val="2"/>
      </rPr>
      <t>end,2021,i</t>
    </r>
  </si>
  <si>
    <r>
      <t>I</t>
    </r>
    <r>
      <rPr>
        <b/>
        <vertAlign val="subscript"/>
        <sz val="11"/>
        <color rgb="FF000000"/>
        <rFont val="Calibri"/>
        <family val="2"/>
      </rPr>
      <t>2021</t>
    </r>
  </si>
  <si>
    <r>
      <t>CPI</t>
    </r>
    <r>
      <rPr>
        <b/>
        <vertAlign val="subscript"/>
        <sz val="11"/>
        <color rgb="FF000000"/>
        <rFont val="Calibri"/>
        <family val="2"/>
      </rPr>
      <t>2021</t>
    </r>
  </si>
  <si>
    <r>
      <t>TI</t>
    </r>
    <r>
      <rPr>
        <b/>
        <vertAlign val="subscript"/>
        <sz val="11"/>
        <color rgb="FF000000"/>
        <rFont val="Calibri"/>
        <family val="2"/>
      </rPr>
      <t>basis,2021,i,ex-post</t>
    </r>
  </si>
  <si>
    <r>
      <t>I</t>
    </r>
    <r>
      <rPr>
        <b/>
        <vertAlign val="subscript"/>
        <sz val="11"/>
        <color rgb="FF000000"/>
        <rFont val="Calibri"/>
        <family val="2"/>
      </rPr>
      <t>2022,v</t>
    </r>
  </si>
  <si>
    <r>
      <t>CPI</t>
    </r>
    <r>
      <rPr>
        <b/>
        <vertAlign val="subscript"/>
        <sz val="11"/>
        <color rgb="FF000000"/>
        <rFont val="Calibri"/>
        <family val="2"/>
      </rPr>
      <t>2022,v</t>
    </r>
  </si>
  <si>
    <r>
      <t>CPI</t>
    </r>
    <r>
      <rPr>
        <vertAlign val="subscript"/>
        <sz val="11"/>
        <color rgb="FF000000"/>
        <rFont val="Calibri"/>
        <family val="2"/>
      </rPr>
      <t>2022,v</t>
    </r>
  </si>
  <si>
    <r>
      <t>TI</t>
    </r>
    <r>
      <rPr>
        <b/>
        <vertAlign val="subscript"/>
        <sz val="11"/>
        <color rgb="FF000000"/>
        <rFont val="Calibri"/>
        <family val="2"/>
      </rPr>
      <t>basis,2022,i</t>
    </r>
  </si>
  <si>
    <r>
      <t>C</t>
    </r>
    <r>
      <rPr>
        <b/>
        <vertAlign val="subscript"/>
        <sz val="11"/>
        <color rgb="FF000000"/>
        <rFont val="Calibri"/>
        <family val="2"/>
      </rPr>
      <t>A,2022,i</t>
    </r>
  </si>
  <si>
    <r>
      <t>C</t>
    </r>
    <r>
      <rPr>
        <b/>
        <vertAlign val="subscript"/>
        <sz val="11"/>
        <color rgb="FF000000"/>
        <rFont val="Calibri"/>
        <family val="2"/>
      </rPr>
      <t>NI,2022,i</t>
    </r>
  </si>
  <si>
    <r>
      <t>C</t>
    </r>
    <r>
      <rPr>
        <b/>
        <vertAlign val="subscript"/>
        <sz val="11"/>
        <color rgb="FF000000"/>
        <rFont val="Calibri"/>
        <family val="2"/>
      </rPr>
      <t>H,2022,i</t>
    </r>
  </si>
  <si>
    <r>
      <t>VNB</t>
    </r>
    <r>
      <rPr>
        <b/>
        <vertAlign val="subscript"/>
        <sz val="11"/>
        <color rgb="FF000000"/>
        <rFont val="Calibri"/>
        <family val="2"/>
      </rPr>
      <t>2022,i</t>
    </r>
  </si>
  <si>
    <r>
      <t>HWMW</t>
    </r>
    <r>
      <rPr>
        <b/>
        <vertAlign val="subscript"/>
        <sz val="11"/>
        <color rgb="FF000000"/>
        <rFont val="Calibri"/>
        <family val="2"/>
      </rPr>
      <t>2022,i</t>
    </r>
  </si>
  <si>
    <r>
      <t>BM</t>
    </r>
    <r>
      <rPr>
        <b/>
        <vertAlign val="subscript"/>
        <sz val="11"/>
        <color rgb="FF000000"/>
        <rFont val="Calibri"/>
        <family val="2"/>
      </rPr>
      <t>ex-ante,2022,i</t>
    </r>
  </si>
  <si>
    <r>
      <t>BM</t>
    </r>
    <r>
      <rPr>
        <b/>
        <vertAlign val="subscript"/>
        <sz val="11"/>
        <color rgb="FF000000"/>
        <rFont val="Calibri"/>
        <family val="2"/>
      </rPr>
      <t>ex-post,2022,i</t>
    </r>
  </si>
  <si>
    <r>
      <t>BM</t>
    </r>
    <r>
      <rPr>
        <b/>
        <vertAlign val="subscript"/>
        <sz val="11"/>
        <color rgb="FF000000"/>
        <rFont val="Calibri"/>
        <family val="2"/>
      </rPr>
      <t>2022,i</t>
    </r>
  </si>
  <si>
    <r>
      <t>V</t>
    </r>
    <r>
      <rPr>
        <b/>
        <vertAlign val="subscript"/>
        <sz val="10"/>
        <color rgb="FF000000"/>
        <rFont val="Calibri"/>
        <family val="2"/>
      </rPr>
      <t>2022,i</t>
    </r>
    <r>
      <rPr>
        <b/>
        <sz val="10"/>
        <color rgb="FF000000"/>
        <rFont val="Calibri"/>
        <family val="2"/>
      </rPr>
      <t>-TV</t>
    </r>
    <r>
      <rPr>
        <b/>
        <vertAlign val="subscript"/>
        <sz val="10"/>
        <color rgb="FF000000"/>
        <rFont val="Calibri"/>
        <family val="2"/>
      </rPr>
      <t>2022,i</t>
    </r>
  </si>
  <si>
    <r>
      <t>TI</t>
    </r>
    <r>
      <rPr>
        <b/>
        <vertAlign val="subscript"/>
        <sz val="10"/>
        <color rgb="FF000000"/>
        <rFont val="Calibri"/>
        <family val="2"/>
      </rPr>
      <t>end,2022,i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</si>
</sst>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€&quot;_-;\-* #,##0.00\ &quot;€&quot;_-;_-* &quot;-&quot;??\ &quot;€&quot;_-;_-@_-"/>
    <numFmt numFmtId="165" formatCode="#,##0.00\ &quot;€&quot;"/>
    <numFmt numFmtId="166" formatCode="0.000000"/>
    <numFmt numFmtId="167" formatCode="0.000%"/>
    <numFmt numFmtId="168" formatCode="_-* #,##0.00\ _€_-;\-* #,##0.00\ _€_-;_-* &quot;-&quot;??\ _€_-;_-@_-"/>
    <numFmt numFmtId="169" formatCode="_-* #,##0.000000\ _€_-;\-* #,##0.000000\ _€_-;_-* &quot;-&quot;??\ _€_-;_-@_-"/>
    <numFmt numFmtId="170" formatCode="&quot;€&quot;\ #,##0.00"/>
    <numFmt numFmtId="171" formatCode="#,##0\ &quot;€&quot;"/>
    <numFmt numFmtId="172" formatCode="_-* #,##0\ &quot;€&quot;_-;\-* #,##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bscript"/>
      <sz val="10"/>
      <color rgb="FF000000"/>
      <name val="Calibri"/>
      <family val="2"/>
    </font>
    <font>
      <vertAlign val="subscript"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u/>
      <sz val="11"/>
      <color rgb="FF0000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9D9D9"/>
        <bgColor rgb="FF000000"/>
      </patternFill>
    </fill>
    <fill>
      <patternFill patternType="lightUp">
        <fgColor rgb="FF000000"/>
        <bgColor rgb="FFFFFFFF"/>
      </patternFill>
    </fill>
    <fill>
      <patternFill patternType="solid">
        <fgColor rgb="FFC5D9F1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3" fillId="4" borderId="0" xfId="0" applyFont="1" applyFill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3" fillId="2" borderId="11" xfId="0" applyFont="1" applyFill="1" applyBorder="1"/>
    <xf numFmtId="164" fontId="8" fillId="0" borderId="10" xfId="2" applyFont="1" applyFill="1" applyBorder="1"/>
    <xf numFmtId="10" fontId="8" fillId="0" borderId="10" xfId="2" applyNumberFormat="1" applyFont="1" applyFill="1" applyBorder="1"/>
    <xf numFmtId="0" fontId="3" fillId="2" borderId="12" xfId="0" applyFont="1" applyFill="1" applyBorder="1"/>
    <xf numFmtId="164" fontId="8" fillId="5" borderId="10" xfId="2" applyFont="1" applyFill="1" applyBorder="1"/>
    <xf numFmtId="10" fontId="8" fillId="5" borderId="10" xfId="2" applyNumberFormat="1" applyFont="1" applyFill="1" applyBorder="1"/>
    <xf numFmtId="0" fontId="3" fillId="2" borderId="13" xfId="0" applyFont="1" applyFill="1" applyBorder="1"/>
    <xf numFmtId="165" fontId="8" fillId="0" borderId="0" xfId="2" applyNumberFormat="1" applyFont="1" applyFill="1" applyBorder="1"/>
    <xf numFmtId="10" fontId="8" fillId="0" borderId="0" xfId="2" applyNumberFormat="1" applyFont="1" applyFill="1" applyBorder="1"/>
    <xf numFmtId="164" fontId="3" fillId="0" borderId="10" xfId="2" applyFont="1" applyFill="1" applyBorder="1"/>
    <xf numFmtId="0" fontId="3" fillId="2" borderId="10" xfId="0" applyFont="1" applyFill="1" applyBorder="1"/>
    <xf numFmtId="164" fontId="8" fillId="2" borderId="10" xfId="2" applyFont="1" applyFill="1" applyBorder="1"/>
    <xf numFmtId="164" fontId="3" fillId="2" borderId="0" xfId="2" applyFont="1" applyFill="1" applyBorder="1"/>
    <xf numFmtId="0" fontId="5" fillId="2" borderId="10" xfId="0" applyFont="1" applyFill="1" applyBorder="1"/>
    <xf numFmtId="2" fontId="3" fillId="6" borderId="10" xfId="0" applyNumberFormat="1" applyFont="1" applyFill="1" applyBorder="1"/>
    <xf numFmtId="10" fontId="8" fillId="2" borderId="10" xfId="3" applyNumberFormat="1" applyFont="1" applyFill="1" applyBorder="1"/>
    <xf numFmtId="0" fontId="5" fillId="2" borderId="10" xfId="0" applyFont="1" applyFill="1" applyBorder="1" applyAlignment="1">
      <alignment horizontal="left"/>
    </xf>
    <xf numFmtId="165" fontId="8" fillId="2" borderId="10" xfId="2" applyNumberFormat="1" applyFont="1" applyFill="1" applyBorder="1"/>
    <xf numFmtId="166" fontId="3" fillId="2" borderId="10" xfId="0" applyNumberFormat="1" applyFont="1" applyFill="1" applyBorder="1"/>
    <xf numFmtId="10" fontId="3" fillId="0" borderId="10" xfId="0" applyNumberFormat="1" applyFont="1" applyBorder="1"/>
    <xf numFmtId="0" fontId="11" fillId="2" borderId="0" xfId="0" applyFont="1" applyFill="1" applyAlignment="1">
      <alignment horizontal="center"/>
    </xf>
    <xf numFmtId="164" fontId="3" fillId="2" borderId="10" xfId="2" applyFont="1" applyFill="1" applyBorder="1" applyAlignment="1">
      <alignment horizontal="center" vertical="center"/>
    </xf>
    <xf numFmtId="10" fontId="8" fillId="2" borderId="10" xfId="2" applyNumberFormat="1" applyFont="1" applyFill="1" applyBorder="1"/>
    <xf numFmtId="10" fontId="3" fillId="2" borderId="10" xfId="0" applyNumberFormat="1" applyFont="1" applyFill="1" applyBorder="1" applyAlignment="1">
      <alignment horizontal="center" vertical="center"/>
    </xf>
    <xf numFmtId="167" fontId="3" fillId="6" borderId="10" xfId="3" applyNumberFormat="1" applyFont="1" applyFill="1" applyBorder="1" applyAlignment="1">
      <alignment vertical="center"/>
    </xf>
    <xf numFmtId="164" fontId="3" fillId="0" borderId="10" xfId="2" applyFont="1" applyFill="1" applyBorder="1" applyAlignment="1">
      <alignment horizontal="center" vertical="center"/>
    </xf>
    <xf numFmtId="4" fontId="3" fillId="2" borderId="0" xfId="0" applyNumberFormat="1" applyFont="1" applyFill="1"/>
    <xf numFmtId="4" fontId="12" fillId="2" borderId="0" xfId="0" applyNumberFormat="1" applyFont="1" applyFill="1"/>
    <xf numFmtId="0" fontId="3" fillId="2" borderId="10" xfId="0" applyFont="1" applyFill="1" applyBorder="1" applyAlignment="1">
      <alignment horizontal="center" vertical="center"/>
    </xf>
    <xf numFmtId="167" fontId="8" fillId="5" borderId="10" xfId="3" applyNumberFormat="1" applyFont="1" applyFill="1" applyBorder="1"/>
    <xf numFmtId="165" fontId="8" fillId="5" borderId="10" xfId="2" applyNumberFormat="1" applyFont="1" applyFill="1" applyBorder="1"/>
    <xf numFmtId="165" fontId="5" fillId="2" borderId="0" xfId="0" applyNumberFormat="1" applyFont="1" applyFill="1"/>
    <xf numFmtId="165" fontId="11" fillId="2" borderId="0" xfId="0" applyNumberFormat="1" applyFont="1" applyFill="1"/>
    <xf numFmtId="164" fontId="3" fillId="2" borderId="0" xfId="0" applyNumberFormat="1" applyFont="1" applyFill="1"/>
    <xf numFmtId="0" fontId="5" fillId="2" borderId="10" xfId="0" quotePrefix="1" applyFont="1" applyFill="1" applyBorder="1" applyAlignment="1">
      <alignment horizontal="center" vertical="center"/>
    </xf>
    <xf numFmtId="164" fontId="8" fillId="6" borderId="10" xfId="2" applyFont="1" applyFill="1" applyBorder="1"/>
    <xf numFmtId="164" fontId="5" fillId="2" borderId="0" xfId="0" applyNumberFormat="1" applyFont="1" applyFill="1"/>
    <xf numFmtId="0" fontId="3" fillId="2" borderId="14" xfId="0" applyFont="1" applyFill="1" applyBorder="1"/>
    <xf numFmtId="0" fontId="5" fillId="2" borderId="15" xfId="0" applyFont="1" applyFill="1" applyBorder="1" applyAlignment="1">
      <alignment horizontal="center" vertical="center"/>
    </xf>
    <xf numFmtId="0" fontId="14" fillId="2" borderId="0" xfId="0" applyFont="1" applyFill="1"/>
    <xf numFmtId="164" fontId="8" fillId="2" borderId="16" xfId="2" applyFont="1" applyFill="1" applyBorder="1"/>
    <xf numFmtId="164" fontId="8" fillId="2" borderId="17" xfId="2" applyFont="1" applyFill="1" applyBorder="1"/>
    <xf numFmtId="164" fontId="8" fillId="2" borderId="18" xfId="2" applyFont="1" applyFill="1" applyBorder="1"/>
    <xf numFmtId="0" fontId="15" fillId="2" borderId="0" xfId="0" applyFont="1" applyFill="1"/>
    <xf numFmtId="164" fontId="8" fillId="2" borderId="12" xfId="2" applyFont="1" applyFill="1" applyBorder="1"/>
    <xf numFmtId="164" fontId="8" fillId="5" borderId="16" xfId="2" applyFont="1" applyFill="1" applyBorder="1"/>
    <xf numFmtId="164" fontId="8" fillId="5" borderId="17" xfId="2" applyFont="1" applyFill="1" applyBorder="1"/>
    <xf numFmtId="164" fontId="8" fillId="5" borderId="12" xfId="2" applyFont="1" applyFill="1" applyBorder="1"/>
    <xf numFmtId="164" fontId="8" fillId="2" borderId="13" xfId="2" applyFont="1" applyFill="1" applyBorder="1"/>
    <xf numFmtId="0" fontId="3" fillId="0" borderId="0" xfId="0" applyFont="1"/>
    <xf numFmtId="0" fontId="16" fillId="2" borderId="0" xfId="4" applyFont="1" applyFill="1" applyBorder="1"/>
    <xf numFmtId="2" fontId="3" fillId="2" borderId="10" xfId="0" applyNumberFormat="1" applyFont="1" applyFill="1" applyBorder="1"/>
    <xf numFmtId="167" fontId="3" fillId="2" borderId="10" xfId="3" applyNumberFormat="1" applyFont="1" applyFill="1" applyBorder="1" applyAlignment="1">
      <alignment vertical="center"/>
    </xf>
    <xf numFmtId="165" fontId="3" fillId="2" borderId="0" xfId="0" applyNumberFormat="1" applyFont="1" applyFill="1"/>
    <xf numFmtId="167" fontId="3" fillId="5" borderId="10" xfId="3" applyNumberFormat="1" applyFont="1" applyFill="1" applyBorder="1" applyAlignment="1">
      <alignment vertical="center"/>
    </xf>
    <xf numFmtId="170" fontId="3" fillId="2" borderId="0" xfId="0" applyNumberFormat="1" applyFont="1" applyFill="1"/>
    <xf numFmtId="10" fontId="3" fillId="2" borderId="0" xfId="0" applyNumberFormat="1" applyFont="1" applyFill="1"/>
    <xf numFmtId="0" fontId="5" fillId="2" borderId="10" xfId="0" applyFont="1" applyFill="1" applyBorder="1" applyAlignment="1">
      <alignment horizontal="left" vertical="center"/>
    </xf>
    <xf numFmtId="164" fontId="3" fillId="2" borderId="10" xfId="2" applyFont="1" applyFill="1" applyBorder="1"/>
    <xf numFmtId="169" fontId="3" fillId="2" borderId="10" xfId="1" applyNumberFormat="1" applyFont="1" applyFill="1" applyBorder="1" applyAlignment="1">
      <alignment vertical="center"/>
    </xf>
    <xf numFmtId="169" fontId="3" fillId="5" borderId="10" xfId="1" applyNumberFormat="1" applyFont="1" applyFill="1" applyBorder="1" applyAlignment="1">
      <alignment vertical="center"/>
    </xf>
    <xf numFmtId="171" fontId="5" fillId="2" borderId="0" xfId="0" applyNumberFormat="1" applyFont="1" applyFill="1"/>
    <xf numFmtId="172" fontId="3" fillId="2" borderId="0" xfId="2" applyNumberFormat="1" applyFont="1" applyFill="1" applyBorder="1"/>
    <xf numFmtId="165" fontId="8" fillId="2" borderId="16" xfId="2" applyNumberFormat="1" applyFont="1" applyFill="1" applyBorder="1"/>
    <xf numFmtId="170" fontId="15" fillId="2" borderId="0" xfId="0" applyNumberFormat="1" applyFont="1" applyFill="1"/>
    <xf numFmtId="165" fontId="8" fillId="5" borderId="16" xfId="2" applyNumberFormat="1" applyFont="1" applyFill="1" applyBorder="1"/>
    <xf numFmtId="170" fontId="14" fillId="2" borderId="0" xfId="0" applyNumberFormat="1" applyFont="1" applyFill="1"/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777081</xdr:colOff>
      <xdr:row>27</xdr:row>
      <xdr:rowOff>75407</xdr:rowOff>
    </xdr:from>
    <xdr:to>
      <xdr:col>18</xdr:col>
      <xdr:colOff>125585</xdr:colOff>
      <xdr:row>52</xdr:row>
      <xdr:rowOff>8566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E5F42E7B-9AA3-4C4A-A8AD-6206FE46E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99481" y="5161757"/>
          <a:ext cx="6838329" cy="4590884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59531</xdr:colOff>
      <xdr:row>110</xdr:row>
      <xdr:rowOff>95250</xdr:rowOff>
    </xdr:from>
    <xdr:to>
      <xdr:col>16</xdr:col>
      <xdr:colOff>389731</xdr:colOff>
      <xdr:row>135</xdr:row>
      <xdr:rowOff>143364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78F8311-15D8-402D-B131-F24AC813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13356" y="20640675"/>
          <a:ext cx="7893050" cy="47153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sites/KT_Tariefregulering/Gedeelde%20%20documenten/TM%2021-24/2%20Toegelaten%20inkomens/T.I.%202022/ENDO/4.%20Correctie%20TI%202022_Minimale%20levering%20gas/Bijlage%2010%20-%20Ex-ante%20TI%202022_Correcties%20GSC+Toesl+min%20levering.xlsx?3B69D1B3" TargetMode="External"/><Relationship Id="rId1" Type="http://schemas.openxmlformats.org/officeDocument/2006/relationships/externalLinkPath" Target="file:///\\3B69D1B3\Bijlage%2010%20-%20Ex-ante%20TI%202022_Correcties%20GSC+Toesl+min%20leve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/>
      <sheetData sheetId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stabel"/>
      <sheetName val="T1"/>
      <sheetName val="T2"/>
      <sheetName val="T3"/>
      <sheetName val="T4"/>
      <sheetName val="T5"/>
      <sheetName val="wacc"/>
      <sheetName val="TI_Elek"/>
      <sheetName val="TI_Ex_Elek"/>
      <sheetName val="TI_En_Elek"/>
      <sheetName val="T9"/>
      <sheetName val="Gemeenteversch '19-'21 - ELEK"/>
      <sheetName val="T10"/>
      <sheetName val="TI_Gas"/>
      <sheetName val="Kosten OV"/>
      <sheetName val="TI_En_Gas"/>
      <sheetName val="TI_Ex_Gas"/>
      <sheetName val="T14"/>
      <sheetName val="Gemeenteversch '19-'21 - GAS"/>
      <sheetName val="T15"/>
      <sheetName val="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G6" t="str">
            <v>Gaselwest</v>
          </cell>
          <cell r="H6">
            <v>3065736.3376770401</v>
          </cell>
          <cell r="I6">
            <v>0</v>
          </cell>
          <cell r="J6">
            <v>0</v>
          </cell>
          <cell r="K6">
            <v>0</v>
          </cell>
        </row>
        <row r="7">
          <cell r="G7" t="str">
            <v>Fluvius Antwerpen</v>
          </cell>
          <cell r="H7">
            <v>3996643.6909790793</v>
          </cell>
          <cell r="I7">
            <v>0</v>
          </cell>
          <cell r="J7">
            <v>0</v>
          </cell>
          <cell r="K7">
            <v>0</v>
          </cell>
        </row>
        <row r="8">
          <cell r="G8" t="str">
            <v>Fluvius Limburg</v>
          </cell>
          <cell r="H8">
            <v>4714197.8438378097</v>
          </cell>
          <cell r="I8">
            <v>0</v>
          </cell>
          <cell r="J8">
            <v>0</v>
          </cell>
          <cell r="K8">
            <v>0</v>
          </cell>
        </row>
        <row r="9">
          <cell r="G9" t="str">
            <v>Fluvius West</v>
          </cell>
          <cell r="H9">
            <v>681562.95947087661</v>
          </cell>
          <cell r="I9">
            <v>0</v>
          </cell>
          <cell r="J9">
            <v>0</v>
          </cell>
          <cell r="K9">
            <v>0</v>
          </cell>
        </row>
        <row r="10">
          <cell r="G10" t="str">
            <v>Imewo</v>
          </cell>
          <cell r="H10">
            <v>5893801.1010000594</v>
          </cell>
          <cell r="I10">
            <v>0</v>
          </cell>
          <cell r="J10">
            <v>0</v>
          </cell>
          <cell r="K10">
            <v>0</v>
          </cell>
        </row>
        <row r="11">
          <cell r="G11" t="str">
            <v>Intergem</v>
          </cell>
          <cell r="H11">
            <v>2377039.9885256877</v>
          </cell>
          <cell r="I11">
            <v>0</v>
          </cell>
          <cell r="J11">
            <v>0</v>
          </cell>
          <cell r="K11">
            <v>0</v>
          </cell>
        </row>
        <row r="12">
          <cell r="G12" t="str">
            <v>Iveka</v>
          </cell>
          <cell r="H12">
            <v>2737600.4123751717</v>
          </cell>
          <cell r="I12">
            <v>0</v>
          </cell>
          <cell r="J12">
            <v>0</v>
          </cell>
          <cell r="K12">
            <v>0</v>
          </cell>
        </row>
        <row r="13">
          <cell r="G13" t="str">
            <v>Iverlek</v>
          </cell>
          <cell r="H13">
            <v>4761213.3667318514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PBE</v>
          </cell>
        </row>
        <row r="15">
          <cell r="G15" t="str">
            <v>Sibelgas</v>
          </cell>
          <cell r="H15">
            <v>561916.5598301756</v>
          </cell>
          <cell r="I15">
            <v>0</v>
          </cell>
          <cell r="J15">
            <v>0</v>
          </cell>
          <cell r="K15">
            <v>0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.be/databases/17-nl-indexcijfer_der_consumptieprijzen_inflatievooruitzichten" TargetMode="External"/><Relationship Id="rId1" Type="http://schemas.openxmlformats.org/officeDocument/2006/relationships/hyperlink" Target="https://bestat.statbel.fgov.be/bestat/crosstable.xhtml?view=876acb9d-4eae-408e-93d9-88eae4ad1ea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D67D-E366-45F0-8238-C2272A47ED58}">
  <dimension ref="A1:L166"/>
  <sheetViews>
    <sheetView showGridLines="0" tabSelected="1" topLeftCell="A120" zoomScale="80" zoomScaleNormal="80" workbookViewId="0">
      <selection activeCell="E156" sqref="E156:E165"/>
    </sheetView>
  </sheetViews>
  <sheetFormatPr defaultColWidth="9.140625" defaultRowHeight="15" x14ac:dyDescent="0.25"/>
  <cols>
    <col min="1" max="1" width="6" style="1" customWidth="1"/>
    <col min="2" max="2" width="19.42578125" style="1" customWidth="1"/>
    <col min="3" max="7" width="17.85546875" style="1" customWidth="1"/>
    <col min="8" max="8" width="15.28515625" style="1" customWidth="1"/>
    <col min="9" max="9" width="17.7109375" style="1" customWidth="1"/>
    <col min="10" max="10" width="17.5703125" style="1" customWidth="1"/>
    <col min="11" max="11" width="19" style="1" customWidth="1"/>
    <col min="12" max="21" width="17.85546875" style="1" customWidth="1"/>
    <col min="22" max="16384" width="9.140625" style="1"/>
  </cols>
  <sheetData>
    <row r="1" spans="2:10" ht="15.75" thickBot="1" x14ac:dyDescent="0.3"/>
    <row r="2" spans="2:10" x14ac:dyDescent="0.25">
      <c r="B2" s="2" t="s">
        <v>0</v>
      </c>
      <c r="C2" s="3"/>
      <c r="D2" s="3"/>
      <c r="E2" s="3"/>
      <c r="F2" s="3"/>
      <c r="G2" s="3"/>
      <c r="H2" s="3"/>
      <c r="I2" s="3"/>
      <c r="J2" s="4"/>
    </row>
    <row r="3" spans="2:10" ht="15.75" thickBot="1" x14ac:dyDescent="0.3">
      <c r="B3" s="5"/>
      <c r="C3" s="6"/>
      <c r="D3" s="6"/>
      <c r="E3" s="6"/>
      <c r="F3" s="6"/>
      <c r="G3" s="6"/>
      <c r="H3" s="6"/>
      <c r="I3" s="6"/>
      <c r="J3" s="7"/>
    </row>
    <row r="5" spans="2:10" x14ac:dyDescent="0.25">
      <c r="B5" s="8" t="s">
        <v>1</v>
      </c>
    </row>
    <row r="6" spans="2:10" ht="15.75" thickBot="1" x14ac:dyDescent="0.3"/>
    <row r="7" spans="2:10" ht="21.75" thickBot="1" x14ac:dyDescent="0.4">
      <c r="B7" s="9" t="s">
        <v>2</v>
      </c>
      <c r="C7" s="10"/>
      <c r="D7" s="10"/>
      <c r="E7" s="10"/>
      <c r="F7" s="10"/>
      <c r="G7" s="10"/>
      <c r="H7" s="10"/>
      <c r="I7" s="10"/>
      <c r="J7" s="11"/>
    </row>
    <row r="10" spans="2:10" x14ac:dyDescent="0.25">
      <c r="B10" s="12" t="s">
        <v>3</v>
      </c>
      <c r="C10" s="12"/>
      <c r="D10" s="12"/>
      <c r="E10" s="12"/>
      <c r="F10" s="12"/>
      <c r="G10" s="12"/>
      <c r="H10" s="12"/>
      <c r="I10" s="12"/>
      <c r="J10" s="12"/>
    </row>
    <row r="13" spans="2:10" x14ac:dyDescent="0.25">
      <c r="B13" s="8" t="s">
        <v>42</v>
      </c>
    </row>
    <row r="15" spans="2:10" ht="18.75" thickBot="1" x14ac:dyDescent="0.4">
      <c r="B15" s="13" t="s">
        <v>43</v>
      </c>
      <c r="C15" s="14">
        <v>2015</v>
      </c>
      <c r="D15" s="14">
        <v>2016</v>
      </c>
      <c r="E15" s="14">
        <v>2017</v>
      </c>
      <c r="F15" s="14">
        <v>2018</v>
      </c>
      <c r="G15" s="14">
        <v>2019</v>
      </c>
      <c r="H15" s="14" t="s">
        <v>44</v>
      </c>
    </row>
    <row r="16" spans="2:10" x14ac:dyDescent="0.25">
      <c r="B16" s="15" t="s">
        <v>4</v>
      </c>
      <c r="C16" s="16">
        <v>56500285.26999519</v>
      </c>
      <c r="D16" s="16">
        <v>57035969.441456594</v>
      </c>
      <c r="E16" s="16">
        <v>54990429.6658803</v>
      </c>
      <c r="F16" s="16">
        <v>55679725.574234985</v>
      </c>
      <c r="G16" s="16">
        <v>56234566.08367826</v>
      </c>
      <c r="H16" s="17">
        <v>0.14542929038935648</v>
      </c>
    </row>
    <row r="17" spans="2:10" x14ac:dyDescent="0.25">
      <c r="B17" s="18" t="s">
        <v>5</v>
      </c>
      <c r="C17" s="16">
        <v>59329252.170831986</v>
      </c>
      <c r="D17" s="16">
        <v>59364846.818917006</v>
      </c>
      <c r="E17" s="16">
        <v>68104494.800119027</v>
      </c>
      <c r="F17" s="16">
        <v>68575136.30812183</v>
      </c>
      <c r="G17" s="16">
        <v>71411755.481614321</v>
      </c>
      <c r="H17" s="17">
        <v>0.16946233018177184</v>
      </c>
    </row>
    <row r="18" spans="2:10" x14ac:dyDescent="0.25">
      <c r="B18" s="18" t="s">
        <v>6</v>
      </c>
      <c r="C18" s="16">
        <v>44323734.680598035</v>
      </c>
      <c r="D18" s="16">
        <v>42886493.59666571</v>
      </c>
      <c r="E18" s="16">
        <v>44811411.173722662</v>
      </c>
      <c r="F18" s="16">
        <v>46469152.160840087</v>
      </c>
      <c r="G18" s="16">
        <v>48025542.874653928</v>
      </c>
      <c r="H18" s="17">
        <v>0.11746539415062818</v>
      </c>
    </row>
    <row r="19" spans="2:10" x14ac:dyDescent="0.25">
      <c r="B19" s="18" t="s">
        <v>7</v>
      </c>
      <c r="C19" s="16">
        <v>10579060.592450643</v>
      </c>
      <c r="D19" s="16">
        <v>10073577.517126566</v>
      </c>
      <c r="E19" s="16">
        <v>10307345.310666911</v>
      </c>
      <c r="F19" s="16">
        <v>10225078.690015767</v>
      </c>
      <c r="G19" s="16">
        <v>10498333.182651317</v>
      </c>
      <c r="H19" s="17">
        <v>2.6801645068501152E-2</v>
      </c>
    </row>
    <row r="20" spans="2:10" x14ac:dyDescent="0.25">
      <c r="B20" s="18" t="s">
        <v>8</v>
      </c>
      <c r="C20" s="16">
        <v>74215698.242847309</v>
      </c>
      <c r="D20" s="16">
        <v>74325960.259248704</v>
      </c>
      <c r="E20" s="16">
        <v>76427071.01167728</v>
      </c>
      <c r="F20" s="16">
        <v>78431673.268044502</v>
      </c>
      <c r="G20" s="16">
        <v>78629541.787275106</v>
      </c>
      <c r="H20" s="17">
        <v>0.19811064892024152</v>
      </c>
    </row>
    <row r="21" spans="2:10" x14ac:dyDescent="0.25">
      <c r="B21" s="18" t="s">
        <v>9</v>
      </c>
      <c r="C21" s="16">
        <v>31480340.275175758</v>
      </c>
      <c r="D21" s="16">
        <v>29298946.280526388</v>
      </c>
      <c r="E21" s="16">
        <v>34416847.543972053</v>
      </c>
      <c r="F21" s="16">
        <v>34078954.857253954</v>
      </c>
      <c r="G21" s="16">
        <v>34176100.401268698</v>
      </c>
      <c r="H21" s="17">
        <v>8.4761473939070353E-2</v>
      </c>
    </row>
    <row r="22" spans="2:10" x14ac:dyDescent="0.25">
      <c r="B22" s="18" t="s">
        <v>10</v>
      </c>
      <c r="C22" s="16">
        <v>25574725.161763221</v>
      </c>
      <c r="D22" s="16">
        <v>25161191.524438001</v>
      </c>
      <c r="E22" s="16">
        <v>27509785.332684044</v>
      </c>
      <c r="F22" s="16">
        <v>28189886.927676138</v>
      </c>
      <c r="G22" s="16">
        <v>28322017.787839469</v>
      </c>
      <c r="H22" s="17">
        <v>6.9881739106088678E-2</v>
      </c>
    </row>
    <row r="23" spans="2:10" x14ac:dyDescent="0.25">
      <c r="B23" s="18" t="s">
        <v>11</v>
      </c>
      <c r="C23" s="16">
        <v>64871474.933628045</v>
      </c>
      <c r="D23" s="16">
        <v>64478821.225067265</v>
      </c>
      <c r="E23" s="16">
        <v>64311415.081327215</v>
      </c>
      <c r="F23" s="16">
        <v>67054419.450006768</v>
      </c>
      <c r="G23" s="16">
        <v>67118137.05058749</v>
      </c>
      <c r="H23" s="17">
        <v>0.1700062009370566</v>
      </c>
    </row>
    <row r="24" spans="2:10" x14ac:dyDescent="0.25">
      <c r="B24" s="18" t="s">
        <v>12</v>
      </c>
      <c r="C24" s="19"/>
      <c r="D24" s="19"/>
      <c r="E24" s="19"/>
      <c r="F24" s="19"/>
      <c r="G24" s="19"/>
      <c r="H24" s="20"/>
    </row>
    <row r="25" spans="2:10" ht="15.75" thickBot="1" x14ac:dyDescent="0.3">
      <c r="B25" s="21" t="s">
        <v>13</v>
      </c>
      <c r="C25" s="16">
        <v>9427369.4988343045</v>
      </c>
      <c r="D25" s="16">
        <v>6820177.2694474887</v>
      </c>
      <c r="E25" s="16">
        <v>5964548.6139391996</v>
      </c>
      <c r="F25" s="16">
        <v>6161291.0571665652</v>
      </c>
      <c r="G25" s="16">
        <v>6493943.535496708</v>
      </c>
      <c r="H25" s="17">
        <v>1.8081277307285065E-2</v>
      </c>
    </row>
    <row r="26" spans="2:10" x14ac:dyDescent="0.25">
      <c r="C26" s="22"/>
      <c r="D26" s="22"/>
      <c r="E26" s="22"/>
      <c r="F26" s="22"/>
      <c r="G26" s="22"/>
      <c r="H26" s="23"/>
    </row>
    <row r="27" spans="2:10" ht="18" x14ac:dyDescent="0.35">
      <c r="B27" s="13" t="s">
        <v>45</v>
      </c>
      <c r="C27" s="16">
        <v>-8500000</v>
      </c>
      <c r="D27" s="16">
        <v>-8500000</v>
      </c>
      <c r="E27" s="16">
        <v>-8500000</v>
      </c>
      <c r="F27" s="16">
        <v>-8500000</v>
      </c>
      <c r="G27" s="24">
        <v>-4231681.75</v>
      </c>
      <c r="H27" s="23"/>
    </row>
    <row r="28" spans="2:10" x14ac:dyDescent="0.25">
      <c r="C28" s="22"/>
      <c r="D28" s="22"/>
      <c r="E28" s="22"/>
      <c r="F28" s="22"/>
      <c r="G28" s="22"/>
      <c r="H28" s="23"/>
    </row>
    <row r="29" spans="2:10" ht="18" x14ac:dyDescent="0.35">
      <c r="B29" s="13" t="s">
        <v>46</v>
      </c>
      <c r="C29" s="14">
        <v>2015</v>
      </c>
      <c r="D29" s="14">
        <v>2016</v>
      </c>
      <c r="E29" s="14">
        <v>2017</v>
      </c>
      <c r="F29" s="14">
        <v>2018</v>
      </c>
      <c r="G29" s="14">
        <v>2019</v>
      </c>
      <c r="I29" s="14" t="s">
        <v>47</v>
      </c>
      <c r="J29" s="14" t="s">
        <v>48</v>
      </c>
    </row>
    <row r="30" spans="2:10" x14ac:dyDescent="0.25">
      <c r="B30" s="25" t="s">
        <v>14</v>
      </c>
      <c r="C30" s="26">
        <f>SUM(C16:C25,C27)</f>
        <v>367801940.82612443</v>
      </c>
      <c r="D30" s="26">
        <f t="shared" ref="D30:G30" si="0">SUM(D16:D25,D27)</f>
        <v>360945983.93289375</v>
      </c>
      <c r="E30" s="26">
        <f t="shared" si="0"/>
        <v>378343348.53398871</v>
      </c>
      <c r="F30" s="26">
        <f t="shared" si="0"/>
        <v>386365318.29336065</v>
      </c>
      <c r="G30" s="26">
        <f t="shared" si="0"/>
        <v>396678256.43506527</v>
      </c>
      <c r="H30" s="27"/>
      <c r="I30" s="26">
        <f>TREND($C$30:$G$30,$C$29:$G$29,2021)</f>
        <v>411295755.8356266</v>
      </c>
      <c r="J30" s="26">
        <f>TREND($C$30:$G$30,$C$29:$G$29,2024)</f>
        <v>436247345.50913048</v>
      </c>
    </row>
    <row r="32" spans="2:10" x14ac:dyDescent="0.25">
      <c r="B32" s="8" t="s">
        <v>15</v>
      </c>
      <c r="I32" s="8" t="s">
        <v>16</v>
      </c>
    </row>
    <row r="33" spans="2:11" ht="15" customHeight="1" x14ac:dyDescent="0.25"/>
    <row r="34" spans="2:11" ht="15" customHeight="1" x14ac:dyDescent="0.35">
      <c r="B34" s="28" t="s">
        <v>49</v>
      </c>
      <c r="C34" s="29">
        <v>111.13</v>
      </c>
      <c r="D34" s="1" t="s">
        <v>17</v>
      </c>
      <c r="I34" s="25" t="s">
        <v>18</v>
      </c>
      <c r="J34" s="25">
        <v>2021</v>
      </c>
    </row>
    <row r="35" spans="2:11" ht="15" customHeight="1" x14ac:dyDescent="0.35">
      <c r="B35" s="28" t="s">
        <v>50</v>
      </c>
      <c r="C35" s="29">
        <v>109.76</v>
      </c>
      <c r="D35" s="1" t="s">
        <v>19</v>
      </c>
      <c r="I35" s="25" t="s">
        <v>20</v>
      </c>
      <c r="J35" s="25">
        <v>2024</v>
      </c>
    </row>
    <row r="36" spans="2:11" ht="15" customHeight="1" x14ac:dyDescent="0.35">
      <c r="B36" s="28" t="s">
        <v>51</v>
      </c>
      <c r="C36" s="30">
        <f>+C34/C35-1</f>
        <v>1.2481778425655898E-2</v>
      </c>
      <c r="I36" s="31" t="s">
        <v>21</v>
      </c>
      <c r="J36" s="25">
        <f>+J35-J34+1</f>
        <v>4</v>
      </c>
    </row>
    <row r="37" spans="2:11" ht="15" customHeight="1" x14ac:dyDescent="0.25">
      <c r="I37" s="31" t="s">
        <v>52</v>
      </c>
      <c r="J37" s="32">
        <f>+I30</f>
        <v>411295755.8356266</v>
      </c>
    </row>
    <row r="38" spans="2:11" ht="15" customHeight="1" x14ac:dyDescent="0.25">
      <c r="B38" s="8" t="s">
        <v>22</v>
      </c>
      <c r="I38" s="31" t="s">
        <v>53</v>
      </c>
      <c r="J38" s="32">
        <f>+J30</f>
        <v>436247345.50913048</v>
      </c>
    </row>
    <row r="39" spans="2:11" ht="15" customHeight="1" x14ac:dyDescent="0.25">
      <c r="I39" s="31" t="s">
        <v>23</v>
      </c>
      <c r="J39" s="33">
        <f>1-POWER(J38/J37,1/3)</f>
        <v>-1.9826257980977147E-2</v>
      </c>
    </row>
    <row r="40" spans="2:11" ht="15" customHeight="1" x14ac:dyDescent="0.25">
      <c r="B40" s="28" t="s">
        <v>24</v>
      </c>
      <c r="C40" s="34">
        <v>4.0000000000000001E-3</v>
      </c>
    </row>
    <row r="42" spans="2:11" x14ac:dyDescent="0.25">
      <c r="B42" s="8" t="s">
        <v>25</v>
      </c>
    </row>
    <row r="44" spans="2:11" ht="18" x14ac:dyDescent="0.25">
      <c r="B44" s="25"/>
      <c r="C44" s="14" t="s">
        <v>52</v>
      </c>
      <c r="D44" s="14" t="s">
        <v>44</v>
      </c>
      <c r="E44" s="14" t="s">
        <v>51</v>
      </c>
      <c r="F44" s="14" t="s">
        <v>24</v>
      </c>
      <c r="G44" s="14" t="s">
        <v>54</v>
      </c>
      <c r="H44" s="14" t="s">
        <v>55</v>
      </c>
      <c r="I44" s="14" t="s">
        <v>56</v>
      </c>
      <c r="J44" s="35"/>
      <c r="K44" s="35"/>
    </row>
    <row r="45" spans="2:11" x14ac:dyDescent="0.25">
      <c r="B45" s="25" t="s">
        <v>4</v>
      </c>
      <c r="C45" s="36">
        <f>+I30</f>
        <v>411295755.8356266</v>
      </c>
      <c r="D45" s="37">
        <f>+H16</f>
        <v>0.14542929038935648</v>
      </c>
      <c r="E45" s="38">
        <f>+C36</f>
        <v>1.2481778425655898E-2</v>
      </c>
      <c r="F45" s="38">
        <f>+C40</f>
        <v>4.0000000000000001E-3</v>
      </c>
      <c r="G45" s="39">
        <v>4.1354096962781971E-5</v>
      </c>
      <c r="H45" s="40">
        <v>6875000</v>
      </c>
      <c r="I45" s="32">
        <f>+($C$45*D45*(1+$E$45-$F$45)*(1+G45))-(D45*$H$45)</f>
        <v>59324451.003558561</v>
      </c>
      <c r="J45" s="41"/>
      <c r="K45" s="42"/>
    </row>
    <row r="46" spans="2:11" x14ac:dyDescent="0.25">
      <c r="B46" s="25" t="s">
        <v>5</v>
      </c>
      <c r="C46" s="36"/>
      <c r="D46" s="37">
        <f t="shared" ref="D46:D54" si="1">+H17</f>
        <v>0.16946233018177184</v>
      </c>
      <c r="E46" s="43"/>
      <c r="F46" s="43"/>
      <c r="G46" s="39">
        <v>5.6018800789664862E-5</v>
      </c>
      <c r="H46" s="40"/>
      <c r="I46" s="32">
        <f t="shared" ref="I46:I54" si="2">+($C$45*D46*(1+$E$45-$F$45)*(1+G46))-(D46*$H$45)</f>
        <v>69129193.874642998</v>
      </c>
      <c r="J46" s="41"/>
      <c r="K46" s="42"/>
    </row>
    <row r="47" spans="2:11" x14ac:dyDescent="0.25">
      <c r="B47" s="25" t="s">
        <v>6</v>
      </c>
      <c r="C47" s="36"/>
      <c r="D47" s="37">
        <f t="shared" si="1"/>
        <v>0.11746539415062818</v>
      </c>
      <c r="E47" s="43"/>
      <c r="F47" s="43"/>
      <c r="G47" s="39">
        <v>-2.4394248044410462E-4</v>
      </c>
      <c r="H47" s="40"/>
      <c r="I47" s="32">
        <f t="shared" si="2"/>
        <v>47903338.240993336</v>
      </c>
      <c r="J47" s="41"/>
      <c r="K47" s="42"/>
    </row>
    <row r="48" spans="2:11" x14ac:dyDescent="0.25">
      <c r="B48" s="25" t="s">
        <v>7</v>
      </c>
      <c r="C48" s="36"/>
      <c r="D48" s="37">
        <f t="shared" si="1"/>
        <v>2.6801645068501152E-2</v>
      </c>
      <c r="E48" s="43"/>
      <c r="F48" s="43"/>
      <c r="G48" s="39">
        <v>3.9220913459452637E-5</v>
      </c>
      <c r="H48" s="40"/>
      <c r="I48" s="32">
        <f t="shared" si="2"/>
        <v>10933075.631857507</v>
      </c>
      <c r="J48" s="41"/>
      <c r="K48" s="42"/>
    </row>
    <row r="49" spans="2:12" x14ac:dyDescent="0.25">
      <c r="B49" s="25" t="s">
        <v>8</v>
      </c>
      <c r="C49" s="36"/>
      <c r="D49" s="37">
        <f t="shared" si="1"/>
        <v>0.19811064892024152</v>
      </c>
      <c r="E49" s="43"/>
      <c r="F49" s="43"/>
      <c r="G49" s="39">
        <v>6.1081671287987923E-6</v>
      </c>
      <c r="H49" s="40"/>
      <c r="I49" s="32">
        <f t="shared" si="2"/>
        <v>80811673.158597052</v>
      </c>
      <c r="J49" s="41"/>
      <c r="K49" s="42"/>
    </row>
    <row r="50" spans="2:12" x14ac:dyDescent="0.25">
      <c r="B50" s="25" t="s">
        <v>9</v>
      </c>
      <c r="C50" s="36"/>
      <c r="D50" s="37">
        <f t="shared" si="1"/>
        <v>8.4761473939070353E-2</v>
      </c>
      <c r="E50" s="43"/>
      <c r="F50" s="43"/>
      <c r="G50" s="39">
        <v>4.3025888959073951E-5</v>
      </c>
      <c r="H50" s="40"/>
      <c r="I50" s="32">
        <f t="shared" si="2"/>
        <v>34576504.100626439</v>
      </c>
      <c r="J50" s="41"/>
      <c r="K50" s="42"/>
    </row>
    <row r="51" spans="2:12" x14ac:dyDescent="0.25">
      <c r="B51" s="25" t="s">
        <v>10</v>
      </c>
      <c r="C51" s="36"/>
      <c r="D51" s="37">
        <f t="shared" si="1"/>
        <v>6.9881739106088678E-2</v>
      </c>
      <c r="E51" s="43"/>
      <c r="F51" s="43"/>
      <c r="G51" s="39">
        <v>4.6267868608704734E-5</v>
      </c>
      <c r="H51" s="40"/>
      <c r="I51" s="32">
        <f t="shared" si="2"/>
        <v>28506750.669088349</v>
      </c>
      <c r="J51" s="41"/>
      <c r="K51" s="42"/>
    </row>
    <row r="52" spans="2:12" x14ac:dyDescent="0.25">
      <c r="B52" s="25" t="s">
        <v>11</v>
      </c>
      <c r="C52" s="36"/>
      <c r="D52" s="37">
        <f t="shared" si="1"/>
        <v>0.1700062009370566</v>
      </c>
      <c r="E52" s="43"/>
      <c r="F52" s="43"/>
      <c r="G52" s="39">
        <v>1.7422346672619028E-5</v>
      </c>
      <c r="H52" s="40"/>
      <c r="I52" s="32">
        <f t="shared" si="2"/>
        <v>69348334.773863018</v>
      </c>
      <c r="J52" s="41"/>
      <c r="K52" s="42"/>
    </row>
    <row r="53" spans="2:12" x14ac:dyDescent="0.25">
      <c r="B53" s="25" t="s">
        <v>12</v>
      </c>
      <c r="C53" s="36"/>
      <c r="D53" s="20"/>
      <c r="E53" s="43"/>
      <c r="F53" s="43"/>
      <c r="G53" s="44"/>
      <c r="H53" s="40"/>
      <c r="I53" s="45"/>
      <c r="J53" s="41"/>
      <c r="K53" s="42"/>
    </row>
    <row r="54" spans="2:12" x14ac:dyDescent="0.25">
      <c r="B54" s="25" t="s">
        <v>13</v>
      </c>
      <c r="C54" s="36"/>
      <c r="D54" s="37">
        <f t="shared" si="1"/>
        <v>1.8081277307285065E-2</v>
      </c>
      <c r="E54" s="43"/>
      <c r="F54" s="43"/>
      <c r="G54" s="39">
        <v>5.775121071742058E-5</v>
      </c>
      <c r="H54" s="40"/>
      <c r="I54" s="32">
        <f t="shared" si="2"/>
        <v>7375953.8472200381</v>
      </c>
      <c r="J54" s="41"/>
      <c r="K54" s="42"/>
    </row>
    <row r="55" spans="2:12" x14ac:dyDescent="0.25">
      <c r="I55" s="46"/>
      <c r="J55" s="46"/>
      <c r="K55" s="47"/>
    </row>
    <row r="56" spans="2:12" x14ac:dyDescent="0.25">
      <c r="B56" s="8" t="s">
        <v>26</v>
      </c>
      <c r="I56" s="48"/>
    </row>
    <row r="58" spans="2:12" ht="18" x14ac:dyDescent="0.25">
      <c r="B58" s="25"/>
      <c r="C58" s="14" t="s">
        <v>57</v>
      </c>
      <c r="D58" s="14" t="s">
        <v>58</v>
      </c>
      <c r="E58" s="14" t="s">
        <v>59</v>
      </c>
      <c r="F58" s="14" t="s">
        <v>60</v>
      </c>
      <c r="G58" s="14" t="s">
        <v>61</v>
      </c>
      <c r="H58" s="14" t="s">
        <v>62</v>
      </c>
      <c r="I58" s="14" t="s">
        <v>63</v>
      </c>
      <c r="J58" s="14" t="s">
        <v>64</v>
      </c>
      <c r="K58" s="49" t="s">
        <v>65</v>
      </c>
      <c r="L58" s="14" t="s">
        <v>27</v>
      </c>
    </row>
    <row r="59" spans="2:12" x14ac:dyDescent="0.25">
      <c r="B59" s="25" t="s">
        <v>4</v>
      </c>
      <c r="C59" s="50">
        <v>1163974.2406666668</v>
      </c>
      <c r="D59" s="50">
        <v>0</v>
      </c>
      <c r="E59" s="50">
        <v>31955.8025275199</v>
      </c>
      <c r="F59" s="26">
        <f>+C59+D59+E59</f>
        <v>1195930.0431941866</v>
      </c>
      <c r="G59" s="50">
        <v>7830636.6354066003</v>
      </c>
      <c r="H59" s="50">
        <v>0</v>
      </c>
      <c r="I59" s="50">
        <v>0</v>
      </c>
      <c r="J59" s="26">
        <f>+H59+I59</f>
        <v>0</v>
      </c>
      <c r="K59" s="26">
        <f>VLOOKUP(B59,[3]T15!$G$6:$H$15,2,0)</f>
        <v>3065736.3376770401</v>
      </c>
      <c r="L59" s="26">
        <f>+F59+G59+J59+K59</f>
        <v>12092303.016277827</v>
      </c>
    </row>
    <row r="60" spans="2:12" x14ac:dyDescent="0.25">
      <c r="B60" s="25" t="s">
        <v>5</v>
      </c>
      <c r="C60" s="50">
        <v>1056349.9398386669</v>
      </c>
      <c r="D60" s="50">
        <v>0</v>
      </c>
      <c r="E60" s="50">
        <v>21012.508916516501</v>
      </c>
      <c r="F60" s="26">
        <f t="shared" ref="F60:F68" si="3">+C60+D60+E60</f>
        <v>1077362.4487551835</v>
      </c>
      <c r="G60" s="50">
        <v>7337777.9357214188</v>
      </c>
      <c r="H60" s="50">
        <v>0</v>
      </c>
      <c r="I60" s="50">
        <v>0</v>
      </c>
      <c r="J60" s="26">
        <f t="shared" ref="J60:J68" si="4">+H60+I60</f>
        <v>0</v>
      </c>
      <c r="K60" s="26">
        <f>VLOOKUP(B60,[3]T15!$G$6:$H$15,2,0)</f>
        <v>3996643.6909790793</v>
      </c>
      <c r="L60" s="26">
        <f t="shared" ref="L60:L68" si="5">+F60+G60+J60+K60</f>
        <v>12411784.07545568</v>
      </c>
    </row>
    <row r="61" spans="2:12" x14ac:dyDescent="0.25">
      <c r="B61" s="25" t="s">
        <v>6</v>
      </c>
      <c r="C61" s="50">
        <v>612726.83046666672</v>
      </c>
      <c r="D61" s="50">
        <v>0</v>
      </c>
      <c r="E61" s="50">
        <v>43892.443333333329</v>
      </c>
      <c r="F61" s="26">
        <f t="shared" si="3"/>
        <v>656619.27380000008</v>
      </c>
      <c r="G61" s="50">
        <v>3869754.9945015004</v>
      </c>
      <c r="H61" s="50">
        <v>0</v>
      </c>
      <c r="I61" s="50">
        <v>0</v>
      </c>
      <c r="J61" s="26">
        <f t="shared" si="4"/>
        <v>0</v>
      </c>
      <c r="K61" s="26">
        <f>VLOOKUP(B61,[3]T15!$G$6:$H$15,2,0)</f>
        <v>4714197.8438378097</v>
      </c>
      <c r="L61" s="26">
        <f t="shared" si="5"/>
        <v>9240572.1121393107</v>
      </c>
    </row>
    <row r="62" spans="2:12" x14ac:dyDescent="0.25">
      <c r="B62" s="25" t="s">
        <v>7</v>
      </c>
      <c r="C62" s="50">
        <v>236087.72737733333</v>
      </c>
      <c r="D62" s="50">
        <v>0</v>
      </c>
      <c r="E62" s="50">
        <v>5810.1500000000005</v>
      </c>
      <c r="F62" s="26">
        <f t="shared" si="3"/>
        <v>241897.87737733332</v>
      </c>
      <c r="G62" s="50">
        <v>1559557.5340880789</v>
      </c>
      <c r="H62" s="50">
        <v>0</v>
      </c>
      <c r="I62" s="50">
        <v>0</v>
      </c>
      <c r="J62" s="26">
        <f t="shared" si="4"/>
        <v>0</v>
      </c>
      <c r="K62" s="26">
        <f>VLOOKUP(B62,[3]T15!$G$6:$H$15,2,0)</f>
        <v>681562.95947087661</v>
      </c>
      <c r="L62" s="26">
        <f t="shared" si="5"/>
        <v>2483018.370936289</v>
      </c>
    </row>
    <row r="63" spans="2:12" x14ac:dyDescent="0.25">
      <c r="B63" s="25" t="s">
        <v>8</v>
      </c>
      <c r="C63" s="50">
        <v>1090599.7309999999</v>
      </c>
      <c r="D63" s="50">
        <v>0</v>
      </c>
      <c r="E63" s="50">
        <v>32595.893283605106</v>
      </c>
      <c r="F63" s="26">
        <f t="shared" si="3"/>
        <v>1123195.624283605</v>
      </c>
      <c r="G63" s="50">
        <v>7337009.5986808995</v>
      </c>
      <c r="H63" s="50">
        <v>0</v>
      </c>
      <c r="I63" s="50">
        <v>0</v>
      </c>
      <c r="J63" s="26">
        <f t="shared" si="4"/>
        <v>0</v>
      </c>
      <c r="K63" s="26">
        <f>VLOOKUP(B63,[3]T15!$G$6:$H$15,2,0)</f>
        <v>5893801.1010000594</v>
      </c>
      <c r="L63" s="26">
        <f t="shared" si="5"/>
        <v>14354006.323964564</v>
      </c>
    </row>
    <row r="64" spans="2:12" x14ac:dyDescent="0.25">
      <c r="B64" s="25" t="s">
        <v>9</v>
      </c>
      <c r="C64" s="50">
        <v>644646.68666666653</v>
      </c>
      <c r="D64" s="50">
        <v>0</v>
      </c>
      <c r="E64" s="50">
        <v>19910.433333333334</v>
      </c>
      <c r="F64" s="26">
        <f t="shared" si="3"/>
        <v>664557.11999999988</v>
      </c>
      <c r="G64" s="50">
        <v>4336859.9794000005</v>
      </c>
      <c r="H64" s="50">
        <v>0</v>
      </c>
      <c r="I64" s="50">
        <v>0</v>
      </c>
      <c r="J64" s="26">
        <f t="shared" si="4"/>
        <v>0</v>
      </c>
      <c r="K64" s="26">
        <f>VLOOKUP(B64,[3]T15!$G$6:$H$15,2,0)</f>
        <v>2377039.9885256877</v>
      </c>
      <c r="L64" s="26">
        <f t="shared" si="5"/>
        <v>7378457.0879256884</v>
      </c>
    </row>
    <row r="65" spans="2:12" x14ac:dyDescent="0.25">
      <c r="B65" s="25" t="s">
        <v>10</v>
      </c>
      <c r="C65" s="50">
        <v>439055.64999999991</v>
      </c>
      <c r="D65" s="50">
        <v>0</v>
      </c>
      <c r="E65" s="50">
        <v>21352.042949423001</v>
      </c>
      <c r="F65" s="26">
        <f t="shared" si="3"/>
        <v>460407.69294942293</v>
      </c>
      <c r="G65" s="50">
        <v>2953746.721225</v>
      </c>
      <c r="H65" s="50">
        <v>0</v>
      </c>
      <c r="I65" s="50">
        <v>0</v>
      </c>
      <c r="J65" s="26">
        <f t="shared" si="4"/>
        <v>0</v>
      </c>
      <c r="K65" s="26">
        <f>VLOOKUP(B65,[3]T15!$G$6:$H$15,2,0)</f>
        <v>2737600.4123751717</v>
      </c>
      <c r="L65" s="26">
        <f t="shared" si="5"/>
        <v>6151754.8265495952</v>
      </c>
    </row>
    <row r="66" spans="2:12" x14ac:dyDescent="0.25">
      <c r="B66" s="25" t="s">
        <v>11</v>
      </c>
      <c r="C66" s="50">
        <v>1002069.6066666668</v>
      </c>
      <c r="D66" s="50">
        <v>0</v>
      </c>
      <c r="E66" s="50">
        <v>34525.709820002689</v>
      </c>
      <c r="F66" s="26">
        <f t="shared" si="3"/>
        <v>1036595.3164866695</v>
      </c>
      <c r="G66" s="50">
        <v>6741423.0370000014</v>
      </c>
      <c r="H66" s="50">
        <v>0</v>
      </c>
      <c r="I66" s="50">
        <v>0</v>
      </c>
      <c r="J66" s="26">
        <f t="shared" si="4"/>
        <v>0</v>
      </c>
      <c r="K66" s="26">
        <f>VLOOKUP(B66,[3]T15!$G$6:$H$15,2,0)</f>
        <v>4761213.3667318514</v>
      </c>
      <c r="L66" s="26">
        <f t="shared" si="5"/>
        <v>12539231.720218522</v>
      </c>
    </row>
    <row r="67" spans="2:12" x14ac:dyDescent="0.25">
      <c r="B67" s="25" t="s">
        <v>12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2:12" x14ac:dyDescent="0.25">
      <c r="B68" s="25" t="s">
        <v>13</v>
      </c>
      <c r="C68" s="50">
        <v>195368.12666666662</v>
      </c>
      <c r="D68" s="50">
        <v>0</v>
      </c>
      <c r="E68" s="50">
        <v>3251.594860139578</v>
      </c>
      <c r="F68" s="26">
        <f t="shared" si="3"/>
        <v>198619.72152680618</v>
      </c>
      <c r="G68" s="50">
        <v>1314338.8289000001</v>
      </c>
      <c r="H68" s="50">
        <v>0</v>
      </c>
      <c r="I68" s="50">
        <v>0</v>
      </c>
      <c r="J68" s="26">
        <f t="shared" si="4"/>
        <v>0</v>
      </c>
      <c r="K68" s="26">
        <f>VLOOKUP(B68,[3]T15!$G$6:$H$15,2,0)</f>
        <v>561916.5598301756</v>
      </c>
      <c r="L68" s="26">
        <f t="shared" si="5"/>
        <v>2074875.110256982</v>
      </c>
    </row>
    <row r="69" spans="2:12" x14ac:dyDescent="0.25">
      <c r="F69" s="51"/>
      <c r="G69" s="51"/>
      <c r="H69" s="8"/>
      <c r="I69" s="8"/>
      <c r="J69" s="8"/>
      <c r="K69" s="51"/>
      <c r="L69" s="8"/>
    </row>
    <row r="70" spans="2:12" x14ac:dyDescent="0.25">
      <c r="B70" s="8" t="s">
        <v>28</v>
      </c>
    </row>
    <row r="71" spans="2:12" ht="15.75" thickBot="1" x14ac:dyDescent="0.3"/>
    <row r="72" spans="2:12" ht="18.75" thickBot="1" x14ac:dyDescent="0.3">
      <c r="B72" s="52"/>
      <c r="C72" s="14" t="s">
        <v>56</v>
      </c>
      <c r="D72" s="14" t="str">
        <f t="shared" ref="D72:D80" si="6">+L58</f>
        <v>Totaal aanvullend</v>
      </c>
      <c r="E72" s="53" t="s">
        <v>66</v>
      </c>
      <c r="H72" s="54"/>
      <c r="I72" s="54"/>
    </row>
    <row r="73" spans="2:12" x14ac:dyDescent="0.25">
      <c r="B73" s="15" t="s">
        <v>4</v>
      </c>
      <c r="C73" s="55">
        <f t="shared" ref="C73:C80" si="7">+I45</f>
        <v>59324451.003558561</v>
      </c>
      <c r="D73" s="56">
        <f t="shared" si="6"/>
        <v>12092303.016277827</v>
      </c>
      <c r="E73" s="57">
        <f>+C73+D73</f>
        <v>71416754.019836396</v>
      </c>
      <c r="F73" s="48"/>
      <c r="G73" s="48"/>
      <c r="H73" s="58"/>
      <c r="I73" s="58"/>
    </row>
    <row r="74" spans="2:12" x14ac:dyDescent="0.25">
      <c r="B74" s="18" t="s">
        <v>5</v>
      </c>
      <c r="C74" s="55">
        <f t="shared" si="7"/>
        <v>69129193.874642998</v>
      </c>
      <c r="D74" s="56">
        <f t="shared" si="6"/>
        <v>12411784.07545568</v>
      </c>
      <c r="E74" s="59">
        <f t="shared" ref="E74:E82" si="8">+C74+D74</f>
        <v>81540977.950098678</v>
      </c>
      <c r="F74" s="27"/>
      <c r="G74" s="48"/>
      <c r="H74" s="58"/>
      <c r="I74" s="58"/>
    </row>
    <row r="75" spans="2:12" x14ac:dyDescent="0.25">
      <c r="B75" s="18" t="s">
        <v>6</v>
      </c>
      <c r="C75" s="55">
        <f t="shared" si="7"/>
        <v>47903338.240993336</v>
      </c>
      <c r="D75" s="56">
        <f t="shared" si="6"/>
        <v>9240572.1121393107</v>
      </c>
      <c r="E75" s="59">
        <f t="shared" si="8"/>
        <v>57143910.35313265</v>
      </c>
      <c r="F75" s="27"/>
      <c r="G75" s="48"/>
      <c r="H75" s="58"/>
      <c r="I75" s="58"/>
    </row>
    <row r="76" spans="2:12" x14ac:dyDescent="0.25">
      <c r="B76" s="18" t="s">
        <v>7</v>
      </c>
      <c r="C76" s="55">
        <f t="shared" si="7"/>
        <v>10933075.631857507</v>
      </c>
      <c r="D76" s="56">
        <f t="shared" si="6"/>
        <v>2483018.370936289</v>
      </c>
      <c r="E76" s="59">
        <f t="shared" si="8"/>
        <v>13416094.002793796</v>
      </c>
      <c r="F76" s="27"/>
      <c r="G76" s="48"/>
      <c r="H76" s="58"/>
      <c r="I76" s="58"/>
    </row>
    <row r="77" spans="2:12" x14ac:dyDescent="0.25">
      <c r="B77" s="18" t="s">
        <v>8</v>
      </c>
      <c r="C77" s="55">
        <f t="shared" si="7"/>
        <v>80811673.158597052</v>
      </c>
      <c r="D77" s="56">
        <f t="shared" si="6"/>
        <v>14354006.323964564</v>
      </c>
      <c r="E77" s="59">
        <f t="shared" si="8"/>
        <v>95165679.482561618</v>
      </c>
      <c r="F77" s="27"/>
      <c r="G77" s="48"/>
      <c r="H77" s="58"/>
      <c r="I77" s="58"/>
    </row>
    <row r="78" spans="2:12" x14ac:dyDescent="0.25">
      <c r="B78" s="18" t="s">
        <v>9</v>
      </c>
      <c r="C78" s="55">
        <f t="shared" si="7"/>
        <v>34576504.100626439</v>
      </c>
      <c r="D78" s="56">
        <f t="shared" si="6"/>
        <v>7378457.0879256884</v>
      </c>
      <c r="E78" s="59">
        <f t="shared" si="8"/>
        <v>41954961.188552126</v>
      </c>
      <c r="F78" s="27"/>
      <c r="G78" s="48"/>
      <c r="H78" s="58"/>
      <c r="I78" s="58"/>
    </row>
    <row r="79" spans="2:12" x14ac:dyDescent="0.25">
      <c r="B79" s="18" t="s">
        <v>10</v>
      </c>
      <c r="C79" s="55">
        <f t="shared" si="7"/>
        <v>28506750.669088349</v>
      </c>
      <c r="D79" s="56">
        <f t="shared" si="6"/>
        <v>6151754.8265495952</v>
      </c>
      <c r="E79" s="59">
        <f t="shared" si="8"/>
        <v>34658505.495637946</v>
      </c>
      <c r="F79" s="27"/>
      <c r="G79" s="48"/>
      <c r="H79" s="58"/>
      <c r="I79" s="58"/>
    </row>
    <row r="80" spans="2:12" x14ac:dyDescent="0.25">
      <c r="B80" s="18" t="s">
        <v>11</v>
      </c>
      <c r="C80" s="55">
        <f t="shared" si="7"/>
        <v>69348334.773863018</v>
      </c>
      <c r="D80" s="56">
        <f t="shared" si="6"/>
        <v>12539231.720218522</v>
      </c>
      <c r="E80" s="59">
        <f t="shared" si="8"/>
        <v>81887566.494081542</v>
      </c>
      <c r="F80" s="27"/>
      <c r="G80" s="48"/>
      <c r="H80" s="58"/>
      <c r="I80" s="58"/>
    </row>
    <row r="81" spans="1:12" x14ac:dyDescent="0.25">
      <c r="B81" s="18" t="s">
        <v>12</v>
      </c>
      <c r="C81" s="60"/>
      <c r="D81" s="61"/>
      <c r="E81" s="62"/>
      <c r="G81" s="48"/>
      <c r="H81" s="58"/>
      <c r="I81" s="58"/>
    </row>
    <row r="82" spans="1:12" ht="15.75" thickBot="1" x14ac:dyDescent="0.3">
      <c r="B82" s="21" t="s">
        <v>13</v>
      </c>
      <c r="C82" s="55">
        <f>+I54</f>
        <v>7375953.8472200381</v>
      </c>
      <c r="D82" s="56">
        <f>+L68</f>
        <v>2074875.110256982</v>
      </c>
      <c r="E82" s="63">
        <f t="shared" si="8"/>
        <v>9450828.9574770201</v>
      </c>
      <c r="F82" s="27"/>
      <c r="G82" s="48"/>
      <c r="H82" s="58"/>
      <c r="I82" s="58"/>
    </row>
    <row r="83" spans="1:12" x14ac:dyDescent="0.25">
      <c r="E83" s="48"/>
      <c r="H83" s="58"/>
      <c r="I83" s="58"/>
    </row>
    <row r="85" spans="1:12" s="64" customFormat="1" x14ac:dyDescent="0.25">
      <c r="A85" s="1"/>
      <c r="B85" s="12" t="s">
        <v>29</v>
      </c>
      <c r="C85" s="12"/>
      <c r="D85" s="12"/>
      <c r="E85" s="12"/>
      <c r="F85" s="12"/>
      <c r="G85" s="12"/>
      <c r="H85" s="12"/>
      <c r="I85" s="12"/>
      <c r="J85" s="12"/>
      <c r="K85" s="1"/>
      <c r="L85" s="1"/>
    </row>
    <row r="87" spans="1:12" x14ac:dyDescent="0.25">
      <c r="B87" s="8" t="s">
        <v>30</v>
      </c>
    </row>
    <row r="89" spans="1:12" ht="18" x14ac:dyDescent="0.35">
      <c r="B89" s="28" t="s">
        <v>67</v>
      </c>
      <c r="C89" s="29">
        <v>112.25</v>
      </c>
      <c r="D89" s="1" t="s">
        <v>19</v>
      </c>
      <c r="E89" s="65" t="s">
        <v>31</v>
      </c>
    </row>
    <row r="90" spans="1:12" ht="18" x14ac:dyDescent="0.35">
      <c r="B90" s="28" t="s">
        <v>50</v>
      </c>
      <c r="C90" s="66">
        <f>+C35</f>
        <v>109.76</v>
      </c>
      <c r="D90" s="1" t="s">
        <v>19</v>
      </c>
    </row>
    <row r="91" spans="1:12" ht="18" x14ac:dyDescent="0.35">
      <c r="B91" s="28" t="s">
        <v>68</v>
      </c>
      <c r="C91" s="30">
        <f>+C89/C90-1</f>
        <v>2.2685860058309082E-2</v>
      </c>
    </row>
    <row r="93" spans="1:12" x14ac:dyDescent="0.25">
      <c r="B93" s="8" t="s">
        <v>32</v>
      </c>
    </row>
    <row r="95" spans="1:12" ht="18" x14ac:dyDescent="0.25">
      <c r="B95" s="25"/>
      <c r="C95" s="14" t="s">
        <v>52</v>
      </c>
      <c r="D95" s="14" t="s">
        <v>44</v>
      </c>
      <c r="E95" s="14" t="s">
        <v>68</v>
      </c>
      <c r="F95" s="14" t="s">
        <v>24</v>
      </c>
      <c r="G95" s="14" t="s">
        <v>54</v>
      </c>
      <c r="H95" s="14" t="s">
        <v>55</v>
      </c>
      <c r="I95" s="14" t="s">
        <v>69</v>
      </c>
    </row>
    <row r="96" spans="1:12" x14ac:dyDescent="0.25">
      <c r="B96" s="25" t="s">
        <v>4</v>
      </c>
      <c r="C96" s="36">
        <f>+I30</f>
        <v>411295755.8356266</v>
      </c>
      <c r="D96" s="37">
        <f t="shared" ref="D96:D103" si="9">+H16</f>
        <v>0.14542929038935648</v>
      </c>
      <c r="E96" s="38">
        <f>+C91</f>
        <v>2.2685860058309082E-2</v>
      </c>
      <c r="F96" s="38">
        <f>+$C$40</f>
        <v>4.0000000000000001E-3</v>
      </c>
      <c r="G96" s="67">
        <f>+G45</f>
        <v>4.1354096962781971E-5</v>
      </c>
      <c r="H96" s="36">
        <f>+H45</f>
        <v>6875000</v>
      </c>
      <c r="I96" s="32">
        <f>+($C$96*D96*(1+$E$96-$F$96)*(1+G96))-(D96*$H$96)</f>
        <v>59934827.773802347</v>
      </c>
      <c r="K96" s="68"/>
    </row>
    <row r="97" spans="1:12" x14ac:dyDescent="0.25">
      <c r="B97" s="25" t="s">
        <v>5</v>
      </c>
      <c r="C97" s="36"/>
      <c r="D97" s="37">
        <f t="shared" si="9"/>
        <v>0.16946233018177184</v>
      </c>
      <c r="E97" s="43"/>
      <c r="F97" s="43"/>
      <c r="G97" s="67">
        <f t="shared" ref="G97:G103" si="10">+G46</f>
        <v>5.6018800789664862E-5</v>
      </c>
      <c r="H97" s="36"/>
      <c r="I97" s="32">
        <f t="shared" ref="I97:I105" si="11">+($C$96*D97*(1+$E$96-$F$96)*(1+G97))-(D97*$H$96)</f>
        <v>69840449.401580364</v>
      </c>
      <c r="K97" s="68"/>
    </row>
    <row r="98" spans="1:12" x14ac:dyDescent="0.25">
      <c r="B98" s="25" t="s">
        <v>6</v>
      </c>
      <c r="C98" s="36"/>
      <c r="D98" s="37">
        <f t="shared" si="9"/>
        <v>0.11746539415062818</v>
      </c>
      <c r="E98" s="43"/>
      <c r="F98" s="43"/>
      <c r="G98" s="67">
        <f t="shared" si="10"/>
        <v>-2.4394248044410462E-4</v>
      </c>
      <c r="H98" s="36"/>
      <c r="I98" s="32">
        <f t="shared" si="11"/>
        <v>48396207.960118301</v>
      </c>
      <c r="K98" s="68"/>
    </row>
    <row r="99" spans="1:12" x14ac:dyDescent="0.25">
      <c r="B99" s="25" t="s">
        <v>7</v>
      </c>
      <c r="C99" s="36"/>
      <c r="D99" s="37">
        <f t="shared" si="9"/>
        <v>2.6801645068501152E-2</v>
      </c>
      <c r="E99" s="43"/>
      <c r="F99" s="43"/>
      <c r="G99" s="67">
        <f t="shared" si="10"/>
        <v>3.9220913459452637E-5</v>
      </c>
      <c r="H99" s="36"/>
      <c r="I99" s="32">
        <f t="shared" si="11"/>
        <v>11045563.746286254</v>
      </c>
      <c r="K99" s="68"/>
    </row>
    <row r="100" spans="1:12" x14ac:dyDescent="0.25">
      <c r="B100" s="25" t="s">
        <v>8</v>
      </c>
      <c r="C100" s="36"/>
      <c r="D100" s="37">
        <f t="shared" si="9"/>
        <v>0.19811064892024152</v>
      </c>
      <c r="E100" s="43"/>
      <c r="F100" s="43"/>
      <c r="G100" s="67">
        <f t="shared" si="10"/>
        <v>6.1081671287987923E-6</v>
      </c>
      <c r="H100" s="36"/>
      <c r="I100" s="32">
        <f t="shared" si="11"/>
        <v>81643127.921789214</v>
      </c>
      <c r="K100" s="68"/>
    </row>
    <row r="101" spans="1:12" x14ac:dyDescent="0.25">
      <c r="B101" s="25" t="s">
        <v>9</v>
      </c>
      <c r="C101" s="36"/>
      <c r="D101" s="37">
        <f t="shared" si="9"/>
        <v>8.4761473939070353E-2</v>
      </c>
      <c r="E101" s="43"/>
      <c r="F101" s="43"/>
      <c r="G101" s="67">
        <f t="shared" si="10"/>
        <v>4.3025888959073951E-5</v>
      </c>
      <c r="H101" s="36"/>
      <c r="I101" s="32">
        <f t="shared" si="11"/>
        <v>34932254.45225437</v>
      </c>
      <c r="K101" s="68"/>
    </row>
    <row r="102" spans="1:12" x14ac:dyDescent="0.25">
      <c r="B102" s="25" t="s">
        <v>10</v>
      </c>
      <c r="C102" s="36"/>
      <c r="D102" s="37">
        <f t="shared" si="9"/>
        <v>6.9881739106088678E-2</v>
      </c>
      <c r="E102" s="43"/>
      <c r="F102" s="43"/>
      <c r="G102" s="67">
        <f t="shared" si="10"/>
        <v>4.6267868608704734E-5</v>
      </c>
      <c r="H102" s="36"/>
      <c r="I102" s="32">
        <f t="shared" si="11"/>
        <v>28800050.592952922</v>
      </c>
      <c r="K102" s="68"/>
    </row>
    <row r="103" spans="1:12" x14ac:dyDescent="0.25">
      <c r="B103" s="25" t="s">
        <v>11</v>
      </c>
      <c r="C103" s="36"/>
      <c r="D103" s="37">
        <f t="shared" si="9"/>
        <v>0.1700062009370566</v>
      </c>
      <c r="E103" s="43"/>
      <c r="F103" s="43"/>
      <c r="G103" s="67">
        <f t="shared" si="10"/>
        <v>1.7422346672619028E-5</v>
      </c>
      <c r="H103" s="36"/>
      <c r="I103" s="32">
        <f t="shared" si="11"/>
        <v>70061845.458872348</v>
      </c>
      <c r="K103" s="68"/>
    </row>
    <row r="104" spans="1:12" x14ac:dyDescent="0.25">
      <c r="B104" s="25" t="s">
        <v>12</v>
      </c>
      <c r="C104" s="36"/>
      <c r="D104" s="20"/>
      <c r="E104" s="43"/>
      <c r="F104" s="43"/>
      <c r="G104" s="69"/>
      <c r="H104" s="36"/>
      <c r="I104" s="45"/>
      <c r="K104" s="68"/>
    </row>
    <row r="105" spans="1:12" x14ac:dyDescent="0.25">
      <c r="B105" s="25" t="s">
        <v>13</v>
      </c>
      <c r="C105" s="36"/>
      <c r="D105" s="37">
        <f>+H25</f>
        <v>1.8081277307285065E-2</v>
      </c>
      <c r="E105" s="43"/>
      <c r="F105" s="43"/>
      <c r="G105" s="67">
        <f>+G54</f>
        <v>5.775121071742058E-5</v>
      </c>
      <c r="H105" s="36"/>
      <c r="I105" s="32">
        <f t="shared" si="11"/>
        <v>7451843.460465353</v>
      </c>
      <c r="K105" s="68"/>
    </row>
    <row r="106" spans="1:12" x14ac:dyDescent="0.25">
      <c r="E106" s="41"/>
      <c r="F106" s="70"/>
      <c r="I106" s="46"/>
    </row>
    <row r="107" spans="1:12" ht="15.75" thickBot="1" x14ac:dyDescent="0.3">
      <c r="E107" s="71"/>
    </row>
    <row r="108" spans="1:12" s="64" customFormat="1" ht="21.75" thickBot="1" x14ac:dyDescent="0.4">
      <c r="A108" s="1"/>
      <c r="B108" s="9" t="s">
        <v>33</v>
      </c>
      <c r="C108" s="10"/>
      <c r="D108" s="10"/>
      <c r="E108" s="10"/>
      <c r="F108" s="10"/>
      <c r="G108" s="10"/>
      <c r="H108" s="10"/>
      <c r="I108" s="10"/>
      <c r="J108" s="11"/>
      <c r="K108" s="1"/>
      <c r="L108" s="1"/>
    </row>
    <row r="111" spans="1:12" s="64" customFormat="1" x14ac:dyDescent="0.25">
      <c r="A111" s="1"/>
      <c r="B111" s="12" t="s">
        <v>3</v>
      </c>
      <c r="C111" s="12"/>
      <c r="D111" s="12"/>
      <c r="E111" s="12"/>
      <c r="F111" s="12"/>
      <c r="G111" s="12"/>
      <c r="H111" s="12"/>
      <c r="I111" s="12"/>
      <c r="J111" s="12"/>
      <c r="K111" s="1"/>
      <c r="L111" s="1"/>
    </row>
    <row r="113" spans="2:9" x14ac:dyDescent="0.25">
      <c r="B113" s="8" t="s">
        <v>34</v>
      </c>
    </row>
    <row r="115" spans="2:9" ht="18" x14ac:dyDescent="0.35">
      <c r="B115" s="28" t="s">
        <v>70</v>
      </c>
      <c r="C115" s="29">
        <v>114.23</v>
      </c>
      <c r="D115" s="1" t="s">
        <v>17</v>
      </c>
      <c r="E115" s="65" t="s">
        <v>35</v>
      </c>
    </row>
    <row r="116" spans="2:9" ht="18" x14ac:dyDescent="0.35">
      <c r="B116" s="28" t="s">
        <v>67</v>
      </c>
      <c r="C116" s="66">
        <f>+C89</f>
        <v>112.25</v>
      </c>
      <c r="D116" s="1" t="s">
        <v>19</v>
      </c>
    </row>
    <row r="117" spans="2:9" ht="18" x14ac:dyDescent="0.35">
      <c r="B117" s="28" t="s">
        <v>71</v>
      </c>
      <c r="C117" s="30">
        <f>+C115/C116-1</f>
        <v>1.7639198218262875E-2</v>
      </c>
    </row>
    <row r="119" spans="2:9" x14ac:dyDescent="0.25">
      <c r="B119" s="8" t="s">
        <v>36</v>
      </c>
    </row>
    <row r="121" spans="2:9" ht="18" x14ac:dyDescent="0.25">
      <c r="B121" s="72" t="s">
        <v>56</v>
      </c>
      <c r="C121" s="73">
        <f>SUM(I45:I54)</f>
        <v>407909275.30044734</v>
      </c>
    </row>
    <row r="122" spans="2:9" x14ac:dyDescent="0.25">
      <c r="B122" s="28" t="s">
        <v>37</v>
      </c>
      <c r="C122" s="24">
        <v>20625000</v>
      </c>
      <c r="G122" s="41"/>
    </row>
    <row r="123" spans="2:9" x14ac:dyDescent="0.25">
      <c r="B123" s="28" t="s">
        <v>38</v>
      </c>
      <c r="C123" s="33">
        <f>1-POWER((C121-C122)/C121,1/3)</f>
        <v>1.7146562185008984E-2</v>
      </c>
    </row>
    <row r="125" spans="2:9" x14ac:dyDescent="0.25">
      <c r="B125" s="8" t="s">
        <v>39</v>
      </c>
    </row>
    <row r="127" spans="2:9" ht="18" x14ac:dyDescent="0.25">
      <c r="B127" s="25"/>
      <c r="C127" s="14" t="s">
        <v>69</v>
      </c>
      <c r="D127" s="14" t="s">
        <v>72</v>
      </c>
      <c r="E127" s="14" t="s">
        <v>23</v>
      </c>
      <c r="F127" s="14" t="s">
        <v>38</v>
      </c>
      <c r="G127" s="14" t="s">
        <v>24</v>
      </c>
      <c r="H127" s="14" t="s">
        <v>54</v>
      </c>
      <c r="I127" s="14" t="s">
        <v>73</v>
      </c>
    </row>
    <row r="128" spans="2:9" x14ac:dyDescent="0.25">
      <c r="B128" s="25" t="s">
        <v>4</v>
      </c>
      <c r="C128" s="32">
        <f>+I96</f>
        <v>59934827.773802347</v>
      </c>
      <c r="D128" s="38">
        <f>+C117</f>
        <v>1.7639198218262875E-2</v>
      </c>
      <c r="E128" s="38">
        <f>+$J$39</f>
        <v>-1.9826257980977147E-2</v>
      </c>
      <c r="F128" s="38">
        <f>+$C$123</f>
        <v>1.7146562185008984E-2</v>
      </c>
      <c r="G128" s="38">
        <f>+$C$40</f>
        <v>4.0000000000000001E-3</v>
      </c>
      <c r="H128" s="74">
        <f t="shared" ref="H128:H135" si="12">+G45</f>
        <v>4.1354096962781971E-5</v>
      </c>
      <c r="I128" s="32">
        <f>+C128*(1+$D$128-$E$128-$F$128-$G$128+H128)</f>
        <v>60915376.426683433</v>
      </c>
    </row>
    <row r="129" spans="2:12" x14ac:dyDescent="0.25">
      <c r="B129" s="25" t="s">
        <v>5</v>
      </c>
      <c r="C129" s="32">
        <f t="shared" ref="C129:C137" si="13">+I97</f>
        <v>69840449.401580364</v>
      </c>
      <c r="D129" s="43"/>
      <c r="E129" s="43"/>
      <c r="F129" s="43"/>
      <c r="G129" s="43"/>
      <c r="H129" s="74">
        <f t="shared" si="12"/>
        <v>5.6018800789664862E-5</v>
      </c>
      <c r="I129" s="32">
        <f t="shared" ref="I129:I137" si="14">+C129*(1+$D$128-$E$128-$F$128-$G$128+H129)</f>
        <v>70984080.671493113</v>
      </c>
    </row>
    <row r="130" spans="2:12" x14ac:dyDescent="0.25">
      <c r="B130" s="25" t="s">
        <v>6</v>
      </c>
      <c r="C130" s="32">
        <f t="shared" si="13"/>
        <v>48396207.960118301</v>
      </c>
      <c r="D130" s="43"/>
      <c r="E130" s="43"/>
      <c r="F130" s="43"/>
      <c r="G130" s="43"/>
      <c r="H130" s="74">
        <f t="shared" si="12"/>
        <v>-2.4394248044410462E-4</v>
      </c>
      <c r="I130" s="32">
        <f t="shared" si="14"/>
        <v>49174174.657496281</v>
      </c>
    </row>
    <row r="131" spans="2:12" x14ac:dyDescent="0.25">
      <c r="B131" s="25" t="s">
        <v>7</v>
      </c>
      <c r="C131" s="32">
        <f t="shared" si="13"/>
        <v>11045563.746286254</v>
      </c>
      <c r="D131" s="43"/>
      <c r="E131" s="43"/>
      <c r="F131" s="43"/>
      <c r="G131" s="43"/>
      <c r="H131" s="74">
        <f t="shared" si="12"/>
        <v>3.9220913459452637E-5</v>
      </c>
      <c r="I131" s="32">
        <f t="shared" si="14"/>
        <v>11226248.347489137</v>
      </c>
    </row>
    <row r="132" spans="2:12" x14ac:dyDescent="0.25">
      <c r="B132" s="25" t="s">
        <v>8</v>
      </c>
      <c r="C132" s="32">
        <f t="shared" si="13"/>
        <v>81643127.921789214</v>
      </c>
      <c r="D132" s="43"/>
      <c r="E132" s="43"/>
      <c r="F132" s="43"/>
      <c r="G132" s="43"/>
      <c r="H132" s="74">
        <f t="shared" si="12"/>
        <v>6.1081671287987923E-6</v>
      </c>
      <c r="I132" s="32">
        <f t="shared" si="14"/>
        <v>82975952.163205475</v>
      </c>
    </row>
    <row r="133" spans="2:12" x14ac:dyDescent="0.25">
      <c r="B133" s="25" t="s">
        <v>9</v>
      </c>
      <c r="C133" s="32">
        <f t="shared" si="13"/>
        <v>34932254.45225437</v>
      </c>
      <c r="D133" s="43"/>
      <c r="E133" s="43"/>
      <c r="F133" s="43"/>
      <c r="G133" s="43"/>
      <c r="H133" s="74">
        <f t="shared" si="12"/>
        <v>4.3025888959073951E-5</v>
      </c>
      <c r="I133" s="32">
        <f t="shared" si="14"/>
        <v>35503813.20164001</v>
      </c>
    </row>
    <row r="134" spans="2:12" x14ac:dyDescent="0.25">
      <c r="B134" s="25" t="s">
        <v>10</v>
      </c>
      <c r="C134" s="32">
        <f t="shared" si="13"/>
        <v>28800050.592952922</v>
      </c>
      <c r="D134" s="43"/>
      <c r="E134" s="43"/>
      <c r="F134" s="43"/>
      <c r="G134" s="43"/>
      <c r="H134" s="74">
        <f t="shared" si="12"/>
        <v>4.6267868608704734E-5</v>
      </c>
      <c r="I134" s="32">
        <f t="shared" si="14"/>
        <v>29271368.083140571</v>
      </c>
    </row>
    <row r="135" spans="2:12" x14ac:dyDescent="0.25">
      <c r="B135" s="25" t="s">
        <v>11</v>
      </c>
      <c r="C135" s="32">
        <f t="shared" si="13"/>
        <v>70061845.458872348</v>
      </c>
      <c r="D135" s="43"/>
      <c r="E135" s="43"/>
      <c r="F135" s="43"/>
      <c r="G135" s="43"/>
      <c r="H135" s="74">
        <f t="shared" si="12"/>
        <v>1.7422346672619028E-5</v>
      </c>
      <c r="I135" s="32">
        <f t="shared" si="14"/>
        <v>71206397.931117237</v>
      </c>
    </row>
    <row r="136" spans="2:12" x14ac:dyDescent="0.25">
      <c r="B136" s="25" t="s">
        <v>12</v>
      </c>
      <c r="C136" s="45"/>
      <c r="D136" s="43"/>
      <c r="E136" s="43"/>
      <c r="F136" s="43"/>
      <c r="G136" s="43"/>
      <c r="H136" s="75"/>
      <c r="I136" s="45"/>
    </row>
    <row r="137" spans="2:12" x14ac:dyDescent="0.25">
      <c r="B137" s="25" t="s">
        <v>13</v>
      </c>
      <c r="C137" s="32">
        <f t="shared" si="13"/>
        <v>7451843.460465353</v>
      </c>
      <c r="D137" s="43"/>
      <c r="E137" s="43"/>
      <c r="F137" s="43"/>
      <c r="G137" s="43"/>
      <c r="H137" s="74">
        <f>+G54</f>
        <v>5.775121071742058E-5</v>
      </c>
      <c r="I137" s="32">
        <f t="shared" si="14"/>
        <v>7573879.6570892464</v>
      </c>
    </row>
    <row r="138" spans="2:12" x14ac:dyDescent="0.25">
      <c r="I138" s="76"/>
    </row>
    <row r="139" spans="2:12" x14ac:dyDescent="0.25">
      <c r="B139" s="8" t="s">
        <v>40</v>
      </c>
    </row>
    <row r="141" spans="2:12" ht="18" x14ac:dyDescent="0.25">
      <c r="B141" s="25"/>
      <c r="C141" s="14" t="s">
        <v>74</v>
      </c>
      <c r="D141" s="14" t="s">
        <v>75</v>
      </c>
      <c r="E141" s="14" t="s">
        <v>76</v>
      </c>
      <c r="F141" s="14" t="s">
        <v>77</v>
      </c>
      <c r="G141" s="14" t="s">
        <v>78</v>
      </c>
      <c r="H141" s="14" t="s">
        <v>79</v>
      </c>
      <c r="I141" s="14" t="s">
        <v>80</v>
      </c>
      <c r="J141" s="14" t="s">
        <v>81</v>
      </c>
      <c r="K141" s="49" t="s">
        <v>82</v>
      </c>
      <c r="L141" s="14" t="s">
        <v>27</v>
      </c>
    </row>
    <row r="142" spans="2:12" x14ac:dyDescent="0.25">
      <c r="B142" s="25" t="s">
        <v>4</v>
      </c>
      <c r="C142" s="50">
        <v>1163567.7966666666</v>
      </c>
      <c r="D142" s="50">
        <v>0</v>
      </c>
      <c r="E142" s="50">
        <v>31955.80376863743</v>
      </c>
      <c r="F142" s="26">
        <f t="shared" ref="F142:F149" si="15">+C142+D142+E142</f>
        <v>1195523.600435304</v>
      </c>
      <c r="G142" s="50">
        <v>7175921.2189287487</v>
      </c>
      <c r="H142" s="50">
        <v>0</v>
      </c>
      <c r="I142" s="50">
        <v>0</v>
      </c>
      <c r="J142" s="26">
        <f>+H142+I142</f>
        <v>0</v>
      </c>
      <c r="K142" s="26">
        <f>VLOOKUP(B142,[3]T15!$G$6:$K$15,3,0)</f>
        <v>0</v>
      </c>
      <c r="L142" s="26">
        <f>+F142+G142+J142+K142</f>
        <v>8371444.8193640523</v>
      </c>
    </row>
    <row r="143" spans="2:12" x14ac:dyDescent="0.25">
      <c r="B143" s="25" t="s">
        <v>5</v>
      </c>
      <c r="C143" s="50">
        <v>1117653.4821333336</v>
      </c>
      <c r="D143" s="50">
        <v>0</v>
      </c>
      <c r="E143" s="50">
        <v>21012.508916516501</v>
      </c>
      <c r="F143" s="26">
        <f t="shared" si="15"/>
        <v>1138665.9910498501</v>
      </c>
      <c r="G143" s="50">
        <v>6886119.8046800811</v>
      </c>
      <c r="H143" s="50">
        <v>0</v>
      </c>
      <c r="I143" s="50">
        <v>0</v>
      </c>
      <c r="J143" s="26">
        <f t="shared" ref="J143:J151" si="16">+H143+I143</f>
        <v>0</v>
      </c>
      <c r="K143" s="26">
        <f>VLOOKUP(B143,[3]T15!$G$6:$K$15,3,0)</f>
        <v>0</v>
      </c>
      <c r="L143" s="26">
        <f t="shared" ref="L143:L151" si="17">+F143+G143+J143+K143</f>
        <v>8024785.7957299314</v>
      </c>
    </row>
    <row r="144" spans="2:12" x14ac:dyDescent="0.25">
      <c r="B144" s="25" t="s">
        <v>6</v>
      </c>
      <c r="C144" s="50">
        <v>601075.17073333322</v>
      </c>
      <c r="D144" s="50">
        <v>0</v>
      </c>
      <c r="E144" s="50">
        <v>43892.443333333329</v>
      </c>
      <c r="F144" s="26">
        <f t="shared" si="15"/>
        <v>644967.61406666657</v>
      </c>
      <c r="G144" s="50">
        <v>3524935.0083453404</v>
      </c>
      <c r="H144" s="50">
        <v>0</v>
      </c>
      <c r="I144" s="50">
        <v>0</v>
      </c>
      <c r="J144" s="26">
        <f t="shared" si="16"/>
        <v>0</v>
      </c>
      <c r="K144" s="26">
        <f>VLOOKUP(B144,[3]T15!$G$6:$K$15,3,0)</f>
        <v>0</v>
      </c>
      <c r="L144" s="26">
        <f t="shared" si="17"/>
        <v>4169902.6224120068</v>
      </c>
    </row>
    <row r="145" spans="2:12" x14ac:dyDescent="0.25">
      <c r="B145" s="25" t="s">
        <v>7</v>
      </c>
      <c r="C145" s="50">
        <v>234307.3165333333</v>
      </c>
      <c r="D145" s="50">
        <v>0</v>
      </c>
      <c r="E145" s="50">
        <v>5810.1500000000005</v>
      </c>
      <c r="F145" s="26">
        <f t="shared" si="15"/>
        <v>240117.4665333333</v>
      </c>
      <c r="G145" s="50">
        <v>1425763.17981112</v>
      </c>
      <c r="H145" s="50">
        <v>0</v>
      </c>
      <c r="I145" s="50">
        <v>0</v>
      </c>
      <c r="J145" s="26">
        <f t="shared" si="16"/>
        <v>0</v>
      </c>
      <c r="K145" s="26">
        <f>VLOOKUP(B145,[3]T15!$G$6:$K$15,3,0)</f>
        <v>0</v>
      </c>
      <c r="L145" s="26">
        <f t="shared" si="17"/>
        <v>1665880.6463444533</v>
      </c>
    </row>
    <row r="146" spans="2:12" x14ac:dyDescent="0.25">
      <c r="B146" s="25" t="s">
        <v>8</v>
      </c>
      <c r="C146" s="50">
        <v>1091011.3166666662</v>
      </c>
      <c r="D146" s="50">
        <v>0</v>
      </c>
      <c r="E146" s="50">
        <v>32595.892898029237</v>
      </c>
      <c r="F146" s="26">
        <f t="shared" si="15"/>
        <v>1123607.2095646954</v>
      </c>
      <c r="G146" s="50">
        <v>6728556.0369252497</v>
      </c>
      <c r="H146" s="50">
        <v>0</v>
      </c>
      <c r="I146" s="50">
        <v>0</v>
      </c>
      <c r="J146" s="26">
        <f t="shared" si="16"/>
        <v>0</v>
      </c>
      <c r="K146" s="26">
        <f>VLOOKUP(B146,[3]T15!$G$6:$K$15,3,0)</f>
        <v>0</v>
      </c>
      <c r="L146" s="26">
        <f t="shared" si="17"/>
        <v>7852163.2464899449</v>
      </c>
    </row>
    <row r="147" spans="2:12" x14ac:dyDescent="0.25">
      <c r="B147" s="25" t="s">
        <v>9</v>
      </c>
      <c r="C147" s="50">
        <v>644652.74333333329</v>
      </c>
      <c r="D147" s="50">
        <v>0</v>
      </c>
      <c r="E147" s="50">
        <v>19910.433333333334</v>
      </c>
      <c r="F147" s="26">
        <f t="shared" si="15"/>
        <v>664563.17666666664</v>
      </c>
      <c r="G147" s="50">
        <v>3975637.8532389998</v>
      </c>
      <c r="H147" s="50">
        <v>0</v>
      </c>
      <c r="I147" s="50">
        <v>0</v>
      </c>
      <c r="J147" s="26">
        <f t="shared" si="16"/>
        <v>0</v>
      </c>
      <c r="K147" s="26">
        <f>VLOOKUP(B147,[3]T15!$G$6:$K$15,3,0)</f>
        <v>0</v>
      </c>
      <c r="L147" s="26">
        <f t="shared" si="17"/>
        <v>4640201.0299056666</v>
      </c>
    </row>
    <row r="148" spans="2:12" x14ac:dyDescent="0.25">
      <c r="B148" s="25" t="s">
        <v>10</v>
      </c>
      <c r="C148" s="50">
        <v>439064.0799999999</v>
      </c>
      <c r="D148" s="50">
        <v>0</v>
      </c>
      <c r="E148" s="50">
        <v>21352.042949423001</v>
      </c>
      <c r="F148" s="26">
        <f t="shared" si="15"/>
        <v>460416.12294942292</v>
      </c>
      <c r="G148" s="50">
        <v>2707752.0791999996</v>
      </c>
      <c r="H148" s="50">
        <v>0</v>
      </c>
      <c r="I148" s="50">
        <v>0</v>
      </c>
      <c r="J148" s="26">
        <f t="shared" si="16"/>
        <v>0</v>
      </c>
      <c r="K148" s="26">
        <f>VLOOKUP(B148,[3]T15!$G$6:$K$15,3,0)</f>
        <v>0</v>
      </c>
      <c r="L148" s="26">
        <f t="shared" si="17"/>
        <v>3168168.2021494224</v>
      </c>
    </row>
    <row r="149" spans="2:12" x14ac:dyDescent="0.25">
      <c r="B149" s="25" t="s">
        <v>11</v>
      </c>
      <c r="C149" s="50">
        <v>1002071.9500000002</v>
      </c>
      <c r="D149" s="50">
        <v>0</v>
      </c>
      <c r="E149" s="50">
        <v>34525.71</v>
      </c>
      <c r="F149" s="26">
        <f t="shared" si="15"/>
        <v>1036597.6600000001</v>
      </c>
      <c r="G149" s="50">
        <v>6179877.8784750011</v>
      </c>
      <c r="H149" s="50">
        <v>0</v>
      </c>
      <c r="I149" s="50">
        <v>0</v>
      </c>
      <c r="J149" s="26">
        <f t="shared" si="16"/>
        <v>0</v>
      </c>
      <c r="K149" s="26">
        <f>VLOOKUP(B149,[3]T15!$G$6:$K$15,3,0)</f>
        <v>0</v>
      </c>
      <c r="L149" s="26">
        <f t="shared" si="17"/>
        <v>7216475.5384750012</v>
      </c>
    </row>
    <row r="150" spans="2:12" x14ac:dyDescent="0.25">
      <c r="B150" s="25" t="s">
        <v>12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2:12" x14ac:dyDescent="0.25">
      <c r="B151" s="25" t="s">
        <v>13</v>
      </c>
      <c r="C151" s="50">
        <v>194566.78333333333</v>
      </c>
      <c r="D151" s="50">
        <v>0</v>
      </c>
      <c r="E151" s="50">
        <v>3251.5933333333337</v>
      </c>
      <c r="F151" s="26">
        <f t="shared" ref="F151" si="18">+C151+D151+E151</f>
        <v>197818.37666666665</v>
      </c>
      <c r="G151" s="50">
        <v>1199912.7541089999</v>
      </c>
      <c r="H151" s="50">
        <v>0</v>
      </c>
      <c r="I151" s="50">
        <v>0</v>
      </c>
      <c r="J151" s="26">
        <f t="shared" si="16"/>
        <v>0</v>
      </c>
      <c r="K151" s="26">
        <f>VLOOKUP(B151,[3]T15!$G$6:$K$15,3,0)</f>
        <v>0</v>
      </c>
      <c r="L151" s="26">
        <f t="shared" si="17"/>
        <v>1397731.1307756666</v>
      </c>
    </row>
    <row r="152" spans="2:12" x14ac:dyDescent="0.25">
      <c r="C152" s="48"/>
      <c r="E152" s="27"/>
      <c r="F152" s="77"/>
      <c r="G152" s="77"/>
    </row>
    <row r="153" spans="2:12" x14ac:dyDescent="0.25">
      <c r="B153" s="8" t="s">
        <v>41</v>
      </c>
    </row>
    <row r="154" spans="2:12" ht="15.75" thickBot="1" x14ac:dyDescent="0.3"/>
    <row r="155" spans="2:12" ht="18.75" thickBot="1" x14ac:dyDescent="0.3">
      <c r="B155" s="52"/>
      <c r="C155" s="14" t="s">
        <v>73</v>
      </c>
      <c r="D155" s="14" t="str">
        <f t="shared" ref="D155:D163" si="19">+L141</f>
        <v>Totaal aanvullend</v>
      </c>
      <c r="E155" s="53" t="s">
        <v>83</v>
      </c>
      <c r="G155" s="54"/>
      <c r="H155" s="54"/>
    </row>
    <row r="156" spans="2:12" x14ac:dyDescent="0.25">
      <c r="B156" s="15" t="s">
        <v>4</v>
      </c>
      <c r="C156" s="78">
        <f>+I128</f>
        <v>60915376.426683433</v>
      </c>
      <c r="D156" s="56">
        <f t="shared" si="19"/>
        <v>8371444.8193640523</v>
      </c>
      <c r="E156" s="57">
        <f>+D156+C156</f>
        <v>69286821.246047482</v>
      </c>
      <c r="G156" s="79"/>
      <c r="H156" s="79"/>
    </row>
    <row r="157" spans="2:12" x14ac:dyDescent="0.25">
      <c r="B157" s="18" t="s">
        <v>5</v>
      </c>
      <c r="C157" s="78">
        <f t="shared" ref="C157:C165" si="20">+I129</f>
        <v>70984080.671493113</v>
      </c>
      <c r="D157" s="56">
        <f t="shared" si="19"/>
        <v>8024785.7957299314</v>
      </c>
      <c r="E157" s="59">
        <f t="shared" ref="E157:E165" si="21">+D157+C157</f>
        <v>79008866.467223048</v>
      </c>
      <c r="G157" s="79"/>
      <c r="H157" s="79"/>
    </row>
    <row r="158" spans="2:12" x14ac:dyDescent="0.25">
      <c r="B158" s="18" t="s">
        <v>6</v>
      </c>
      <c r="C158" s="78">
        <f t="shared" si="20"/>
        <v>49174174.657496281</v>
      </c>
      <c r="D158" s="56">
        <f t="shared" si="19"/>
        <v>4169902.6224120068</v>
      </c>
      <c r="E158" s="59">
        <f t="shared" si="21"/>
        <v>53344077.279908285</v>
      </c>
      <c r="G158" s="79"/>
      <c r="H158" s="79"/>
    </row>
    <row r="159" spans="2:12" x14ac:dyDescent="0.25">
      <c r="B159" s="18" t="s">
        <v>7</v>
      </c>
      <c r="C159" s="78">
        <f t="shared" si="20"/>
        <v>11226248.347489137</v>
      </c>
      <c r="D159" s="56">
        <f t="shared" si="19"/>
        <v>1665880.6463444533</v>
      </c>
      <c r="E159" s="59">
        <f t="shared" si="21"/>
        <v>12892128.99383359</v>
      </c>
      <c r="G159" s="79"/>
      <c r="H159" s="79"/>
    </row>
    <row r="160" spans="2:12" x14ac:dyDescent="0.25">
      <c r="B160" s="18" t="s">
        <v>8</v>
      </c>
      <c r="C160" s="78">
        <f t="shared" si="20"/>
        <v>82975952.163205475</v>
      </c>
      <c r="D160" s="56">
        <f t="shared" si="19"/>
        <v>7852163.2464899449</v>
      </c>
      <c r="E160" s="59">
        <f t="shared" si="21"/>
        <v>90828115.409695417</v>
      </c>
      <c r="G160" s="79"/>
      <c r="H160" s="79"/>
    </row>
    <row r="161" spans="2:10" x14ac:dyDescent="0.25">
      <c r="B161" s="18" t="s">
        <v>9</v>
      </c>
      <c r="C161" s="78">
        <f t="shared" si="20"/>
        <v>35503813.20164001</v>
      </c>
      <c r="D161" s="56">
        <f t="shared" si="19"/>
        <v>4640201.0299056666</v>
      </c>
      <c r="E161" s="59">
        <f t="shared" si="21"/>
        <v>40144014.231545679</v>
      </c>
      <c r="G161" s="79"/>
      <c r="H161" s="79"/>
    </row>
    <row r="162" spans="2:10" x14ac:dyDescent="0.25">
      <c r="B162" s="18" t="s">
        <v>10</v>
      </c>
      <c r="C162" s="78">
        <f t="shared" si="20"/>
        <v>29271368.083140571</v>
      </c>
      <c r="D162" s="56">
        <f t="shared" si="19"/>
        <v>3168168.2021494224</v>
      </c>
      <c r="E162" s="59">
        <f t="shared" si="21"/>
        <v>32439536.285289992</v>
      </c>
      <c r="G162" s="79"/>
      <c r="H162" s="79"/>
    </row>
    <row r="163" spans="2:10" x14ac:dyDescent="0.25">
      <c r="B163" s="18" t="s">
        <v>11</v>
      </c>
      <c r="C163" s="78">
        <f t="shared" si="20"/>
        <v>71206397.931117237</v>
      </c>
      <c r="D163" s="56">
        <f t="shared" si="19"/>
        <v>7216475.5384750012</v>
      </c>
      <c r="E163" s="59">
        <f t="shared" si="21"/>
        <v>78422873.469592243</v>
      </c>
      <c r="G163" s="79"/>
      <c r="H163" s="79"/>
    </row>
    <row r="164" spans="2:10" x14ac:dyDescent="0.25">
      <c r="B164" s="18" t="s">
        <v>12</v>
      </c>
      <c r="C164" s="80"/>
      <c r="D164" s="61"/>
      <c r="E164" s="62"/>
      <c r="G164" s="79"/>
      <c r="H164" s="79"/>
    </row>
    <row r="165" spans="2:10" ht="15.75" thickBot="1" x14ac:dyDescent="0.3">
      <c r="B165" s="21" t="s">
        <v>13</v>
      </c>
      <c r="C165" s="78">
        <f t="shared" si="20"/>
        <v>7573879.6570892464</v>
      </c>
      <c r="D165" s="56">
        <f>+L151</f>
        <v>1397731.1307756666</v>
      </c>
      <c r="E165" s="63">
        <f t="shared" si="21"/>
        <v>8971610.7878649123</v>
      </c>
      <c r="G165" s="79"/>
      <c r="H165" s="79"/>
    </row>
    <row r="166" spans="2:10" x14ac:dyDescent="0.25">
      <c r="C166" s="41"/>
      <c r="D166" s="41"/>
      <c r="E166" s="48"/>
      <c r="G166" s="81"/>
      <c r="H166" s="81"/>
      <c r="I166" s="8"/>
      <c r="J166" s="41"/>
    </row>
  </sheetData>
  <mergeCells count="15">
    <mergeCell ref="D128:D137"/>
    <mergeCell ref="E128:E137"/>
    <mergeCell ref="F128:F137"/>
    <mergeCell ref="G128:G137"/>
    <mergeCell ref="B2:J3"/>
    <mergeCell ref="B7:J7"/>
    <mergeCell ref="C45:C54"/>
    <mergeCell ref="E45:E54"/>
    <mergeCell ref="F45:F54"/>
    <mergeCell ref="H45:H54"/>
    <mergeCell ref="C96:C105"/>
    <mergeCell ref="E96:E105"/>
    <mergeCell ref="F96:F105"/>
    <mergeCell ref="H96:H105"/>
    <mergeCell ref="B108:J108"/>
  </mergeCells>
  <hyperlinks>
    <hyperlink ref="E89" r:id="rId1" xr:uid="{A3166851-03BB-4F84-A916-239C5160DB13}"/>
    <hyperlink ref="E115" r:id="rId2" xr:uid="{7A07119B-1B90-4E6F-89CD-017637C50EB4}"/>
  </hyperlinks>
  <pageMargins left="0.7" right="0.7" top="0.75" bottom="0.75" header="0.3" footer="0.3"/>
  <pageSetup paperSize="9" scale="37" orientation="portrait" r:id="rId3"/>
  <rowBreaks count="1" manualBreakCount="1">
    <brk id="92" max="16383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0EB111D0-42D3-4646-945A-E0F33B19F032}"/>
</file>

<file path=customXml/itemProps2.xml><?xml version="1.0" encoding="utf-8"?>
<ds:datastoreItem xmlns:ds="http://schemas.openxmlformats.org/officeDocument/2006/customXml" ds:itemID="{12E17A21-5B7E-43BB-909E-37F5527C3676}"/>
</file>

<file path=customXml/itemProps3.xml><?xml version="1.0" encoding="utf-8"?>
<ds:datastoreItem xmlns:ds="http://schemas.openxmlformats.org/officeDocument/2006/customXml" ds:itemID="{F2A026B1-2C02-4CD4-9290-E77D65CF9E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TI_En_Gas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Stockman</dc:creator>
  <cp:lastModifiedBy>Jonas De Smit</cp:lastModifiedBy>
  <dcterms:created xsi:type="dcterms:W3CDTF">2021-10-05T06:03:20Z</dcterms:created>
  <dcterms:modified xsi:type="dcterms:W3CDTF">2022-11-22T14:05:04Z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