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vlaamsenutsregulator-my.sharepoint.com/personal/jonas_desmit_vlaamsenutsregulator_be/Documents/Downloads/"/>
    </mc:Choice>
  </mc:AlternateContent>
  <xr:revisionPtr revIDLastSave="1" documentId="8_{770390D3-122A-4BD5-8FFB-36063E90236F}" xr6:coauthVersionLast="47" xr6:coauthVersionMax="47" xr10:uidLastSave="{ABCE274D-EF8E-4877-BAEE-35B91C8A14E1}"/>
  <bookViews>
    <workbookView xWindow="-120" yWindow="-120" windowWidth="38640" windowHeight="21120" tabRatio="761" xr2:uid="{00000000-000D-0000-FFFF-FFFF00000000}"/>
  </bookViews>
  <sheets>
    <sheet name="Instructies" sheetId="28" r:id="rId1"/>
    <sheet name="Q%" sheetId="29" r:id="rId2"/>
    <sheet name="Data" sheetId="27" r:id="rId3"/>
    <sheet name="A1" sheetId="10" r:id="rId4"/>
    <sheet name="A2" sheetId="11" r:id="rId5"/>
    <sheet name="A3" sheetId="12" r:id="rId6"/>
    <sheet name="A4" sheetId="13" r:id="rId7"/>
    <sheet name="D1" sheetId="16" r:id="rId8"/>
    <sheet name="D2" sheetId="17" r:id="rId9"/>
    <sheet name="Sorteren" sheetId="20" r:id="rId10"/>
    <sheet name="Berekeningsmodel Q E" sheetId="1" r:id="rId11"/>
    <sheet name="Berekeningsmodel Q G" sheetId="31" r:id="rId12"/>
  </sheets>
  <definedNames>
    <definedName name="_xlnm._FilterDatabase" localSheetId="10" hidden="1">'Berekeningsmodel Q E'!$B$9:$AR$9</definedName>
    <definedName name="_xlnm._FilterDatabase" localSheetId="11" hidden="1">'Berekeningsmodel Q G'!$B$9:$AS$9</definedName>
    <definedName name="_xlnm._FilterDatabase" localSheetId="9" hidden="1">Sorteren!$B$14:$I$24</definedName>
    <definedName name="capelek">'Q%'!$N$29</definedName>
    <definedName name="capgas">'Q%'!$P$29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7" l="1"/>
  <c r="J10" i="27"/>
  <c r="J11" i="27"/>
  <c r="J12" i="27"/>
  <c r="J13" i="27"/>
  <c r="J14" i="27"/>
  <c r="J15" i="27"/>
  <c r="J16" i="27"/>
  <c r="J17" i="27"/>
  <c r="J18" i="27"/>
  <c r="L32" i="27" l="1"/>
  <c r="L19" i="27"/>
  <c r="K7" i="27" l="1"/>
  <c r="K21" i="27" s="1"/>
  <c r="L7" i="27"/>
  <c r="L21" i="27" s="1"/>
  <c r="AJ9" i="31"/>
  <c r="AI9" i="31"/>
  <c r="L22" i="27"/>
  <c r="L8" i="27"/>
  <c r="C18" i="31"/>
  <c r="C17" i="31"/>
  <c r="C16" i="31"/>
  <c r="C15" i="31"/>
  <c r="C14" i="31"/>
  <c r="C13" i="31"/>
  <c r="C12" i="31"/>
  <c r="C11" i="31"/>
  <c r="C10" i="31"/>
  <c r="B18" i="31"/>
  <c r="E18" i="31" s="1"/>
  <c r="B17" i="31"/>
  <c r="E17" i="31" s="1"/>
  <c r="B16" i="31"/>
  <c r="E16" i="31" s="1"/>
  <c r="B15" i="31"/>
  <c r="B14" i="31"/>
  <c r="E14" i="31" s="1"/>
  <c r="B13" i="31"/>
  <c r="E13" i="31" s="1"/>
  <c r="B12" i="31"/>
  <c r="E12" i="31" s="1"/>
  <c r="B11" i="31"/>
  <c r="B10" i="31"/>
  <c r="E10" i="31" s="1"/>
  <c r="C19" i="1"/>
  <c r="C18" i="1"/>
  <c r="C17" i="1"/>
  <c r="C16" i="1"/>
  <c r="C15" i="1"/>
  <c r="C14" i="1"/>
  <c r="C13" i="1"/>
  <c r="C12" i="1"/>
  <c r="C11" i="1"/>
  <c r="C10" i="1"/>
  <c r="B19" i="1"/>
  <c r="E19" i="1" s="1"/>
  <c r="B18" i="1"/>
  <c r="E18" i="1" s="1"/>
  <c r="B17" i="1"/>
  <c r="B16" i="1"/>
  <c r="E16" i="1" s="1"/>
  <c r="B15" i="1"/>
  <c r="E15" i="1" s="1"/>
  <c r="B14" i="1"/>
  <c r="E14" i="1" s="1"/>
  <c r="B13" i="1"/>
  <c r="E13" i="1" s="1"/>
  <c r="B12" i="1"/>
  <c r="E12" i="1" s="1"/>
  <c r="B11" i="1"/>
  <c r="E11" i="1" s="1"/>
  <c r="B10" i="1"/>
  <c r="E10" i="1" s="1"/>
  <c r="D17" i="1" l="1"/>
  <c r="D11" i="31"/>
  <c r="D15" i="31"/>
  <c r="AL17" i="1"/>
  <c r="AL13" i="1"/>
  <c r="AL10" i="1"/>
  <c r="AL14" i="1"/>
  <c r="AL18" i="1"/>
  <c r="E17" i="1"/>
  <c r="AL11" i="1"/>
  <c r="AL15" i="1"/>
  <c r="AL19" i="1"/>
  <c r="AL12" i="1"/>
  <c r="AL16" i="1"/>
  <c r="AL12" i="31"/>
  <c r="AL16" i="31"/>
  <c r="AL13" i="31"/>
  <c r="AL17" i="31"/>
  <c r="AL10" i="31"/>
  <c r="AL14" i="31"/>
  <c r="AL18" i="31"/>
  <c r="AL11" i="31"/>
  <c r="AL15" i="31"/>
  <c r="E11" i="31"/>
  <c r="E15" i="31"/>
  <c r="D12" i="31"/>
  <c r="D16" i="31"/>
  <c r="D13" i="31"/>
  <c r="D17" i="31"/>
  <c r="D10" i="31"/>
  <c r="D14" i="31"/>
  <c r="D18" i="31"/>
  <c r="D13" i="1"/>
  <c r="D10" i="1"/>
  <c r="D14" i="1"/>
  <c r="D18" i="1"/>
  <c r="D11" i="1"/>
  <c r="D15" i="1"/>
  <c r="D19" i="1"/>
  <c r="D12" i="1"/>
  <c r="D16" i="1"/>
  <c r="B40" i="20"/>
  <c r="B39" i="20"/>
  <c r="B38" i="20"/>
  <c r="B37" i="20"/>
  <c r="B36" i="20"/>
  <c r="B35" i="20"/>
  <c r="B34" i="20"/>
  <c r="B33" i="20"/>
  <c r="B32" i="20"/>
  <c r="B24" i="20"/>
  <c r="B23" i="20"/>
  <c r="B22" i="20"/>
  <c r="B21" i="20"/>
  <c r="B20" i="20"/>
  <c r="B19" i="20"/>
  <c r="B18" i="20"/>
  <c r="B17" i="20"/>
  <c r="B16" i="20"/>
  <c r="B15" i="20"/>
  <c r="B38" i="17"/>
  <c r="B37" i="17"/>
  <c r="B36" i="17"/>
  <c r="B35" i="17"/>
  <c r="B34" i="17"/>
  <c r="B33" i="17"/>
  <c r="B32" i="17"/>
  <c r="B31" i="17"/>
  <c r="B30" i="17"/>
  <c r="B20" i="17"/>
  <c r="B19" i="17"/>
  <c r="B18" i="17"/>
  <c r="B17" i="17"/>
  <c r="B16" i="17"/>
  <c r="B15" i="17"/>
  <c r="B14" i="17"/>
  <c r="B13" i="17"/>
  <c r="B12" i="17"/>
  <c r="B11" i="17"/>
  <c r="B38" i="16"/>
  <c r="B37" i="16"/>
  <c r="B36" i="16"/>
  <c r="B35" i="16"/>
  <c r="B34" i="16"/>
  <c r="B33" i="16"/>
  <c r="B32" i="16"/>
  <c r="B31" i="16"/>
  <c r="B30" i="16"/>
  <c r="B20" i="16"/>
  <c r="B19" i="16"/>
  <c r="B18" i="16"/>
  <c r="B17" i="16"/>
  <c r="B16" i="16"/>
  <c r="B15" i="16"/>
  <c r="B14" i="16"/>
  <c r="B13" i="16"/>
  <c r="B12" i="16"/>
  <c r="B11" i="16"/>
  <c r="B17" i="13"/>
  <c r="B16" i="13"/>
  <c r="B15" i="13"/>
  <c r="B14" i="13"/>
  <c r="B13" i="13"/>
  <c r="B12" i="13"/>
  <c r="B11" i="13"/>
  <c r="B10" i="13"/>
  <c r="B9" i="13"/>
  <c r="B8" i="13"/>
  <c r="B17" i="12"/>
  <c r="B16" i="12"/>
  <c r="B15" i="12"/>
  <c r="B14" i="12"/>
  <c r="B13" i="12"/>
  <c r="B12" i="12"/>
  <c r="B11" i="12"/>
  <c r="B10" i="12"/>
  <c r="B9" i="12"/>
  <c r="B8" i="12"/>
  <c r="B17" i="11"/>
  <c r="B16" i="11"/>
  <c r="B15" i="11"/>
  <c r="B14" i="11"/>
  <c r="B13" i="11"/>
  <c r="B12" i="11"/>
  <c r="B11" i="11"/>
  <c r="B10" i="11"/>
  <c r="B9" i="11"/>
  <c r="B8" i="11"/>
  <c r="B17" i="10"/>
  <c r="B16" i="10"/>
  <c r="B15" i="10"/>
  <c r="B14" i="10"/>
  <c r="B13" i="10"/>
  <c r="B12" i="10"/>
  <c r="B11" i="10"/>
  <c r="B10" i="10"/>
  <c r="B9" i="10"/>
  <c r="B8" i="10"/>
  <c r="J8" i="27"/>
  <c r="J22" i="27" s="1"/>
  <c r="D22" i="27"/>
  <c r="D8" i="27"/>
  <c r="AL19" i="31" l="1"/>
  <c r="AL20" i="1"/>
  <c r="E30" i="29"/>
  <c r="E26" i="29"/>
  <c r="E22" i="29"/>
  <c r="E23" i="29"/>
  <c r="K15" i="29"/>
  <c r="D9" i="31" l="1"/>
  <c r="AA8" i="31"/>
  <c r="J21" i="27"/>
  <c r="J7" i="27"/>
  <c r="K22" i="27"/>
  <c r="K8" i="27"/>
  <c r="E11" i="17"/>
  <c r="H11" i="17"/>
  <c r="K11" i="17"/>
  <c r="N11" i="17"/>
  <c r="Q11" i="17"/>
  <c r="T11" i="17"/>
  <c r="X11" i="17"/>
  <c r="E12" i="17"/>
  <c r="H12" i="17"/>
  <c r="K12" i="17"/>
  <c r="N12" i="17"/>
  <c r="Q12" i="17"/>
  <c r="T12" i="17"/>
  <c r="X12" i="17"/>
  <c r="K38" i="17"/>
  <c r="K37" i="17"/>
  <c r="K36" i="17"/>
  <c r="K35" i="17"/>
  <c r="K34" i="17"/>
  <c r="K33" i="17"/>
  <c r="K32" i="17"/>
  <c r="K31" i="17"/>
  <c r="K30" i="17"/>
  <c r="K20" i="17"/>
  <c r="K19" i="17"/>
  <c r="K18" i="17"/>
  <c r="K17" i="17"/>
  <c r="K16" i="17"/>
  <c r="K15" i="17"/>
  <c r="K14" i="17"/>
  <c r="K13" i="17"/>
  <c r="Q38" i="16"/>
  <c r="Q37" i="16"/>
  <c r="Q36" i="16"/>
  <c r="Q35" i="16"/>
  <c r="Q34" i="16"/>
  <c r="Q33" i="16"/>
  <c r="Q32" i="16"/>
  <c r="Q31" i="16"/>
  <c r="Q30" i="16"/>
  <c r="Q20" i="16"/>
  <c r="Q19" i="16"/>
  <c r="Q18" i="16"/>
  <c r="Q17" i="16"/>
  <c r="Q16" i="16"/>
  <c r="Q15" i="16"/>
  <c r="Q14" i="16"/>
  <c r="Q13" i="16"/>
  <c r="Q12" i="16"/>
  <c r="Q11" i="16"/>
  <c r="I17" i="12"/>
  <c r="I16" i="12"/>
  <c r="I15" i="12"/>
  <c r="I14" i="12"/>
  <c r="I13" i="12"/>
  <c r="I12" i="12"/>
  <c r="I11" i="12"/>
  <c r="I10" i="12"/>
  <c r="I9" i="12"/>
  <c r="I8" i="12"/>
  <c r="I17" i="11"/>
  <c r="I16" i="11"/>
  <c r="I15" i="11"/>
  <c r="I14" i="11"/>
  <c r="I13" i="11"/>
  <c r="I12" i="11"/>
  <c r="I11" i="11"/>
  <c r="I10" i="11"/>
  <c r="I9" i="11"/>
  <c r="I8" i="11"/>
  <c r="H7" i="10"/>
  <c r="G7" i="10"/>
  <c r="F7" i="10"/>
  <c r="E7" i="10"/>
  <c r="D7" i="10"/>
  <c r="C7" i="10"/>
  <c r="D9" i="1"/>
  <c r="V9" i="1" s="1"/>
  <c r="AC9" i="1" s="1"/>
  <c r="P23" i="29"/>
  <c r="N23" i="29"/>
  <c r="F20" i="29"/>
  <c r="G20" i="29" s="1"/>
  <c r="G19" i="29"/>
  <c r="F18" i="29"/>
  <c r="G18" i="29" s="1"/>
  <c r="G17" i="29"/>
  <c r="G16" i="29"/>
  <c r="G15" i="29"/>
  <c r="L15" i="29" s="1"/>
  <c r="N15" i="29" s="1"/>
  <c r="K20" i="10" s="1"/>
  <c r="I11" i="29"/>
  <c r="K9" i="29"/>
  <c r="J9" i="29"/>
  <c r="I9" i="29"/>
  <c r="H9" i="29"/>
  <c r="G9" i="29"/>
  <c r="F9" i="29"/>
  <c r="E9" i="29"/>
  <c r="D32" i="27"/>
  <c r="I9" i="13"/>
  <c r="I8" i="13"/>
  <c r="AI9" i="1"/>
  <c r="I19" i="27"/>
  <c r="H19" i="27"/>
  <c r="H32" i="27"/>
  <c r="T20" i="17"/>
  <c r="Q38" i="17"/>
  <c r="Q37" i="17"/>
  <c r="Q36" i="17"/>
  <c r="Q35" i="17"/>
  <c r="Q34" i="17"/>
  <c r="Q33" i="17"/>
  <c r="Q32" i="17"/>
  <c r="Q31" i="17"/>
  <c r="Q30" i="17"/>
  <c r="Q20" i="17"/>
  <c r="Q19" i="17"/>
  <c r="Q18" i="17"/>
  <c r="Q17" i="17"/>
  <c r="Q16" i="17"/>
  <c r="Q15" i="17"/>
  <c r="Q14" i="17"/>
  <c r="Q13" i="17"/>
  <c r="T20" i="16"/>
  <c r="T19" i="16"/>
  <c r="T18" i="16"/>
  <c r="T17" i="16"/>
  <c r="T16" i="16"/>
  <c r="T15" i="16"/>
  <c r="T14" i="16"/>
  <c r="T13" i="16"/>
  <c r="T12" i="16"/>
  <c r="T11" i="16"/>
  <c r="N20" i="16"/>
  <c r="N19" i="16"/>
  <c r="N18" i="16"/>
  <c r="N17" i="16"/>
  <c r="N16" i="16"/>
  <c r="N15" i="16"/>
  <c r="N14" i="16"/>
  <c r="N13" i="16"/>
  <c r="N12" i="16"/>
  <c r="N11" i="16"/>
  <c r="T38" i="16"/>
  <c r="T37" i="16"/>
  <c r="T36" i="16"/>
  <c r="T35" i="16"/>
  <c r="T34" i="16"/>
  <c r="T33" i="16"/>
  <c r="T32" i="16"/>
  <c r="T31" i="16"/>
  <c r="T30" i="16"/>
  <c r="N38" i="16"/>
  <c r="N37" i="16"/>
  <c r="N36" i="16"/>
  <c r="N35" i="16"/>
  <c r="N34" i="16"/>
  <c r="N33" i="16"/>
  <c r="N32" i="16"/>
  <c r="N31" i="16"/>
  <c r="N30" i="16"/>
  <c r="K38" i="16"/>
  <c r="K37" i="16"/>
  <c r="K36" i="16"/>
  <c r="K35" i="16"/>
  <c r="K34" i="16"/>
  <c r="K33" i="16"/>
  <c r="K32" i="16"/>
  <c r="K31" i="16"/>
  <c r="K30" i="16"/>
  <c r="J32" i="27"/>
  <c r="I32" i="27"/>
  <c r="F32" i="27"/>
  <c r="E32" i="27"/>
  <c r="E19" i="27"/>
  <c r="F19" i="27"/>
  <c r="J19" i="27"/>
  <c r="K19" i="27"/>
  <c r="D19" i="27"/>
  <c r="X38" i="17"/>
  <c r="T38" i="17"/>
  <c r="N38" i="17"/>
  <c r="H38" i="17"/>
  <c r="E38" i="17"/>
  <c r="X37" i="17"/>
  <c r="T37" i="17"/>
  <c r="N37" i="17"/>
  <c r="H37" i="17"/>
  <c r="E37" i="17"/>
  <c r="X36" i="17"/>
  <c r="T36" i="17"/>
  <c r="N36" i="17"/>
  <c r="H36" i="17"/>
  <c r="E36" i="17"/>
  <c r="X35" i="17"/>
  <c r="T35" i="17"/>
  <c r="N35" i="17"/>
  <c r="H35" i="17"/>
  <c r="E35" i="17"/>
  <c r="X34" i="17"/>
  <c r="T34" i="17"/>
  <c r="N34" i="17"/>
  <c r="H34" i="17"/>
  <c r="E34" i="17"/>
  <c r="X33" i="17"/>
  <c r="T33" i="17"/>
  <c r="N33" i="17"/>
  <c r="H33" i="17"/>
  <c r="E33" i="17"/>
  <c r="X32" i="17"/>
  <c r="T32" i="17"/>
  <c r="N32" i="17"/>
  <c r="H32" i="17"/>
  <c r="E32" i="17"/>
  <c r="X31" i="17"/>
  <c r="T31" i="17"/>
  <c r="N31" i="17"/>
  <c r="H31" i="17"/>
  <c r="E31" i="17"/>
  <c r="X30" i="17"/>
  <c r="T30" i="17"/>
  <c r="N30" i="17"/>
  <c r="H30" i="17"/>
  <c r="E30" i="17"/>
  <c r="X20" i="17"/>
  <c r="N20" i="17"/>
  <c r="H20" i="17"/>
  <c r="E20" i="17"/>
  <c r="X19" i="17"/>
  <c r="T19" i="17"/>
  <c r="N19" i="17"/>
  <c r="H19" i="17"/>
  <c r="E19" i="17"/>
  <c r="X18" i="17"/>
  <c r="T18" i="17"/>
  <c r="N18" i="17"/>
  <c r="H18" i="17"/>
  <c r="E18" i="17"/>
  <c r="X17" i="17"/>
  <c r="T17" i="17"/>
  <c r="N17" i="17"/>
  <c r="H17" i="17"/>
  <c r="E17" i="17"/>
  <c r="X16" i="17"/>
  <c r="T16" i="17"/>
  <c r="N16" i="17"/>
  <c r="H16" i="17"/>
  <c r="E16" i="17"/>
  <c r="X15" i="17"/>
  <c r="T15" i="17"/>
  <c r="N15" i="17"/>
  <c r="H15" i="17"/>
  <c r="E15" i="17"/>
  <c r="X14" i="17"/>
  <c r="T14" i="17"/>
  <c r="N14" i="17"/>
  <c r="H14" i="17"/>
  <c r="E14" i="17"/>
  <c r="X13" i="17"/>
  <c r="T13" i="17"/>
  <c r="N13" i="17"/>
  <c r="H13" i="17"/>
  <c r="E13" i="17"/>
  <c r="X38" i="16"/>
  <c r="X37" i="16"/>
  <c r="X36" i="16"/>
  <c r="X35" i="16"/>
  <c r="X34" i="16"/>
  <c r="X33" i="16"/>
  <c r="X32" i="16"/>
  <c r="X31" i="16"/>
  <c r="X30" i="16"/>
  <c r="X12" i="16"/>
  <c r="X13" i="16"/>
  <c r="X14" i="16"/>
  <c r="X15" i="16"/>
  <c r="X16" i="16"/>
  <c r="X17" i="16"/>
  <c r="X18" i="16"/>
  <c r="X19" i="16"/>
  <c r="X20" i="16"/>
  <c r="X11" i="16"/>
  <c r="K20" i="16"/>
  <c r="K19" i="16"/>
  <c r="K18" i="16"/>
  <c r="K17" i="16"/>
  <c r="K16" i="16"/>
  <c r="K15" i="16"/>
  <c r="K14" i="16"/>
  <c r="K13" i="16"/>
  <c r="K12" i="16"/>
  <c r="K11" i="16"/>
  <c r="H38" i="16"/>
  <c r="H37" i="16"/>
  <c r="H36" i="16"/>
  <c r="H35" i="16"/>
  <c r="H34" i="16"/>
  <c r="H33" i="16"/>
  <c r="H32" i="16"/>
  <c r="H31" i="16"/>
  <c r="H30" i="16"/>
  <c r="E38" i="16"/>
  <c r="E37" i="16"/>
  <c r="E36" i="16"/>
  <c r="E35" i="16"/>
  <c r="E34" i="16"/>
  <c r="E33" i="16"/>
  <c r="E32" i="16"/>
  <c r="E31" i="16"/>
  <c r="E30" i="16"/>
  <c r="E20" i="16"/>
  <c r="E19" i="16"/>
  <c r="E18" i="16"/>
  <c r="E17" i="16"/>
  <c r="E16" i="16"/>
  <c r="E15" i="16"/>
  <c r="E14" i="16"/>
  <c r="E13" i="16"/>
  <c r="E12" i="16"/>
  <c r="E11" i="16"/>
  <c r="H20" i="16"/>
  <c r="H19" i="16"/>
  <c r="H18" i="16"/>
  <c r="H17" i="16"/>
  <c r="H16" i="16"/>
  <c r="H15" i="16"/>
  <c r="H14" i="16"/>
  <c r="H13" i="16"/>
  <c r="H12" i="16"/>
  <c r="H11" i="16"/>
  <c r="I17" i="13"/>
  <c r="I16" i="13"/>
  <c r="I15" i="13"/>
  <c r="I14" i="13"/>
  <c r="I13" i="13"/>
  <c r="I12" i="13"/>
  <c r="I11" i="13"/>
  <c r="I10" i="13"/>
  <c r="AA8" i="1"/>
  <c r="I17" i="10"/>
  <c r="I16" i="10"/>
  <c r="I15" i="10"/>
  <c r="I14" i="10"/>
  <c r="I13" i="10"/>
  <c r="I12" i="10"/>
  <c r="I11" i="10"/>
  <c r="I10" i="10"/>
  <c r="I9" i="10"/>
  <c r="I8" i="10"/>
  <c r="AJ9" i="1"/>
  <c r="K32" i="27"/>
  <c r="V19" i="1"/>
  <c r="AC19" i="1" s="1"/>
  <c r="B6" i="1" l="1"/>
  <c r="B6" i="31"/>
  <c r="AM9" i="31"/>
  <c r="AL9" i="31"/>
  <c r="AL9" i="1"/>
  <c r="AK9" i="31"/>
  <c r="E9" i="1"/>
  <c r="P9" i="1" s="1"/>
  <c r="E9" i="31"/>
  <c r="P9" i="31" s="1"/>
  <c r="J8" i="13"/>
  <c r="K8" i="13" s="1"/>
  <c r="V9" i="31"/>
  <c r="AC9" i="31" s="1"/>
  <c r="V36" i="17"/>
  <c r="Y36" i="17" s="1"/>
  <c r="V36" i="16"/>
  <c r="Y36" i="16" s="1"/>
  <c r="V14" i="17"/>
  <c r="Y14" i="17" s="1"/>
  <c r="V17" i="17"/>
  <c r="Y17" i="17" s="1"/>
  <c r="V11" i="17"/>
  <c r="Y11" i="17" s="1"/>
  <c r="V30" i="17"/>
  <c r="Y30" i="17" s="1"/>
  <c r="V32" i="17"/>
  <c r="V33" i="17"/>
  <c r="V35" i="17"/>
  <c r="Y35" i="17" s="1"/>
  <c r="V38" i="17"/>
  <c r="Y38" i="17" s="1"/>
  <c r="V17" i="16"/>
  <c r="Y17" i="16" s="1"/>
  <c r="V34" i="16"/>
  <c r="Y34" i="16" s="1"/>
  <c r="V38" i="16"/>
  <c r="Y38" i="16" s="1"/>
  <c r="V32" i="16"/>
  <c r="Y32" i="16" s="1"/>
  <c r="J16" i="11"/>
  <c r="K16" i="11" s="1"/>
  <c r="J17" i="11"/>
  <c r="K17" i="11" s="1"/>
  <c r="J8" i="12"/>
  <c r="K8" i="12" s="1"/>
  <c r="AI13" i="31"/>
  <c r="P17" i="1"/>
  <c r="AI13" i="1"/>
  <c r="J13" i="12"/>
  <c r="K13" i="12" s="1"/>
  <c r="I18" i="12"/>
  <c r="N17" i="12" s="1"/>
  <c r="J9" i="12"/>
  <c r="K9" i="12" s="1"/>
  <c r="J10" i="12"/>
  <c r="K10" i="12" s="1"/>
  <c r="J15" i="12"/>
  <c r="K15" i="12" s="1"/>
  <c r="P19" i="1"/>
  <c r="AI19" i="1"/>
  <c r="P18" i="31"/>
  <c r="AI18" i="31"/>
  <c r="V17" i="31"/>
  <c r="AC17" i="31" s="1"/>
  <c r="V13" i="17"/>
  <c r="Y13" i="17" s="1"/>
  <c r="V20" i="17"/>
  <c r="Y20" i="17" s="1"/>
  <c r="V15" i="17"/>
  <c r="V12" i="17"/>
  <c r="V35" i="16"/>
  <c r="Y35" i="16" s="1"/>
  <c r="V37" i="16"/>
  <c r="Y37" i="16" s="1"/>
  <c r="V20" i="16"/>
  <c r="Y20" i="16" s="1"/>
  <c r="V18" i="16"/>
  <c r="Y18" i="16" s="1"/>
  <c r="V12" i="16"/>
  <c r="Y12" i="16" s="1"/>
  <c r="V16" i="16"/>
  <c r="Y16" i="16" s="1"/>
  <c r="V14" i="16"/>
  <c r="Y14" i="16" s="1"/>
  <c r="V13" i="16"/>
  <c r="Y13" i="16" s="1"/>
  <c r="J15" i="13"/>
  <c r="K15" i="13" s="1"/>
  <c r="J9" i="13"/>
  <c r="K9" i="13" s="1"/>
  <c r="J11" i="13"/>
  <c r="K11" i="13" s="1"/>
  <c r="J13" i="13"/>
  <c r="K13" i="13" s="1"/>
  <c r="J10" i="13"/>
  <c r="K10" i="13" s="1"/>
  <c r="J14" i="13"/>
  <c r="K14" i="13" s="1"/>
  <c r="I18" i="13"/>
  <c r="N11" i="13" s="1"/>
  <c r="J11" i="12"/>
  <c r="K11" i="12" s="1"/>
  <c r="J12" i="12"/>
  <c r="K12" i="12" s="1"/>
  <c r="J16" i="12"/>
  <c r="K16" i="12" s="1"/>
  <c r="J17" i="12"/>
  <c r="K17" i="12" s="1"/>
  <c r="J15" i="11"/>
  <c r="K15" i="11" s="1"/>
  <c r="I18" i="11"/>
  <c r="N17" i="11" s="1"/>
  <c r="J11" i="11"/>
  <c r="K11" i="11" s="1"/>
  <c r="J9" i="11"/>
  <c r="K9" i="11" s="1"/>
  <c r="J17" i="10"/>
  <c r="K17" i="10" s="1"/>
  <c r="J11" i="10"/>
  <c r="K11" i="10" s="1"/>
  <c r="J14" i="10"/>
  <c r="K14" i="10" s="1"/>
  <c r="J16" i="10"/>
  <c r="K16" i="10" s="1"/>
  <c r="J8" i="10"/>
  <c r="K8" i="10" s="1"/>
  <c r="J13" i="10"/>
  <c r="K13" i="10" s="1"/>
  <c r="J10" i="10"/>
  <c r="K10" i="10" s="1"/>
  <c r="I18" i="10"/>
  <c r="N13" i="10" s="1"/>
  <c r="J9" i="10"/>
  <c r="K9" i="10" s="1"/>
  <c r="J15" i="10"/>
  <c r="K15" i="10" s="1"/>
  <c r="J12" i="10"/>
  <c r="K12" i="10" s="1"/>
  <c r="AM9" i="1"/>
  <c r="E27" i="29"/>
  <c r="AK9" i="1"/>
  <c r="AI12" i="31"/>
  <c r="AI14" i="1"/>
  <c r="V14" i="1"/>
  <c r="AC14" i="1" s="1"/>
  <c r="P12" i="31"/>
  <c r="V18" i="1"/>
  <c r="AC18" i="1" s="1"/>
  <c r="V13" i="31"/>
  <c r="AC13" i="31" s="1"/>
  <c r="P17" i="31"/>
  <c r="AI17" i="31"/>
  <c r="V12" i="1"/>
  <c r="AC12" i="1" s="1"/>
  <c r="AI16" i="31"/>
  <c r="P16" i="31"/>
  <c r="J16" i="13"/>
  <c r="K16" i="13" s="1"/>
  <c r="Y33" i="17"/>
  <c r="J12" i="13"/>
  <c r="K12" i="13" s="1"/>
  <c r="Y32" i="17"/>
  <c r="V17" i="1"/>
  <c r="AC17" i="1" s="1"/>
  <c r="V16" i="1"/>
  <c r="AC16" i="1" s="1"/>
  <c r="V31" i="17"/>
  <c r="J17" i="13"/>
  <c r="K17" i="13" s="1"/>
  <c r="V33" i="16"/>
  <c r="Y33" i="16" s="1"/>
  <c r="J8" i="11"/>
  <c r="K8" i="11" s="1"/>
  <c r="J10" i="11"/>
  <c r="K10" i="11" s="1"/>
  <c r="J14" i="11"/>
  <c r="K14" i="11" s="1"/>
  <c r="J12" i="11"/>
  <c r="K12" i="11" s="1"/>
  <c r="J14" i="12"/>
  <c r="K14" i="12" s="1"/>
  <c r="V30" i="16"/>
  <c r="V16" i="17"/>
  <c r="V11" i="16"/>
  <c r="V15" i="16"/>
  <c r="Y15" i="16" s="1"/>
  <c r="V19" i="16"/>
  <c r="Y19" i="16" s="1"/>
  <c r="V31" i="16"/>
  <c r="Y31" i="16" s="1"/>
  <c r="V19" i="17"/>
  <c r="V34" i="17"/>
  <c r="V37" i="17"/>
  <c r="V18" i="17"/>
  <c r="J13" i="11"/>
  <c r="K13" i="11" s="1"/>
  <c r="E31" i="29"/>
  <c r="N16" i="12"/>
  <c r="N15" i="11" l="1"/>
  <c r="N12" i="13"/>
  <c r="P13" i="31"/>
  <c r="V39" i="17"/>
  <c r="Z33" i="17" s="1"/>
  <c r="AA33" i="17" s="1"/>
  <c r="N13" i="12"/>
  <c r="N8" i="12"/>
  <c r="N13" i="11"/>
  <c r="N8" i="11"/>
  <c r="N12" i="11"/>
  <c r="N10" i="11"/>
  <c r="N9" i="11"/>
  <c r="N15" i="12"/>
  <c r="P10" i="31"/>
  <c r="AI10" i="31"/>
  <c r="V13" i="1"/>
  <c r="AC13" i="1" s="1"/>
  <c r="AI17" i="1"/>
  <c r="P13" i="1"/>
  <c r="N14" i="12"/>
  <c r="N10" i="12"/>
  <c r="N9" i="12"/>
  <c r="N12" i="12"/>
  <c r="N11" i="12"/>
  <c r="V10" i="1"/>
  <c r="AC10" i="1" s="1"/>
  <c r="V11" i="31"/>
  <c r="AC11" i="31" s="1"/>
  <c r="Z30" i="17"/>
  <c r="AA30" i="17" s="1"/>
  <c r="V21" i="17"/>
  <c r="Z11" i="17" s="1"/>
  <c r="AA11" i="17" s="1"/>
  <c r="Y12" i="17"/>
  <c r="Y15" i="17"/>
  <c r="K18" i="13"/>
  <c r="N15" i="13"/>
  <c r="N10" i="13"/>
  <c r="N8" i="13"/>
  <c r="N9" i="13"/>
  <c r="N17" i="13"/>
  <c r="N14" i="13"/>
  <c r="N16" i="13"/>
  <c r="N13" i="13"/>
  <c r="K18" i="12"/>
  <c r="N11" i="11"/>
  <c r="N16" i="11"/>
  <c r="N14" i="11"/>
  <c r="K18" i="10"/>
  <c r="M16" i="10" s="1"/>
  <c r="N14" i="10"/>
  <c r="N15" i="10"/>
  <c r="N12" i="10"/>
  <c r="N11" i="10"/>
  <c r="N10" i="10"/>
  <c r="N8" i="10"/>
  <c r="N16" i="10"/>
  <c r="N9" i="10"/>
  <c r="N17" i="10"/>
  <c r="V16" i="31"/>
  <c r="AC16" i="31" s="1"/>
  <c r="AI10" i="1"/>
  <c r="P10" i="1"/>
  <c r="P14" i="1"/>
  <c r="V15" i="31"/>
  <c r="AC15" i="31" s="1"/>
  <c r="AI11" i="31"/>
  <c r="P11" i="31"/>
  <c r="V15" i="1"/>
  <c r="AC15" i="1" s="1"/>
  <c r="AI15" i="31"/>
  <c r="P15" i="1"/>
  <c r="AI15" i="1"/>
  <c r="P15" i="31"/>
  <c r="AI18" i="1"/>
  <c r="P18" i="1"/>
  <c r="P12" i="1"/>
  <c r="AI12" i="1"/>
  <c r="V18" i="31"/>
  <c r="AC18" i="31" s="1"/>
  <c r="V12" i="31"/>
  <c r="AC12" i="31" s="1"/>
  <c r="V11" i="1"/>
  <c r="AC11" i="1" s="1"/>
  <c r="D20" i="1"/>
  <c r="V14" i="31"/>
  <c r="AC14" i="31" s="1"/>
  <c r="D19" i="31"/>
  <c r="V10" i="31"/>
  <c r="AC10" i="31" s="1"/>
  <c r="Y18" i="17"/>
  <c r="P16" i="1"/>
  <c r="AI16" i="1"/>
  <c r="Y34" i="17"/>
  <c r="V39" i="16"/>
  <c r="Z33" i="16" s="1"/>
  <c r="AA33" i="16" s="1"/>
  <c r="Y30" i="16"/>
  <c r="P11" i="1"/>
  <c r="E20" i="1"/>
  <c r="AI11" i="1"/>
  <c r="Y19" i="17"/>
  <c r="Y11" i="16"/>
  <c r="V21" i="16"/>
  <c r="Z19" i="16" s="1"/>
  <c r="AA19" i="16" s="1"/>
  <c r="Y16" i="17"/>
  <c r="AI14" i="31"/>
  <c r="P14" i="31"/>
  <c r="E19" i="31"/>
  <c r="Y37" i="17"/>
  <c r="Z37" i="17"/>
  <c r="AA37" i="17" s="1"/>
  <c r="K18" i="11"/>
  <c r="Y31" i="17"/>
  <c r="Z32" i="17" l="1"/>
  <c r="AA32" i="17" s="1"/>
  <c r="Z31" i="17"/>
  <c r="AA31" i="17" s="1"/>
  <c r="Z35" i="17"/>
  <c r="AA35" i="17" s="1"/>
  <c r="Z34" i="17"/>
  <c r="AA34" i="17" s="1"/>
  <c r="Z36" i="17"/>
  <c r="AA36" i="17" s="1"/>
  <c r="M15" i="10"/>
  <c r="M11" i="10"/>
  <c r="O11" i="10" s="1"/>
  <c r="C18" i="20" s="1"/>
  <c r="M14" i="10"/>
  <c r="M10" i="10"/>
  <c r="O10" i="10" s="1"/>
  <c r="C17" i="20" s="1"/>
  <c r="M12" i="10"/>
  <c r="M9" i="10"/>
  <c r="M8" i="10"/>
  <c r="M17" i="10"/>
  <c r="O17" i="10" s="1"/>
  <c r="C24" i="20" s="1"/>
  <c r="M13" i="10"/>
  <c r="Z38" i="17"/>
  <c r="AA38" i="17" s="1"/>
  <c r="O16" i="10"/>
  <c r="C23" i="20" s="1"/>
  <c r="O12" i="10"/>
  <c r="C19" i="20" s="1"/>
  <c r="AA39" i="17"/>
  <c r="Z17" i="17"/>
  <c r="AA17" i="17" s="1"/>
  <c r="Z16" i="17"/>
  <c r="AA16" i="17" s="1"/>
  <c r="Z19" i="17"/>
  <c r="AA19" i="17" s="1"/>
  <c r="Z15" i="17"/>
  <c r="AA15" i="17" s="1"/>
  <c r="Z14" i="17"/>
  <c r="AA14" i="17" s="1"/>
  <c r="Z20" i="17"/>
  <c r="AA20" i="17" s="1"/>
  <c r="Z12" i="17"/>
  <c r="AA12" i="17" s="1"/>
  <c r="Z18" i="17"/>
  <c r="AA18" i="17" s="1"/>
  <c r="Z13" i="17"/>
  <c r="AA13" i="17" s="1"/>
  <c r="Z30" i="16"/>
  <c r="AA30" i="16" s="1"/>
  <c r="O8" i="10"/>
  <c r="C15" i="20" s="1"/>
  <c r="AI20" i="1"/>
  <c r="AI19" i="31"/>
  <c r="Z14" i="16"/>
  <c r="AA14" i="16" s="1"/>
  <c r="Z12" i="16"/>
  <c r="AA12" i="16" s="1"/>
  <c r="Z18" i="16"/>
  <c r="AA18" i="16" s="1"/>
  <c r="Z13" i="16"/>
  <c r="AA13" i="16" s="1"/>
  <c r="Z17" i="16"/>
  <c r="AA17" i="16" s="1"/>
  <c r="Z20" i="16"/>
  <c r="AA20" i="16" s="1"/>
  <c r="Z16" i="16"/>
  <c r="AA16" i="16" s="1"/>
  <c r="Z11" i="16"/>
  <c r="AA11" i="16" s="1"/>
  <c r="Z35" i="16"/>
  <c r="AA35" i="16" s="1"/>
  <c r="Z36" i="16"/>
  <c r="AA36" i="16" s="1"/>
  <c r="Z32" i="16"/>
  <c r="AA32" i="16" s="1"/>
  <c r="Z38" i="16"/>
  <c r="AA38" i="16" s="1"/>
  <c r="Z37" i="16"/>
  <c r="AA37" i="16" s="1"/>
  <c r="Z34" i="16"/>
  <c r="AA34" i="16" s="1"/>
  <c r="Z15" i="16"/>
  <c r="AA15" i="16" s="1"/>
  <c r="Z31" i="16"/>
  <c r="AA31" i="16" s="1"/>
  <c r="O14" i="10" l="1"/>
  <c r="C21" i="20" s="1"/>
  <c r="M18" i="10"/>
  <c r="O15" i="10"/>
  <c r="C22" i="20" s="1"/>
  <c r="O9" i="10"/>
  <c r="C16" i="20" s="1"/>
  <c r="O13" i="10"/>
  <c r="C20" i="20" s="1"/>
  <c r="AA21" i="17"/>
  <c r="AA39" i="16"/>
  <c r="AA21" i="16"/>
  <c r="K20" i="29"/>
  <c r="O18" i="10" l="1"/>
  <c r="I9" i="17"/>
  <c r="L9" i="17"/>
  <c r="O28" i="17"/>
  <c r="O9" i="17"/>
  <c r="R28" i="17"/>
  <c r="R9" i="17"/>
  <c r="C9" i="17"/>
  <c r="F28" i="17"/>
  <c r="C28" i="17"/>
  <c r="I28" i="17"/>
  <c r="L28" i="17"/>
  <c r="F9" i="17"/>
  <c r="L20" i="29"/>
  <c r="N20" i="29" l="1"/>
  <c r="AA23" i="17" s="1"/>
  <c r="P20" i="29"/>
  <c r="AA41" i="17" s="1"/>
  <c r="AB32" i="17" l="1"/>
  <c r="AB38" i="17"/>
  <c r="AB30" i="17"/>
  <c r="AB35" i="17"/>
  <c r="AB31" i="17"/>
  <c r="AB36" i="17"/>
  <c r="AB37" i="17"/>
  <c r="D36" i="20" s="1"/>
  <c r="AB33" i="17"/>
  <c r="AB34" i="17"/>
  <c r="AB13" i="17"/>
  <c r="H17" i="20" s="1"/>
  <c r="AB11" i="17"/>
  <c r="AB19" i="17"/>
  <c r="AB20" i="17"/>
  <c r="AB18" i="17"/>
  <c r="AB17" i="17"/>
  <c r="AB15" i="17"/>
  <c r="AB12" i="17"/>
  <c r="AB14" i="17"/>
  <c r="AB16" i="17"/>
  <c r="D37" i="20" l="1"/>
  <c r="D34" i="20"/>
  <c r="D39" i="20"/>
  <c r="H23" i="20"/>
  <c r="H21" i="20"/>
  <c r="H19" i="20"/>
  <c r="H16" i="20"/>
  <c r="D38" i="20"/>
  <c r="H18" i="20"/>
  <c r="H24" i="20"/>
  <c r="D40" i="20"/>
  <c r="H22" i="20"/>
  <c r="H20" i="20"/>
  <c r="D33" i="20"/>
  <c r="D35" i="20"/>
  <c r="D32" i="20"/>
  <c r="AB39" i="17"/>
  <c r="AB21" i="17"/>
  <c r="H15" i="20"/>
  <c r="K19" i="29"/>
  <c r="R28" i="16" l="1"/>
  <c r="F28" i="16"/>
  <c r="I28" i="16"/>
  <c r="L28" i="16"/>
  <c r="O9" i="16"/>
  <c r="C28" i="16"/>
  <c r="O28" i="16"/>
  <c r="F9" i="16"/>
  <c r="L9" i="16"/>
  <c r="I9" i="16"/>
  <c r="C9" i="16"/>
  <c r="R9" i="16"/>
  <c r="L19" i="29"/>
  <c r="N19" i="29" l="1"/>
  <c r="AA23" i="16" s="1"/>
  <c r="P19" i="29"/>
  <c r="P22" i="29" l="1"/>
  <c r="P24" i="29" s="1"/>
  <c r="P25" i="29" s="1"/>
  <c r="AA41" i="16"/>
  <c r="AB19" i="16"/>
  <c r="AB14" i="16"/>
  <c r="G24" i="20" s="1"/>
  <c r="AB18" i="16"/>
  <c r="AB20" i="16"/>
  <c r="AB11" i="16"/>
  <c r="AB17" i="16"/>
  <c r="G23" i="20" s="1"/>
  <c r="AB12" i="16"/>
  <c r="G16" i="20" s="1"/>
  <c r="AB13" i="16"/>
  <c r="G17" i="20" s="1"/>
  <c r="AB16" i="16"/>
  <c r="AB15" i="16"/>
  <c r="G22" i="20" s="1"/>
  <c r="G18" i="20" l="1"/>
  <c r="G21" i="20"/>
  <c r="G19" i="20"/>
  <c r="G20" i="20"/>
  <c r="G15" i="20"/>
  <c r="AB21" i="16"/>
  <c r="AB35" i="16"/>
  <c r="AB34" i="16"/>
  <c r="AB32" i="16"/>
  <c r="AB30" i="16"/>
  <c r="AB37" i="16"/>
  <c r="AB36" i="16"/>
  <c r="AB33" i="16"/>
  <c r="AB38" i="16"/>
  <c r="AB31" i="16"/>
  <c r="P29" i="29"/>
  <c r="AG21" i="31" s="1"/>
  <c r="P27" i="29"/>
  <c r="E21" i="31" s="1"/>
  <c r="E22" i="31" s="1"/>
  <c r="C37" i="20" l="1"/>
  <c r="E37" i="20" s="1"/>
  <c r="C34" i="20"/>
  <c r="E34" i="20" s="1"/>
  <c r="X12" i="31" s="1"/>
  <c r="AE12" i="31" s="1"/>
  <c r="C39" i="20"/>
  <c r="E39" i="20" s="1"/>
  <c r="X17" i="31" s="1"/>
  <c r="AE17" i="31" s="1"/>
  <c r="C35" i="20"/>
  <c r="E35" i="20" s="1"/>
  <c r="C36" i="20"/>
  <c r="E36" i="20" s="1"/>
  <c r="K14" i="31" s="1"/>
  <c r="C38" i="20"/>
  <c r="E38" i="20" s="1"/>
  <c r="C33" i="20"/>
  <c r="E33" i="20" s="1"/>
  <c r="C40" i="20"/>
  <c r="E40" i="20" s="1"/>
  <c r="K15" i="31"/>
  <c r="X15" i="31"/>
  <c r="AE15" i="31" s="1"/>
  <c r="AB39" i="16"/>
  <c r="C32" i="20"/>
  <c r="E32" i="20" s="1"/>
  <c r="H13" i="31"/>
  <c r="H17" i="31"/>
  <c r="H11" i="31"/>
  <c r="H15" i="31"/>
  <c r="H12" i="31"/>
  <c r="H16" i="31"/>
  <c r="H18" i="31"/>
  <c r="H14" i="31"/>
  <c r="H10" i="31"/>
  <c r="Z21" i="31"/>
  <c r="E24" i="31"/>
  <c r="R21" i="31"/>
  <c r="X16" i="31"/>
  <c r="AE16" i="31" s="1"/>
  <c r="K16" i="31"/>
  <c r="K17" i="31" l="1"/>
  <c r="X13" i="31"/>
  <c r="AE13" i="31" s="1"/>
  <c r="K13" i="31"/>
  <c r="X14" i="31"/>
  <c r="AE14" i="31" s="1"/>
  <c r="K12" i="31"/>
  <c r="K18" i="31"/>
  <c r="X18" i="31"/>
  <c r="AE18" i="31" s="1"/>
  <c r="K11" i="31"/>
  <c r="X11" i="31"/>
  <c r="AE11" i="31" s="1"/>
  <c r="I10" i="31"/>
  <c r="H19" i="31"/>
  <c r="I14" i="31"/>
  <c r="I15" i="31"/>
  <c r="I13" i="31"/>
  <c r="I18" i="31"/>
  <c r="I11" i="31"/>
  <c r="K10" i="31"/>
  <c r="X10" i="31"/>
  <c r="AE10" i="31" s="1"/>
  <c r="I12" i="31"/>
  <c r="I16" i="31"/>
  <c r="I17" i="31"/>
  <c r="K19" i="31" l="1"/>
  <c r="L10" i="31" s="1"/>
  <c r="M10" i="31" l="1"/>
  <c r="L17" i="31"/>
  <c r="M17" i="31" s="1"/>
  <c r="L12" i="31"/>
  <c r="M12" i="31" s="1"/>
  <c r="L16" i="31"/>
  <c r="M16" i="31" s="1"/>
  <c r="L11" i="31"/>
  <c r="M11" i="31" s="1"/>
  <c r="L18" i="31"/>
  <c r="M18" i="31" s="1"/>
  <c r="L14" i="31"/>
  <c r="M14" i="31" s="1"/>
  <c r="L15" i="31"/>
  <c r="M15" i="31" s="1"/>
  <c r="L13" i="31"/>
  <c r="M13" i="31" s="1"/>
  <c r="L19" i="31" l="1"/>
  <c r="N17" i="31"/>
  <c r="Q17" i="31"/>
  <c r="M19" i="31"/>
  <c r="N10" i="31"/>
  <c r="Q10" i="31"/>
  <c r="N18" i="31"/>
  <c r="Q18" i="31"/>
  <c r="N13" i="31"/>
  <c r="Q13" i="31"/>
  <c r="N11" i="31"/>
  <c r="Q11" i="31"/>
  <c r="N15" i="31"/>
  <c r="Q15" i="31"/>
  <c r="N16" i="31"/>
  <c r="Q16" i="31"/>
  <c r="N14" i="31"/>
  <c r="Q14" i="31"/>
  <c r="N12" i="31"/>
  <c r="Q12" i="31"/>
  <c r="R12" i="31" l="1"/>
  <c r="T12" i="31" s="1"/>
  <c r="Z12" i="31" s="1"/>
  <c r="R11" i="31"/>
  <c r="T11" i="31" s="1"/>
  <c r="R18" i="31"/>
  <c r="T18" i="31" s="1"/>
  <c r="R14" i="31"/>
  <c r="T14" i="31" s="1"/>
  <c r="R16" i="31"/>
  <c r="R17" i="31"/>
  <c r="T17" i="31" s="1"/>
  <c r="R15" i="31"/>
  <c r="T15" i="31" s="1"/>
  <c r="Z15" i="31" s="1"/>
  <c r="R13" i="31"/>
  <c r="T13" i="31" s="1"/>
  <c r="Q19" i="31"/>
  <c r="R10" i="31"/>
  <c r="T16" i="31"/>
  <c r="Z16" i="31" s="1"/>
  <c r="U16" i="31"/>
  <c r="W16" i="31" s="1"/>
  <c r="U12" i="31" l="1"/>
  <c r="W12" i="31" s="1"/>
  <c r="U13" i="31"/>
  <c r="W13" i="31" s="1"/>
  <c r="U14" i="31"/>
  <c r="W14" i="31" s="1"/>
  <c r="U15" i="31"/>
  <c r="W15" i="31" s="1"/>
  <c r="U11" i="31"/>
  <c r="W11" i="31" s="1"/>
  <c r="Z17" i="31"/>
  <c r="U17" i="31"/>
  <c r="W17" i="31" s="1"/>
  <c r="Z13" i="31"/>
  <c r="Z18" i="31"/>
  <c r="Z11" i="31"/>
  <c r="Z14" i="31"/>
  <c r="U18" i="31"/>
  <c r="W18" i="31" s="1"/>
  <c r="T10" i="31"/>
  <c r="U10" i="31"/>
  <c r="W10" i="31" s="1"/>
  <c r="Z10" i="31" l="1"/>
  <c r="T19" i="31"/>
  <c r="K18" i="29" l="1"/>
  <c r="F7" i="13" l="1"/>
  <c r="C7" i="13"/>
  <c r="D7" i="13"/>
  <c r="H7" i="13"/>
  <c r="G7" i="13"/>
  <c r="L18" i="29"/>
  <c r="N18" i="29" s="1"/>
  <c r="K20" i="13" s="1"/>
  <c r="E7" i="13"/>
  <c r="M11" i="13" l="1"/>
  <c r="M13" i="13"/>
  <c r="M14" i="13"/>
  <c r="O14" i="13" s="1"/>
  <c r="F21" i="20" s="1"/>
  <c r="M10" i="13"/>
  <c r="M16" i="13"/>
  <c r="O16" i="13" s="1"/>
  <c r="F23" i="20" s="1"/>
  <c r="M9" i="13"/>
  <c r="M12" i="13"/>
  <c r="M8" i="13"/>
  <c r="M17" i="13"/>
  <c r="O17" i="13" s="1"/>
  <c r="F24" i="20" s="1"/>
  <c r="M15" i="13"/>
  <c r="O15" i="13" s="1"/>
  <c r="F22" i="20" s="1"/>
  <c r="K17" i="29"/>
  <c r="E7" i="12" s="1"/>
  <c r="M18" i="13" l="1"/>
  <c r="O12" i="13"/>
  <c r="F19" i="20" s="1"/>
  <c r="O9" i="13"/>
  <c r="O10" i="13"/>
  <c r="F17" i="20" s="1"/>
  <c r="O8" i="13"/>
  <c r="O11" i="13"/>
  <c r="F18" i="20" s="1"/>
  <c r="O13" i="13"/>
  <c r="F20" i="20" s="1"/>
  <c r="G7" i="12"/>
  <c r="D7" i="12"/>
  <c r="H7" i="12"/>
  <c r="C7" i="12"/>
  <c r="F7" i="12"/>
  <c r="L17" i="29"/>
  <c r="N17" i="29" s="1"/>
  <c r="K20" i="12" s="1"/>
  <c r="F16" i="20" l="1"/>
  <c r="F15" i="20"/>
  <c r="O18" i="13"/>
  <c r="M15" i="12"/>
  <c r="O15" i="12" s="1"/>
  <c r="M9" i="12"/>
  <c r="M10" i="12"/>
  <c r="M12" i="12"/>
  <c r="M11" i="12"/>
  <c r="O11" i="12" s="1"/>
  <c r="M13" i="12"/>
  <c r="O13" i="12" s="1"/>
  <c r="M16" i="12"/>
  <c r="M14" i="12"/>
  <c r="O14" i="12" s="1"/>
  <c r="M17" i="12"/>
  <c r="M8" i="12"/>
  <c r="K16" i="29"/>
  <c r="E8" i="27" l="1"/>
  <c r="F8" i="27" s="1"/>
  <c r="G8" i="27" s="1"/>
  <c r="H22" i="27"/>
  <c r="E22" i="27"/>
  <c r="F22" i="27" s="1"/>
  <c r="G22" i="27" s="1"/>
  <c r="I8" i="27"/>
  <c r="H8" i="27"/>
  <c r="I22" i="27"/>
  <c r="M18" i="12"/>
  <c r="O12" i="12"/>
  <c r="O17" i="12"/>
  <c r="O9" i="12"/>
  <c r="E16" i="20" s="1"/>
  <c r="O8" i="12"/>
  <c r="O10" i="12"/>
  <c r="E17" i="20" s="1"/>
  <c r="O16" i="12"/>
  <c r="F7" i="11"/>
  <c r="C7" i="11"/>
  <c r="E7" i="11"/>
  <c r="D7" i="11"/>
  <c r="H7" i="11"/>
  <c r="G7" i="11"/>
  <c r="L16" i="29"/>
  <c r="N16" i="29" s="1"/>
  <c r="AB17" i="31" l="1"/>
  <c r="AD17" i="31" s="1"/>
  <c r="AA17" i="31"/>
  <c r="AB18" i="31"/>
  <c r="AD18" i="31" s="1"/>
  <c r="AA18" i="31"/>
  <c r="AA16" i="31"/>
  <c r="AB16" i="31"/>
  <c r="AD16" i="31" s="1"/>
  <c r="AB11" i="31"/>
  <c r="AD11" i="31" s="1"/>
  <c r="AA11" i="31"/>
  <c r="Y19" i="31"/>
  <c r="Y20" i="31"/>
  <c r="AB12" i="31"/>
  <c r="AD12" i="31" s="1"/>
  <c r="AA12" i="31"/>
  <c r="AA15" i="31"/>
  <c r="AB15" i="31"/>
  <c r="AD15" i="31" s="1"/>
  <c r="AA14" i="31"/>
  <c r="AB14" i="31"/>
  <c r="AD14" i="31" s="1"/>
  <c r="E24" i="20"/>
  <c r="E19" i="20"/>
  <c r="E23" i="20"/>
  <c r="E21" i="20"/>
  <c r="E20" i="20"/>
  <c r="E22" i="20"/>
  <c r="E18" i="20"/>
  <c r="O18" i="12"/>
  <c r="E15" i="20"/>
  <c r="K20" i="11"/>
  <c r="N22" i="29"/>
  <c r="N24" i="29" s="1"/>
  <c r="N25" i="29" s="1"/>
  <c r="AG12" i="31" l="1"/>
  <c r="AJ12" i="31"/>
  <c r="AG18" i="31"/>
  <c r="AJ18" i="31"/>
  <c r="AG14" i="31"/>
  <c r="AJ14" i="31"/>
  <c r="AG17" i="31"/>
  <c r="AJ17" i="31"/>
  <c r="AG11" i="31"/>
  <c r="AJ11" i="31"/>
  <c r="AG15" i="31"/>
  <c r="AJ15" i="31"/>
  <c r="AG16" i="31"/>
  <c r="AJ16" i="31"/>
  <c r="AB10" i="31"/>
  <c r="AD10" i="31" s="1"/>
  <c r="AA10" i="31"/>
  <c r="AA13" i="31"/>
  <c r="AB13" i="31"/>
  <c r="AD13" i="31" s="1"/>
  <c r="N27" i="29"/>
  <c r="E22" i="1" s="1"/>
  <c r="E23" i="1" s="1"/>
  <c r="N29" i="29"/>
  <c r="AG22" i="1" s="1"/>
  <c r="M14" i="11"/>
  <c r="O14" i="11" s="1"/>
  <c r="D21" i="20" s="1"/>
  <c r="I21" i="20" s="1"/>
  <c r="M15" i="11"/>
  <c r="O15" i="11" s="1"/>
  <c r="D22" i="20" s="1"/>
  <c r="I22" i="20" s="1"/>
  <c r="M9" i="11"/>
  <c r="M13" i="11"/>
  <c r="O13" i="11" s="1"/>
  <c r="D20" i="20" s="1"/>
  <c r="I20" i="20" s="1"/>
  <c r="M12" i="11"/>
  <c r="M11" i="11"/>
  <c r="M10" i="11"/>
  <c r="M17" i="11"/>
  <c r="O17" i="11" s="1"/>
  <c r="D24" i="20" s="1"/>
  <c r="I24" i="20" s="1"/>
  <c r="M16" i="11"/>
  <c r="O16" i="11" s="1"/>
  <c r="D23" i="20" s="1"/>
  <c r="I23" i="20" s="1"/>
  <c r="M8" i="11"/>
  <c r="AG10" i="31" l="1"/>
  <c r="AJ10" i="31"/>
  <c r="AG13" i="31"/>
  <c r="AJ13" i="31"/>
  <c r="AA19" i="31"/>
  <c r="X18" i="1"/>
  <c r="AE18" i="1" s="1"/>
  <c r="K18" i="1"/>
  <c r="X19" i="1"/>
  <c r="AE19" i="1" s="1"/>
  <c r="K19" i="1"/>
  <c r="K16" i="1"/>
  <c r="X16" i="1"/>
  <c r="AE16" i="1" s="1"/>
  <c r="K17" i="1"/>
  <c r="X17" i="1"/>
  <c r="AE17" i="1" s="1"/>
  <c r="K15" i="1"/>
  <c r="X15" i="1"/>
  <c r="AE15" i="1" s="1"/>
  <c r="M18" i="11"/>
  <c r="O8" i="11"/>
  <c r="O12" i="11"/>
  <c r="D19" i="20" s="1"/>
  <c r="I19" i="20" s="1"/>
  <c r="O9" i="11"/>
  <c r="D16" i="20" s="1"/>
  <c r="I16" i="20" s="1"/>
  <c r="O10" i="11"/>
  <c r="D17" i="20" s="1"/>
  <c r="I17" i="20" s="1"/>
  <c r="O11" i="11"/>
  <c r="D18" i="20" s="1"/>
  <c r="I18" i="20" s="1"/>
  <c r="E25" i="1"/>
  <c r="R22" i="1" s="1"/>
  <c r="Z22" i="1"/>
  <c r="H17" i="1"/>
  <c r="H16" i="1"/>
  <c r="H12" i="1"/>
  <c r="H15" i="1"/>
  <c r="H19" i="1"/>
  <c r="H11" i="1"/>
  <c r="H13" i="1"/>
  <c r="H10" i="1"/>
  <c r="H14" i="1"/>
  <c r="H18" i="1"/>
  <c r="X11" i="1" l="1"/>
  <c r="AE11" i="1" s="1"/>
  <c r="K11" i="1"/>
  <c r="X14" i="1"/>
  <c r="AE14" i="1" s="1"/>
  <c r="K14" i="1"/>
  <c r="X13" i="1"/>
  <c r="AE13" i="1" s="1"/>
  <c r="K13" i="1"/>
  <c r="D15" i="20"/>
  <c r="I15" i="20" s="1"/>
  <c r="O18" i="11"/>
  <c r="X12" i="1"/>
  <c r="AE12" i="1" s="1"/>
  <c r="K12" i="1"/>
  <c r="I13" i="1"/>
  <c r="I15" i="1"/>
  <c r="I17" i="1"/>
  <c r="I18" i="1"/>
  <c r="I12" i="1"/>
  <c r="I10" i="1"/>
  <c r="H20" i="1"/>
  <c r="I11" i="1"/>
  <c r="I14" i="1"/>
  <c r="I19" i="1"/>
  <c r="I16" i="1"/>
  <c r="X10" i="1" l="1"/>
  <c r="AE10" i="1" s="1"/>
  <c r="K10" i="1"/>
  <c r="AK17" i="31" l="1"/>
  <c r="AM17" i="31" s="1"/>
  <c r="AN17" i="31"/>
  <c r="AF19" i="31"/>
  <c r="AF20" i="31" s="1"/>
  <c r="AK11" i="31"/>
  <c r="AM11" i="31" s="1"/>
  <c r="AN11" i="31"/>
  <c r="AN15" i="31"/>
  <c r="AK15" i="31"/>
  <c r="AM15" i="31" s="1"/>
  <c r="AN14" i="31"/>
  <c r="AK14" i="31"/>
  <c r="AM14" i="31" s="1"/>
  <c r="AK12" i="31"/>
  <c r="AM12" i="31" s="1"/>
  <c r="AN12" i="31"/>
  <c r="AK16" i="31"/>
  <c r="AM16" i="31" s="1"/>
  <c r="AN16" i="31"/>
  <c r="AK18" i="31"/>
  <c r="AM18" i="31" s="1"/>
  <c r="AN18" i="31"/>
  <c r="K20" i="1"/>
  <c r="L10" i="1" s="1"/>
  <c r="AN13" i="31" l="1"/>
  <c r="AK13" i="31"/>
  <c r="AM13" i="31" s="1"/>
  <c r="AN10" i="31"/>
  <c r="AK10" i="31"/>
  <c r="AJ19" i="31"/>
  <c r="L11" i="1"/>
  <c r="M11" i="1" s="1"/>
  <c r="L16" i="1"/>
  <c r="M16" i="1" s="1"/>
  <c r="L17" i="1"/>
  <c r="M17" i="1" s="1"/>
  <c r="L15" i="1"/>
  <c r="M15" i="1" s="1"/>
  <c r="L19" i="1"/>
  <c r="M19" i="1" s="1"/>
  <c r="L18" i="1"/>
  <c r="M18" i="1" s="1"/>
  <c r="L13" i="1"/>
  <c r="M13" i="1" s="1"/>
  <c r="L14" i="1"/>
  <c r="M14" i="1" s="1"/>
  <c r="L12" i="1"/>
  <c r="M12" i="1" s="1"/>
  <c r="M10" i="1"/>
  <c r="AK19" i="31" l="1"/>
  <c r="AM10" i="31"/>
  <c r="L20" i="1"/>
  <c r="N13" i="1"/>
  <c r="Q13" i="1"/>
  <c r="N18" i="1"/>
  <c r="Q18" i="1"/>
  <c r="N17" i="1"/>
  <c r="Q17" i="1"/>
  <c r="Q10" i="1"/>
  <c r="M20" i="1"/>
  <c r="N10" i="1"/>
  <c r="N12" i="1"/>
  <c r="Q12" i="1"/>
  <c r="N16" i="1"/>
  <c r="Q16" i="1"/>
  <c r="N15" i="1"/>
  <c r="Q15" i="1"/>
  <c r="N14" i="1"/>
  <c r="Q14" i="1"/>
  <c r="N19" i="1"/>
  <c r="Q19" i="1"/>
  <c r="N11" i="1"/>
  <c r="Q11" i="1"/>
  <c r="R19" i="1" l="1"/>
  <c r="U19" i="1" s="1"/>
  <c r="W19" i="1" s="1"/>
  <c r="R15" i="1"/>
  <c r="R12" i="1"/>
  <c r="U12" i="1" s="1"/>
  <c r="W12" i="1" s="1"/>
  <c r="R17" i="1"/>
  <c r="T17" i="1" s="1"/>
  <c r="Z17" i="1" s="1"/>
  <c r="R13" i="1"/>
  <c r="U13" i="1" s="1"/>
  <c r="W13" i="1" s="1"/>
  <c r="R18" i="1"/>
  <c r="U18" i="1" s="1"/>
  <c r="W18" i="1" s="1"/>
  <c r="R11" i="1"/>
  <c r="T11" i="1" s="1"/>
  <c r="Z11" i="1" s="1"/>
  <c r="R14" i="1"/>
  <c r="T14" i="1" s="1"/>
  <c r="Z14" i="1" s="1"/>
  <c r="R16" i="1"/>
  <c r="T16" i="1" s="1"/>
  <c r="Z16" i="1" s="1"/>
  <c r="Q20" i="1"/>
  <c r="R10" i="1"/>
  <c r="U17" i="1"/>
  <c r="W17" i="1" s="1"/>
  <c r="T18" i="1"/>
  <c r="Z18" i="1" s="1"/>
  <c r="T19" i="1"/>
  <c r="T15" i="1"/>
  <c r="U15" i="1"/>
  <c r="W15" i="1" s="1"/>
  <c r="U14" i="1" l="1"/>
  <c r="W14" i="1" s="1"/>
  <c r="U11" i="1"/>
  <c r="W11" i="1" s="1"/>
  <c r="T12" i="1"/>
  <c r="U16" i="1"/>
  <c r="W16" i="1" s="1"/>
  <c r="T13" i="1"/>
  <c r="Z15" i="1"/>
  <c r="Z19" i="1"/>
  <c r="T10" i="1"/>
  <c r="Z10" i="1" s="1"/>
  <c r="U10" i="1"/>
  <c r="W10" i="1" s="1"/>
  <c r="Z12" i="1" l="1"/>
  <c r="Z13" i="1"/>
  <c r="T20" i="1"/>
  <c r="AB12" i="1" l="1"/>
  <c r="AD12" i="1" s="1"/>
  <c r="AB17" i="1"/>
  <c r="AD17" i="1" s="1"/>
  <c r="AA14" i="1"/>
  <c r="AB16" i="1"/>
  <c r="AD16" i="1" s="1"/>
  <c r="AA19" i="1"/>
  <c r="AA13" i="1"/>
  <c r="AB18" i="1"/>
  <c r="AD18" i="1" s="1"/>
  <c r="AB15" i="1"/>
  <c r="AD15" i="1" s="1"/>
  <c r="AB11" i="1"/>
  <c r="AD11" i="1" s="1"/>
  <c r="AA11" i="1"/>
  <c r="AG14" i="1" l="1"/>
  <c r="AJ14" i="1"/>
  <c r="AG11" i="1"/>
  <c r="AJ11" i="1"/>
  <c r="AG13" i="1"/>
  <c r="AJ13" i="1"/>
  <c r="AG19" i="1"/>
  <c r="AJ19" i="1"/>
  <c r="AA12" i="1"/>
  <c r="AA17" i="1"/>
  <c r="AA18" i="1"/>
  <c r="AB14" i="1"/>
  <c r="AD14" i="1" s="1"/>
  <c r="AA15" i="1"/>
  <c r="AB13" i="1"/>
  <c r="AB19" i="1"/>
  <c r="AD19" i="1" s="1"/>
  <c r="AA16" i="1"/>
  <c r="Y21" i="1"/>
  <c r="Y20" i="1"/>
  <c r="AG16" i="1" l="1"/>
  <c r="AJ16" i="1"/>
  <c r="AG18" i="1"/>
  <c r="AJ18" i="1"/>
  <c r="AG17" i="1"/>
  <c r="AJ17" i="1"/>
  <c r="AG15" i="1"/>
  <c r="AJ15" i="1"/>
  <c r="AG12" i="1"/>
  <c r="AJ12" i="1"/>
  <c r="AD13" i="1"/>
  <c r="AA10" i="1"/>
  <c r="AB10" i="1"/>
  <c r="AD10" i="1" s="1"/>
  <c r="AG10" i="1" l="1"/>
  <c r="AJ10" i="1"/>
  <c r="AA20" i="1"/>
  <c r="AK16" i="1" l="1"/>
  <c r="AM16" i="1" s="1"/>
  <c r="AN16" i="1" l="1"/>
  <c r="AK18" i="1" l="1"/>
  <c r="AM18" i="1" s="1"/>
  <c r="AN18" i="1"/>
  <c r="AK11" i="1"/>
  <c r="AM11" i="1" s="1"/>
  <c r="AN11" i="1"/>
  <c r="AN14" i="1"/>
  <c r="AK14" i="1"/>
  <c r="AM14" i="1" s="1"/>
  <c r="AN13" i="1"/>
  <c r="AK13" i="1"/>
  <c r="AM13" i="1" s="1"/>
  <c r="AN12" i="1"/>
  <c r="AK12" i="1"/>
  <c r="AM12" i="1" s="1"/>
  <c r="AN15" i="1"/>
  <c r="AK15" i="1"/>
  <c r="AM15" i="1" s="1"/>
  <c r="AF20" i="1"/>
  <c r="AF21" i="1" s="1"/>
  <c r="AN19" i="1"/>
  <c r="AK19" i="1"/>
  <c r="AM19" i="1" s="1"/>
  <c r="AN17" i="1" l="1"/>
  <c r="AK17" i="1"/>
  <c r="AM17" i="1" s="1"/>
  <c r="AJ20" i="1"/>
  <c r="AK10" i="1"/>
  <c r="AM10" i="1" s="1"/>
  <c r="AN10" i="1"/>
  <c r="AK20" i="1" l="1"/>
</calcChain>
</file>

<file path=xl/sharedStrings.xml><?xml version="1.0" encoding="utf-8"?>
<sst xmlns="http://schemas.openxmlformats.org/spreadsheetml/2006/main" count="429" uniqueCount="188">
  <si>
    <t>dnb1</t>
  </si>
  <si>
    <t>dnb2</t>
  </si>
  <si>
    <t>dnb3</t>
  </si>
  <si>
    <t>dnb4</t>
  </si>
  <si>
    <t>dnb5</t>
  </si>
  <si>
    <t>dnb6</t>
  </si>
  <si>
    <t>dnb7</t>
  </si>
  <si>
    <t>dnb8</t>
  </si>
  <si>
    <t>dnb9</t>
  </si>
  <si>
    <t>dnb10</t>
  </si>
  <si>
    <t>Distributienetbeheerder</t>
  </si>
  <si>
    <t>Totaal:</t>
  </si>
  <si>
    <t>Gereguleerde activiteit:</t>
  </si>
  <si>
    <t>elektriciteit</t>
  </si>
  <si>
    <t>aardgas</t>
  </si>
  <si>
    <t>Impact per toegangspunt</t>
  </si>
  <si>
    <t>Puntenverdeling</t>
  </si>
  <si>
    <t>Onderbrekingsfrequentie middenspanning</t>
  </si>
  <si>
    <t>Totaal te verdelen punten:</t>
  </si>
  <si>
    <t>Onderbrekingsduur middenspanning</t>
  </si>
  <si>
    <t>Onderbrekingsfrequentie laagspanning</t>
  </si>
  <si>
    <t>Onderbrekingsduur laagspanning</t>
  </si>
  <si>
    <t>Score</t>
  </si>
  <si>
    <t>Forfaitaire vergoedingen wegens laattijdige aansluiting</t>
  </si>
  <si>
    <t>Forfaitaire vergoedingen wegens laattijdige aansluiting voor de gereguleerde activiteit elektriciteit</t>
  </si>
  <si>
    <t>Aantal aansluitingen gerealiseerd door de distributienetbeheerder in dat jaar</t>
  </si>
  <si>
    <t>EUR/gerealiseerde aansluiting</t>
  </si>
  <si>
    <t>Gemiddelde EUR/gerealiseerde aansluiting</t>
  </si>
  <si>
    <t>Equivalente waarde</t>
  </si>
  <si>
    <t>Maximum:</t>
  </si>
  <si>
    <t>Aantal te verdelen punten:</t>
  </si>
  <si>
    <t>Forfaitaire vergoedingen wegens laattijdige aansluiting voor de gereguleerde activiteit aardgas</t>
  </si>
  <si>
    <t>Forfaitaire vergoedingen wegens laattijdige heraansluiting</t>
  </si>
  <si>
    <t>Forfaitaire vergoedingen wegens laattijdige heraansluiting voor de gereguleerde activiteit elektriciteit</t>
  </si>
  <si>
    <t>Aantal heraansluitingen gerealiseerd door de distributienetbeheerder in dat jaar</t>
  </si>
  <si>
    <t>EUR/gerealiseerde heraansluiting</t>
  </si>
  <si>
    <t>Gemiddelde EUR/gerealiseerde heraansluiting</t>
  </si>
  <si>
    <t>Forfaitaire vergoedingen wegens laattijdige heraansluiting voor de gereguleerde activiteit aardgas</t>
  </si>
  <si>
    <t xml:space="preserve">In onderstaande tabellen wordt een overzicht gegeven van de score op iedere kwaliteitsindicator per distributienetbeheerder </t>
  </si>
  <si>
    <t>en per gereguleerde activiteit.</t>
  </si>
  <si>
    <t>Op die manier kan voor iedere distributienetbeheerder de totaalscore worden berekend, die vervolgens in rekening kan worden</t>
  </si>
  <si>
    <t>genomen voor de bepaling van de kwaliteitsvergoeding in tabblad 'Berekeningsmodel Q'.</t>
  </si>
  <si>
    <t>Totaalscore voor de gereguleerde activiteit elektriciteit</t>
  </si>
  <si>
    <t>A1</t>
  </si>
  <si>
    <t>A2</t>
  </si>
  <si>
    <t>A3</t>
  </si>
  <si>
    <t>A4</t>
  </si>
  <si>
    <t>D1</t>
  </si>
  <si>
    <t>D2</t>
  </si>
  <si>
    <t>Totaalscore per distributienetbeheerder</t>
  </si>
  <si>
    <t>Totaalscore voor de gereguleerde activiteit aardgas</t>
  </si>
  <si>
    <t>Te verdelen kwaliteitsbedrag Q:</t>
  </si>
  <si>
    <t>Bijdrage aan kwaliteitsbedrag Q</t>
  </si>
  <si>
    <t>- bijdrage Q + verdeling Q</t>
  </si>
  <si>
    <t>Beperking impact cap/floor</t>
  </si>
  <si>
    <t>Marge tot cap</t>
  </si>
  <si>
    <t>q-factor</t>
  </si>
  <si>
    <t>potentieel+/tp</t>
  </si>
  <si>
    <t>potentieel-/tp</t>
  </si>
  <si>
    <t>Code</t>
  </si>
  <si>
    <t>Kwaliteitsindicator</t>
  </si>
  <si>
    <t>Voor activiteit</t>
  </si>
  <si>
    <t>Onderbrekingsfrequentie middenspanningsnet in jaar j</t>
  </si>
  <si>
    <t>Elekt.</t>
  </si>
  <si>
    <t>n.v.t.</t>
  </si>
  <si>
    <t>Onderbrekingsduur middenspanningsnet in jaar j</t>
  </si>
  <si>
    <t>Onderbrekingsfrequentie laagspanningsnet in jaar j</t>
  </si>
  <si>
    <t>Onderbrekingsduur laagspanningsnet in jaar j</t>
  </si>
  <si>
    <t>Aardgas</t>
  </si>
  <si>
    <t>Punten op kwaliteitsindicator</t>
  </si>
  <si>
    <t>Totaal punten</t>
  </si>
  <si>
    <t xml:space="preserve">Waarden uit jaarlijkse rapportering m.b.t. kwaliteit dienstverlening door iedere </t>
  </si>
  <si>
    <t xml:space="preserve">Waarden af te leiden uit jaarlijkse rapportering m.b.t. kwaliteit dienstverlening door iedere </t>
  </si>
  <si>
    <t>Som van de forfaitaire vergoedingen betaald door de distributienetbeheerder in jaar j wegens laattijdige nieuwe aansluiting, overeenkomstig Energiedecreet, relatief t.o.v. het aantal gerealiseerde aansluitingen</t>
  </si>
  <si>
    <t>Som van de forfaitaire vergoedingen betaald door de distributienetbeheerder in jaar j wegens laattijdige heraansluiting, overeenkomstig Energiedecreet, relatief t.o.v. het aantal gerealiseerde heraansluitingen</t>
  </si>
  <si>
    <t>:</t>
  </si>
  <si>
    <t>Aantal actieve toegangspunten elektriciteit op 1 juli van het jaar</t>
  </si>
  <si>
    <t>Aantal actieve toegangspunten aardgas 1 juli van het jaar</t>
  </si>
  <si>
    <t>Berekeningsmodel verdeling kwaliteitsbedrag elektriciteit</t>
  </si>
  <si>
    <t>Berekeningsmodel verdeling kwaliteitsbedrag aardgas</t>
  </si>
  <si>
    <t>jaar 2</t>
  </si>
  <si>
    <t>jaar 1</t>
  </si>
  <si>
    <t>jaar 3</t>
  </si>
  <si>
    <t>jaar 4</t>
  </si>
  <si>
    <t>jaar 5</t>
  </si>
  <si>
    <t>Waardering kwaliteitsindicatoren distributienetbeheerders Vlaanderen</t>
  </si>
  <si>
    <t>Gemiddelde</t>
  </si>
  <si>
    <t>Invulinstructies VREG</t>
  </si>
  <si>
    <t xml:space="preserve">1. Tabblad 'Q%': </t>
  </si>
  <si>
    <t>a. Tabbladen 'A1', 'A2' ,'A3' en 'A4' volgens rapportering distributienetbeheerders;</t>
  </si>
  <si>
    <t>a. Data m.b.t. 'aantal actieve toegangspunten' in te vullen door de VREG volgens rapportering door distributienetbeheerders;</t>
  </si>
  <si>
    <t>Waarden in blauwe cellen in te vullen door de VREG.</t>
  </si>
  <si>
    <t>Jaren van de volgende reguleringsperiode:</t>
  </si>
  <si>
    <t>Elektriciteit:</t>
  </si>
  <si>
    <t>Aardgas:</t>
  </si>
  <si>
    <t>distributienetbeheerder afzonderlijk (in te vullen door de VREG).</t>
  </si>
  <si>
    <t>door distributienetbeheerder afzonderlijk (in te vullen door de VREG).</t>
  </si>
  <si>
    <t>=&gt; Bedragen EUR gecorrigeerd voor indexatie</t>
  </si>
  <si>
    <t>Gegevens betreffende aantal actieve toegangspunten en oorspronkelijk toegelaten inkomen niet-exogene kosten in volgende reguleringsperiode</t>
  </si>
  <si>
    <t>hh:mm:ss</t>
  </si>
  <si>
    <t>Het jaar waarin de q-factor wordt bepaald:</t>
  </si>
  <si>
    <t>jaar 6</t>
  </si>
  <si>
    <t>jaar 7</t>
  </si>
  <si>
    <t>Minimum aantal jaren beoordeling van de indicator</t>
  </si>
  <si>
    <t>Te verdelen punten onder de distributienetbeheerders voor prestaties mbt deze indicator in de beoordelingsperiode</t>
  </si>
  <si>
    <t>beoordelingsperiode</t>
  </si>
  <si>
    <t>van</t>
  </si>
  <si>
    <t>tot en met</t>
  </si>
  <si>
    <t>aantal punten per beoordelingsjaar voor elektriciteit:</t>
  </si>
  <si>
    <t>aantal punten per beoordelingsjaar voor aardgas:</t>
  </si>
  <si>
    <t>pro rata cap/floor impact op TI:</t>
  </si>
  <si>
    <t>Elektriciteit: +/-</t>
  </si>
  <si>
    <t>Aardgas:+/-</t>
  </si>
  <si>
    <t>cap/floor in reguleringsperiode</t>
  </si>
  <si>
    <t xml:space="preserve"> %TI in balans voor kwaliteitsprikkel:</t>
  </si>
  <si>
    <t>Ontvangst uit verdeling bedrag Q</t>
  </si>
  <si>
    <t>Normalisatie</t>
  </si>
  <si>
    <t>gemiddelde:</t>
  </si>
  <si>
    <t>Formule inverse exponent</t>
  </si>
  <si>
    <t xml:space="preserve"> 1 basis</t>
  </si>
  <si>
    <t>2 prestatie beter dan gemiddelde</t>
  </si>
  <si>
    <t>3 herverdeling</t>
  </si>
  <si>
    <t>Aantal EUR forfaitaire vergoedingen laattijdige aansluiting betaald in dat jaar (gecorrigeerd voor indexatie)</t>
  </si>
  <si>
    <t>Aantal EUR forfaitaire vergoedingen laattijdige heraansluiting betaald in dat jaar (gecorrigeerd voor indexatie)</t>
  </si>
  <si>
    <t>Bijdrage aan het te herverdelen kwaliteitsbedrag Q</t>
  </si>
  <si>
    <t>uitgedrukt per toegangspunt</t>
  </si>
  <si>
    <t>gewogen gemiddelde prestatie volgens aantal toegangspunten na reductie</t>
  </si>
  <si>
    <t>aandeel in %</t>
  </si>
  <si>
    <t>Impact Q/TI</t>
  </si>
  <si>
    <t>cap/floor/jaar in reguleringsperiode:</t>
  </si>
  <si>
    <t>bedrag mogelijk te ontvangen (positieve waarde)</t>
  </si>
  <si>
    <t>Voorlopige impact na toepassing cap</t>
  </si>
  <si>
    <t>bedrag boven cap af te staan (positieve waarde)</t>
  </si>
  <si>
    <t>bedrag onder floor te ontvangen (positieve waarde)</t>
  </si>
  <si>
    <t>bedrag mogelijk af te staan (positieve waarde)</t>
  </si>
  <si>
    <t>bedrag af te staan (negatieve waarde)</t>
  </si>
  <si>
    <t>floor elek:</t>
  </si>
  <si>
    <t>cap elek:</t>
  </si>
  <si>
    <t>Invloed kwaliteitsbedrag</t>
  </si>
  <si>
    <t>Netto invloed kwaliteitsbedrag</t>
  </si>
  <si>
    <t>floor gas:</t>
  </si>
  <si>
    <t>cap gas:</t>
  </si>
  <si>
    <t>Recuperatie uit kwaliteitsbedrag Q</t>
  </si>
  <si>
    <t>score</t>
  </si>
  <si>
    <t>Totaal aantal punten voor kwaliteitsprestatie (hoog&gt;laag)</t>
  </si>
  <si>
    <t>a. Jaar waarin q-factor wordt bepaald (voorafgaand aan nieuwe reguleringsperiode)</t>
  </si>
  <si>
    <t>b. Aantal jaren van de volgende reguleringsperiode</t>
  </si>
  <si>
    <t>a. Aantal jaren beoordeeld per kwaliteitsonderdeel.</t>
  </si>
  <si>
    <t>b. Tabbladen 'D1' en 'D2' volgens rapportering distributienetbeheerders;</t>
  </si>
  <si>
    <t>Te verdelen punten onder de distributienetbeheerders per activiteit en per beoordeeld jaar</t>
  </si>
  <si>
    <t xml:space="preserve"> % van basisgedeelte endogeen budget in de balans per volledig beoordelingsjaar (Q-bedrag):</t>
  </si>
  <si>
    <t xml:space="preserve"> % basisgedeelte endogeen inkomen (Q%) in reguleringsperiode:</t>
  </si>
  <si>
    <t>totaal punten</t>
  </si>
  <si>
    <t>verdeling</t>
  </si>
  <si>
    <t>totaal punten per jaar</t>
  </si>
  <si>
    <t>punten per jaar</t>
  </si>
  <si>
    <t>ELEK</t>
  </si>
  <si>
    <t>AARDGAS</t>
  </si>
  <si>
    <t>max punten per jaar</t>
  </si>
  <si>
    <t xml:space="preserve">in vergelijking met de volgende reguleringsperiode </t>
  </si>
  <si>
    <t>equivalent aantal jaren</t>
  </si>
  <si>
    <t>Naam</t>
  </si>
  <si>
    <t>Fluvius Antwerpen</t>
  </si>
  <si>
    <t>Fluvius Limburg</t>
  </si>
  <si>
    <t>Fluvius West</t>
  </si>
  <si>
    <t>Iverlek</t>
  </si>
  <si>
    <t>Intergem</t>
  </si>
  <si>
    <t>Imewo</t>
  </si>
  <si>
    <t>Gaselwest</t>
  </si>
  <si>
    <t>Iveka</t>
  </si>
  <si>
    <t>PBE</t>
  </si>
  <si>
    <t>Sibelgas</t>
  </si>
  <si>
    <t>hoog</t>
  </si>
  <si>
    <t>laag</t>
  </si>
  <si>
    <t>manueel overzetten</t>
  </si>
  <si>
    <t>bedrag ontvangen (positieve waarde)</t>
  </si>
  <si>
    <r>
      <t xml:space="preserve">De overdracht vindt plaats in volgorde van de geleverde kwaliteitsprestaties, waarbij de overige distributienetbeheerder </t>
    </r>
    <r>
      <rPr>
        <b/>
        <sz val="11"/>
        <color theme="1"/>
        <rFont val="Calibri"/>
        <family val="2"/>
        <scheme val="minor"/>
      </rPr>
      <t>die het best presteerde als eerste de over te dragen inkomsten mag ontvangen</t>
    </r>
    <r>
      <rPr>
        <sz val="11"/>
        <color theme="1"/>
        <rFont val="Calibri"/>
        <family val="2"/>
        <scheme val="minor"/>
      </rPr>
      <t>. De overdracht naar zo’n ontvangende distributienetbeheerder stopt altijd zodra zijn toegelaten inkomen ook de maximumgrens (cap) heeft bereikt. Indien twee of meer overige en ontvangende distributienetbeheerders eenzelfde kwaliteitsscore hebben behaald, dan wordt het over te dragen inkomen aanvankelijk tegelijk aan beiden en pro rata hun aantal actieve toegangspunten toegewezen.</t>
    </r>
  </si>
  <si>
    <r>
      <t xml:space="preserve">Deze overdracht vindt plaats in volgorde van de geleverde kwaliteitsprestaties, waarbij de overige distributienetbeheerder </t>
    </r>
    <r>
      <rPr>
        <b/>
        <sz val="11"/>
        <color theme="1"/>
        <rFont val="Calibri"/>
        <family val="2"/>
        <scheme val="minor"/>
      </rPr>
      <t>die het slechtst presteerde als eerste inkomsten zal afstaan</t>
    </r>
    <r>
      <rPr>
        <sz val="11"/>
        <color theme="1"/>
        <rFont val="Calibri"/>
        <family val="2"/>
        <scheme val="minor"/>
      </rPr>
      <t>. De overdracht vanuit zo’n inkomsten overdragende overige distributienetbeheerder stopt altijd zodra zijn eigen toegelaten inkomen ook de minimumgrens (negatieve cap) heeft bereikt. Indien twee of meer overige en overdragende distributienetbeheerders eenzelfde kwaliteitsscore hebben behaald, dan wordt het over te dragen inkomen aanvankelijk tegelijk uit beiden en pro rata hun aantal actieve toegangspunten afgestaan.</t>
    </r>
  </si>
  <si>
    <t>Bijdrage aan het te herverdelen kwaliteitsbedrag Q (negatief bedrag)</t>
  </si>
  <si>
    <t>Ontvangst uit verdeling bedrag Q (positief bedrag)</t>
  </si>
  <si>
    <t>b. Data m.b.t. 'toegelaten inkomen endogene kosten' in te vullen door de VREG volgens definitieve berekening VREG.</t>
  </si>
  <si>
    <t>2. Tabblad 'Data'</t>
  </si>
  <si>
    <t>3. Vervolgens invullen kwaliteitsdata per kwaliteitsindicator door de VREG:</t>
  </si>
  <si>
    <t xml:space="preserve">4. Tabblad 'Sorteren': </t>
  </si>
  <si>
    <t>Manueel overzetten van de eindscore per distributienetbeheerder en rangschikken van hoog naar laag</t>
  </si>
  <si>
    <t>6.  Tabblad 'Berekeningsmodel Q G'</t>
  </si>
  <si>
    <t>5. Tabblad 'Berekeningsmodel Q E'</t>
  </si>
  <si>
    <t>Manueel invullen van bedragen cap/floor (blauwe cellen).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</si>
</sst>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 &quot;€&quot;;[Red]\-#,##0.00\ &quot;€&quot;"/>
    <numFmt numFmtId="165" formatCode="_-* #,##0.00\ &quot;€&quot;_-;\-* #,##0.00\ &quot;€&quot;_-;_-* &quot;-&quot;??\ &quot;€&quot;_-;_-@_-"/>
    <numFmt numFmtId="166" formatCode="_-* #,##0.00\ _€_-;\-* #,##0.00\ _€_-;_-* &quot;-&quot;??\ _€_-;_-@_-"/>
    <numFmt numFmtId="167" formatCode="0.00000"/>
    <numFmt numFmtId="168" formatCode="0.0"/>
    <numFmt numFmtId="169" formatCode="_-* #,##0\ _€_-;\-* #,##0\ _€_-;_-* &quot;-&quot;??\ _€_-;_-@_-"/>
    <numFmt numFmtId="170" formatCode="0.0%"/>
    <numFmt numFmtId="171" formatCode="[$-F400]h:mm:ss\ AM/PM"/>
    <numFmt numFmtId="172" formatCode="#,##0.0000"/>
    <numFmt numFmtId="173" formatCode="0.0000"/>
    <numFmt numFmtId="174" formatCode="_-* #,##0.000000\ _€_-;\-* #,##0.000000\ _€_-;_-* &quot;-&quot;??\ _€_-;_-@_-"/>
    <numFmt numFmtId="175" formatCode="#,##0.00000"/>
    <numFmt numFmtId="176" formatCode="0.0000%"/>
    <numFmt numFmtId="177" formatCode="[$-813]d\ mmmm\ yyyy;@"/>
    <numFmt numFmtId="178" formatCode="#,##0_ ;\-#,##0\ "/>
    <numFmt numFmtId="179" formatCode="0.00000%"/>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i/>
      <sz val="10"/>
      <color theme="1"/>
      <name val="Calibri"/>
      <family val="2"/>
      <scheme val="minor"/>
    </font>
    <font>
      <sz val="9"/>
      <color theme="1"/>
      <name val="Calibri"/>
      <family val="2"/>
      <scheme val="minor"/>
    </font>
    <font>
      <sz val="10"/>
      <color theme="1"/>
      <name val="Tahoma"/>
      <family val="2"/>
    </font>
    <font>
      <b/>
      <i/>
      <sz val="10"/>
      <color theme="1"/>
      <name val="Calibri"/>
      <family val="2"/>
      <scheme val="minor"/>
    </font>
    <font>
      <sz val="9"/>
      <color theme="3" tint="-0.499984740745262"/>
      <name val="Calibri"/>
      <family val="2"/>
      <scheme val="minor"/>
    </font>
    <font>
      <b/>
      <sz val="10"/>
      <color rgb="FF000000"/>
      <name val="Calibri"/>
      <family val="2"/>
      <scheme val="minor"/>
    </font>
    <font>
      <u/>
      <sz val="10"/>
      <color theme="1"/>
      <name val="Calibri"/>
      <family val="2"/>
      <scheme val="minor"/>
    </font>
    <font>
      <b/>
      <sz val="10"/>
      <color theme="1"/>
      <name val="Tahoma"/>
      <family val="2"/>
    </font>
    <font>
      <i/>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60">
    <xf numFmtId="0" fontId="0" fillId="0" borderId="0" xfId="0"/>
    <xf numFmtId="0" fontId="3" fillId="2" borderId="1" xfId="0" applyFont="1" applyFill="1" applyBorder="1" applyAlignment="1">
      <alignment horizontal="center" vertical="center" wrapText="1"/>
    </xf>
    <xf numFmtId="165" fontId="4" fillId="2" borderId="2" xfId="4" applyFont="1" applyFill="1" applyBorder="1" applyAlignment="1">
      <alignment horizontal="right"/>
    </xf>
    <xf numFmtId="165" fontId="4" fillId="2" borderId="3" xfId="4" applyFont="1" applyFill="1" applyBorder="1" applyAlignment="1">
      <alignment horizontal="right"/>
    </xf>
    <xf numFmtId="0" fontId="4" fillId="2" borderId="0" xfId="0" applyFont="1" applyFill="1"/>
    <xf numFmtId="165" fontId="4" fillId="2" borderId="2" xfId="4" applyFont="1" applyFill="1" applyBorder="1"/>
    <xf numFmtId="165" fontId="4" fillId="2" borderId="3" xfId="4" applyFont="1" applyFill="1" applyBorder="1"/>
    <xf numFmtId="165" fontId="4" fillId="2" borderId="0" xfId="0" applyNumberFormat="1" applyFont="1" applyFill="1"/>
    <xf numFmtId="0" fontId="4" fillId="2" borderId="0" xfId="0" applyFont="1" applyFill="1" applyAlignment="1">
      <alignment horizontal="right"/>
    </xf>
    <xf numFmtId="165" fontId="4" fillId="2" borderId="0" xfId="4" applyFont="1" applyFill="1"/>
    <xf numFmtId="0" fontId="4" fillId="2" borderId="0" xfId="0" applyFont="1" applyFill="1" applyAlignment="1">
      <alignment horizontal="center"/>
    </xf>
    <xf numFmtId="165" fontId="4" fillId="2" borderId="0" xfId="0" applyNumberFormat="1" applyFont="1" applyFill="1" applyAlignment="1">
      <alignment horizontal="right"/>
    </xf>
    <xf numFmtId="170" fontId="4" fillId="2" borderId="0" xfId="3" applyNumberFormat="1" applyFont="1" applyFill="1" applyBorder="1" applyAlignment="1">
      <alignment horizontal="center"/>
    </xf>
    <xf numFmtId="0" fontId="4" fillId="2" borderId="1" xfId="0" applyFont="1" applyFill="1" applyBorder="1" applyAlignment="1">
      <alignment horizontal="left" vertical="center" wrapText="1"/>
    </xf>
    <xf numFmtId="0" fontId="4" fillId="2" borderId="0" xfId="0" applyFont="1" applyFill="1" applyAlignment="1">
      <alignment wrapText="1"/>
    </xf>
    <xf numFmtId="0" fontId="6" fillId="2" borderId="0" xfId="0" applyFont="1" applyFill="1"/>
    <xf numFmtId="10" fontId="3" fillId="2" borderId="5" xfId="0" applyNumberFormat="1" applyFont="1" applyFill="1" applyBorder="1" applyAlignment="1">
      <alignment vertical="center" wrapText="1"/>
    </xf>
    <xf numFmtId="10" fontId="3" fillId="2" borderId="0" xfId="0" applyNumberFormat="1" applyFont="1" applyFill="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165" fontId="4" fillId="2" borderId="4" xfId="4" applyFont="1" applyFill="1" applyBorder="1" applyAlignment="1">
      <alignment horizontal="right"/>
    </xf>
    <xf numFmtId="166" fontId="4" fillId="2" borderId="4" xfId="2" applyFont="1" applyFill="1" applyBorder="1" applyAlignment="1">
      <alignment horizontal="right"/>
    </xf>
    <xf numFmtId="165" fontId="4" fillId="2" borderId="4" xfId="4" applyFont="1" applyFill="1" applyBorder="1" applyAlignment="1">
      <alignment horizontal="center"/>
    </xf>
    <xf numFmtId="165" fontId="4" fillId="2" borderId="4" xfId="4" applyFont="1" applyFill="1" applyBorder="1"/>
    <xf numFmtId="165" fontId="4" fillId="2" borderId="4" xfId="0" applyNumberFormat="1" applyFont="1" applyFill="1" applyBorder="1"/>
    <xf numFmtId="169" fontId="4" fillId="2" borderId="4" xfId="2" applyNumberFormat="1" applyFont="1" applyFill="1" applyBorder="1"/>
    <xf numFmtId="166" fontId="4" fillId="2" borderId="4" xfId="2" applyFont="1" applyFill="1" applyBorder="1"/>
    <xf numFmtId="165" fontId="4" fillId="2" borderId="2" xfId="0" applyNumberFormat="1" applyFont="1" applyFill="1" applyBorder="1"/>
    <xf numFmtId="166" fontId="4" fillId="2" borderId="2" xfId="2" applyFont="1" applyFill="1" applyBorder="1" applyAlignment="1">
      <alignment horizontal="right"/>
    </xf>
    <xf numFmtId="165" fontId="4" fillId="2" borderId="2" xfId="4" applyFont="1" applyFill="1" applyBorder="1" applyAlignment="1">
      <alignment horizontal="center"/>
    </xf>
    <xf numFmtId="10" fontId="4" fillId="2" borderId="2" xfId="3" applyNumberFormat="1" applyFont="1" applyFill="1" applyBorder="1" applyAlignment="1">
      <alignment horizontal="center"/>
    </xf>
    <xf numFmtId="169" fontId="4" fillId="2" borderId="2" xfId="2" applyNumberFormat="1" applyFont="1" applyFill="1" applyBorder="1"/>
    <xf numFmtId="166" fontId="4" fillId="2" borderId="2" xfId="2" applyFont="1" applyFill="1" applyBorder="1"/>
    <xf numFmtId="166" fontId="4" fillId="2" borderId="3" xfId="2" applyFont="1" applyFill="1" applyBorder="1" applyAlignment="1">
      <alignment horizontal="right"/>
    </xf>
    <xf numFmtId="165" fontId="4" fillId="2" borderId="3" xfId="4" applyFont="1" applyFill="1" applyBorder="1" applyAlignment="1">
      <alignment horizontal="center"/>
    </xf>
    <xf numFmtId="165" fontId="4" fillId="2" borderId="3" xfId="0" applyNumberFormat="1" applyFont="1" applyFill="1" applyBorder="1"/>
    <xf numFmtId="169" fontId="4" fillId="2" borderId="3" xfId="2" applyNumberFormat="1" applyFont="1" applyFill="1" applyBorder="1"/>
    <xf numFmtId="166" fontId="4" fillId="2" borderId="3" xfId="2" applyFont="1" applyFill="1" applyBorder="1"/>
    <xf numFmtId="0" fontId="3" fillId="2" borderId="0" xfId="0" applyFont="1" applyFill="1"/>
    <xf numFmtId="0" fontId="3" fillId="2" borderId="0" xfId="0" applyFont="1" applyFill="1" applyAlignment="1">
      <alignment horizontal="right"/>
    </xf>
    <xf numFmtId="169" fontId="3" fillId="2" borderId="0" xfId="0" applyNumberFormat="1" applyFont="1" applyFill="1" applyAlignment="1">
      <alignment horizontal="right"/>
    </xf>
    <xf numFmtId="165" fontId="3" fillId="2" borderId="0" xfId="0" applyNumberFormat="1" applyFont="1" applyFill="1" applyAlignment="1">
      <alignment horizontal="right"/>
    </xf>
    <xf numFmtId="166" fontId="4" fillId="2" borderId="0" xfId="0" applyNumberFormat="1" applyFont="1" applyFill="1"/>
    <xf numFmtId="0" fontId="4" fillId="2" borderId="0" xfId="0" applyFont="1" applyFill="1" applyAlignment="1">
      <alignment horizontal="right" vertical="center"/>
    </xf>
    <xf numFmtId="9" fontId="4" fillId="2" borderId="0" xfId="3" applyFont="1" applyFill="1"/>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9" fontId="4" fillId="2" borderId="0" xfId="0" applyNumberFormat="1" applyFont="1" applyFill="1" applyAlignment="1">
      <alignment horizontal="center" vertical="center" wrapText="1"/>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2" fontId="4" fillId="2" borderId="0" xfId="0" applyNumberFormat="1" applyFont="1" applyFill="1" applyAlignment="1">
      <alignment horizontal="center" vertical="center"/>
    </xf>
    <xf numFmtId="0" fontId="4" fillId="2" borderId="0" xfId="0" applyFont="1" applyFill="1" applyAlignment="1">
      <alignment horizontal="right" wrapText="1"/>
    </xf>
    <xf numFmtId="0" fontId="3" fillId="2" borderId="6" xfId="0" applyFont="1" applyFill="1" applyBorder="1"/>
    <xf numFmtId="0" fontId="4" fillId="2" borderId="7" xfId="0" applyFont="1" applyFill="1" applyBorder="1"/>
    <xf numFmtId="0" fontId="4" fillId="2" borderId="8" xfId="0" applyFont="1" applyFill="1" applyBorder="1"/>
    <xf numFmtId="0" fontId="4" fillId="4" borderId="0" xfId="0" applyFont="1" applyFill="1"/>
    <xf numFmtId="0" fontId="3" fillId="4" borderId="0" xfId="0" applyFont="1" applyFill="1"/>
    <xf numFmtId="0" fontId="8" fillId="2" borderId="0" xfId="0" applyFont="1" applyFill="1"/>
    <xf numFmtId="0" fontId="3" fillId="2" borderId="9" xfId="0" applyFont="1" applyFill="1" applyBorder="1" applyAlignment="1">
      <alignment horizontal="right"/>
    </xf>
    <xf numFmtId="4" fontId="4" fillId="2" borderId="1" xfId="0" applyNumberFormat="1" applyFont="1" applyFill="1" applyBorder="1" applyAlignment="1">
      <alignment horizontal="right"/>
    </xf>
    <xf numFmtId="4" fontId="3" fillId="2" borderId="12" xfId="0" applyNumberFormat="1" applyFont="1" applyFill="1" applyBorder="1" applyAlignment="1">
      <alignment horizontal="right"/>
    </xf>
    <xf numFmtId="4" fontId="4" fillId="2" borderId="14" xfId="0" applyNumberFormat="1" applyFont="1" applyFill="1" applyBorder="1" applyAlignment="1">
      <alignment horizontal="right"/>
    </xf>
    <xf numFmtId="4" fontId="3" fillId="2" borderId="16" xfId="0" applyNumberFormat="1" applyFont="1" applyFill="1" applyBorder="1" applyAlignment="1">
      <alignment horizontal="right"/>
    </xf>
    <xf numFmtId="0" fontId="4" fillId="5" borderId="1" xfId="0" applyFont="1" applyFill="1" applyBorder="1"/>
    <xf numFmtId="0" fontId="4" fillId="2" borderId="17" xfId="0" applyFont="1" applyFill="1" applyBorder="1" applyAlignment="1">
      <alignment horizontal="right"/>
    </xf>
    <xf numFmtId="0" fontId="4" fillId="2" borderId="10" xfId="0" applyFont="1" applyFill="1" applyBorder="1" applyAlignment="1">
      <alignment horizontal="left"/>
    </xf>
    <xf numFmtId="4" fontId="4" fillId="5" borderId="1" xfId="0" applyNumberFormat="1" applyFont="1" applyFill="1" applyBorder="1" applyAlignment="1">
      <alignment horizontal="right"/>
    </xf>
    <xf numFmtId="4" fontId="4" fillId="2" borderId="12" xfId="0" applyNumberFormat="1" applyFont="1" applyFill="1" applyBorder="1" applyAlignment="1">
      <alignment horizontal="right" vertical="center" wrapText="1"/>
    </xf>
    <xf numFmtId="168" fontId="4" fillId="2" borderId="0" xfId="0" applyNumberFormat="1" applyFont="1" applyFill="1" applyAlignment="1">
      <alignment horizontal="center" vertical="center" wrapText="1"/>
    </xf>
    <xf numFmtId="2" fontId="4" fillId="2" borderId="0" xfId="0" applyNumberFormat="1" applyFont="1" applyFill="1"/>
    <xf numFmtId="168" fontId="4" fillId="2" borderId="0" xfId="0" applyNumberFormat="1" applyFont="1" applyFill="1"/>
    <xf numFmtId="0" fontId="4" fillId="2" borderId="13" xfId="0" applyFont="1" applyFill="1" applyBorder="1" applyAlignment="1">
      <alignment horizontal="left"/>
    </xf>
    <xf numFmtId="4" fontId="4" fillId="5" borderId="14" xfId="0" applyNumberFormat="1" applyFont="1" applyFill="1" applyBorder="1" applyAlignment="1">
      <alignment horizontal="right"/>
    </xf>
    <xf numFmtId="4" fontId="3" fillId="2" borderId="18" xfId="2" applyNumberFormat="1" applyFont="1" applyFill="1" applyBorder="1" applyAlignment="1">
      <alignment horizontal="right"/>
    </xf>
    <xf numFmtId="166" fontId="4" fillId="2" borderId="0" xfId="2" applyFont="1" applyFill="1" applyAlignment="1">
      <alignment horizontal="center"/>
    </xf>
    <xf numFmtId="2" fontId="3" fillId="2" borderId="0" xfId="0" applyNumberFormat="1" applyFont="1" applyFill="1"/>
    <xf numFmtId="9" fontId="4" fillId="2" borderId="0" xfId="0" applyNumberFormat="1" applyFont="1" applyFill="1"/>
    <xf numFmtId="171" fontId="6" fillId="2" borderId="0" xfId="0" applyNumberFormat="1" applyFont="1" applyFill="1"/>
    <xf numFmtId="4" fontId="4" fillId="2" borderId="0" xfId="0" applyNumberFormat="1" applyFont="1" applyFill="1"/>
    <xf numFmtId="173" fontId="4" fillId="2" borderId="1" xfId="0" applyNumberFormat="1" applyFont="1" applyFill="1" applyBorder="1" applyAlignment="1">
      <alignment horizontal="right"/>
    </xf>
    <xf numFmtId="173" fontId="4" fillId="2" borderId="14" xfId="0" applyNumberFormat="1" applyFont="1" applyFill="1" applyBorder="1" applyAlignment="1">
      <alignment horizontal="right"/>
    </xf>
    <xf numFmtId="172" fontId="4" fillId="2" borderId="11" xfId="0" applyNumberFormat="1" applyFont="1" applyFill="1" applyBorder="1" applyAlignment="1">
      <alignment horizontal="right"/>
    </xf>
    <xf numFmtId="172" fontId="4" fillId="2" borderId="15" xfId="0" applyNumberFormat="1" applyFont="1" applyFill="1" applyBorder="1" applyAlignment="1">
      <alignment horizontal="right"/>
    </xf>
    <xf numFmtId="46" fontId="5" fillId="5" borderId="1" xfId="0" applyNumberFormat="1" applyFont="1" applyFill="1" applyBorder="1" applyAlignment="1">
      <alignment horizontal="right"/>
    </xf>
    <xf numFmtId="46" fontId="5" fillId="2" borderId="1" xfId="0" applyNumberFormat="1" applyFont="1" applyFill="1" applyBorder="1" applyAlignment="1">
      <alignment horizontal="right"/>
    </xf>
    <xf numFmtId="46" fontId="5" fillId="5" borderId="14" xfId="0" applyNumberFormat="1" applyFont="1" applyFill="1" applyBorder="1" applyAlignment="1">
      <alignment horizontal="right"/>
    </xf>
    <xf numFmtId="46" fontId="5" fillId="2" borderId="14" xfId="0" applyNumberFormat="1" applyFont="1" applyFill="1" applyBorder="1" applyAlignment="1">
      <alignment horizontal="right"/>
    </xf>
    <xf numFmtId="4" fontId="4" fillId="2" borderId="0" xfId="0" applyNumberFormat="1" applyFont="1" applyFill="1" applyAlignment="1">
      <alignment horizontal="right"/>
    </xf>
    <xf numFmtId="0" fontId="4" fillId="2" borderId="8" xfId="0" applyFont="1" applyFill="1" applyBorder="1" applyAlignment="1">
      <alignment wrapText="1"/>
    </xf>
    <xf numFmtId="0" fontId="4" fillId="5" borderId="1" xfId="0" applyFont="1" applyFill="1" applyBorder="1" applyAlignment="1">
      <alignment wrapText="1"/>
    </xf>
    <xf numFmtId="0" fontId="4" fillId="4" borderId="0" xfId="0" applyFont="1" applyFill="1" applyAlignment="1">
      <alignment wrapText="1"/>
    </xf>
    <xf numFmtId="165" fontId="4" fillId="5" borderId="10" xfId="4" applyFont="1" applyFill="1" applyBorder="1" applyAlignment="1">
      <alignment wrapText="1"/>
    </xf>
    <xf numFmtId="3" fontId="4" fillId="5" borderId="1" xfId="0" applyNumberFormat="1" applyFont="1" applyFill="1" applyBorder="1" applyAlignment="1">
      <alignment wrapText="1"/>
    </xf>
    <xf numFmtId="165" fontId="4" fillId="2" borderId="11" xfId="4" applyFont="1" applyFill="1" applyBorder="1" applyAlignment="1">
      <alignment wrapText="1"/>
    </xf>
    <xf numFmtId="165" fontId="4" fillId="5" borderId="28" xfId="4" applyFont="1" applyFill="1" applyBorder="1" applyAlignment="1">
      <alignment wrapText="1"/>
    </xf>
    <xf numFmtId="165" fontId="4" fillId="5" borderId="1" xfId="4" applyFont="1" applyFill="1" applyBorder="1" applyAlignment="1">
      <alignment wrapText="1"/>
    </xf>
    <xf numFmtId="175" fontId="4" fillId="2" borderId="12" xfId="0" applyNumberFormat="1" applyFont="1" applyFill="1" applyBorder="1" applyAlignment="1">
      <alignment horizontal="right" wrapText="1"/>
    </xf>
    <xf numFmtId="4" fontId="4" fillId="2" borderId="12" xfId="0" applyNumberFormat="1" applyFont="1" applyFill="1" applyBorder="1" applyAlignment="1">
      <alignment horizontal="right" wrapText="1"/>
    </xf>
    <xf numFmtId="165" fontId="4" fillId="2" borderId="12" xfId="4" applyFont="1" applyFill="1" applyBorder="1" applyAlignment="1">
      <alignment wrapText="1"/>
    </xf>
    <xf numFmtId="165" fontId="4" fillId="5" borderId="13" xfId="4" applyFont="1" applyFill="1" applyBorder="1" applyAlignment="1">
      <alignment wrapText="1"/>
    </xf>
    <xf numFmtId="3" fontId="4" fillId="5" borderId="14" xfId="0" applyNumberFormat="1" applyFont="1" applyFill="1" applyBorder="1" applyAlignment="1">
      <alignment wrapText="1"/>
    </xf>
    <xf numFmtId="165" fontId="4" fillId="2" borderId="15" xfId="4" applyFont="1" applyFill="1" applyBorder="1" applyAlignment="1">
      <alignment wrapText="1"/>
    </xf>
    <xf numFmtId="165" fontId="4" fillId="5" borderId="29" xfId="4" applyFont="1" applyFill="1" applyBorder="1" applyAlignment="1">
      <alignment wrapText="1"/>
    </xf>
    <xf numFmtId="165" fontId="4" fillId="5" borderId="14" xfId="4" applyFont="1" applyFill="1" applyBorder="1" applyAlignment="1">
      <alignment wrapText="1"/>
    </xf>
    <xf numFmtId="0" fontId="3" fillId="2" borderId="6" xfId="0" applyFont="1" applyFill="1" applyBorder="1" applyAlignment="1">
      <alignment horizontal="right" wrapText="1"/>
    </xf>
    <xf numFmtId="165" fontId="3" fillId="2" borderId="8" xfId="0" applyNumberFormat="1" applyFont="1" applyFill="1" applyBorder="1" applyAlignment="1">
      <alignment wrapText="1"/>
    </xf>
    <xf numFmtId="0" fontId="3" fillId="2" borderId="0" xfId="0" applyFont="1" applyFill="1" applyAlignment="1">
      <alignment wrapText="1"/>
    </xf>
    <xf numFmtId="175" fontId="3" fillId="2" borderId="8" xfId="0" applyNumberFormat="1" applyFont="1" applyFill="1" applyBorder="1" applyAlignment="1">
      <alignment horizontal="right" wrapText="1"/>
    </xf>
    <xf numFmtId="4" fontId="3" fillId="2" borderId="18" xfId="0" applyNumberFormat="1" applyFont="1" applyFill="1" applyBorder="1" applyAlignment="1">
      <alignment horizontal="right" wrapText="1"/>
    </xf>
    <xf numFmtId="2" fontId="3" fillId="2" borderId="8" xfId="0" applyNumberFormat="1" applyFont="1" applyFill="1" applyBorder="1" applyAlignment="1">
      <alignment wrapText="1"/>
    </xf>
    <xf numFmtId="167" fontId="4" fillId="2" borderId="12" xfId="0" applyNumberFormat="1" applyFont="1" applyFill="1" applyBorder="1" applyAlignment="1">
      <alignment horizontal="right" wrapText="1"/>
    </xf>
    <xf numFmtId="165" fontId="4" fillId="2" borderId="0" xfId="0" applyNumberFormat="1" applyFont="1" applyFill="1" applyAlignment="1">
      <alignment wrapText="1"/>
    </xf>
    <xf numFmtId="165" fontId="4" fillId="2" borderId="0" xfId="4" applyFont="1" applyFill="1" applyBorder="1" applyAlignment="1">
      <alignment wrapText="1"/>
    </xf>
    <xf numFmtId="165" fontId="3" fillId="2" borderId="0" xfId="0" applyNumberFormat="1" applyFont="1" applyFill="1" applyAlignment="1">
      <alignment wrapText="1"/>
    </xf>
    <xf numFmtId="0" fontId="4" fillId="2" borderId="9" xfId="0" applyFont="1" applyFill="1" applyBorder="1" applyAlignment="1">
      <alignment wrapText="1"/>
    </xf>
    <xf numFmtId="0" fontId="4" fillId="2" borderId="12" xfId="0" applyFont="1" applyFill="1" applyBorder="1" applyAlignment="1">
      <alignment wrapText="1"/>
    </xf>
    <xf numFmtId="4" fontId="4" fillId="2" borderId="2" xfId="0" applyNumberFormat="1" applyFont="1" applyFill="1" applyBorder="1" applyAlignment="1">
      <alignment horizontal="center"/>
    </xf>
    <xf numFmtId="0" fontId="4" fillId="2" borderId="2" xfId="0" applyFont="1" applyFill="1" applyBorder="1" applyAlignment="1">
      <alignment horizontal="left"/>
    </xf>
    <xf numFmtId="0" fontId="4" fillId="2" borderId="3" xfId="0" applyFont="1" applyFill="1" applyBorder="1" applyAlignment="1">
      <alignment horizontal="left"/>
    </xf>
    <xf numFmtId="3" fontId="4" fillId="5" borderId="1" xfId="0" applyNumberFormat="1" applyFont="1" applyFill="1" applyBorder="1" applyAlignment="1">
      <alignment horizontal="right"/>
    </xf>
    <xf numFmtId="0" fontId="4" fillId="2" borderId="1" xfId="0" applyFont="1" applyFill="1" applyBorder="1" applyAlignment="1">
      <alignment horizontal="left"/>
    </xf>
    <xf numFmtId="0" fontId="0" fillId="2" borderId="0" xfId="0" applyFill="1"/>
    <xf numFmtId="0" fontId="0" fillId="2" borderId="0" xfId="0" applyFill="1" applyAlignment="1">
      <alignment horizontal="center"/>
    </xf>
    <xf numFmtId="0" fontId="0" fillId="2" borderId="0" xfId="0" applyFill="1" applyAlignment="1">
      <alignment horizontal="left"/>
    </xf>
    <xf numFmtId="165" fontId="4" fillId="7" borderId="1" xfId="4" applyFont="1" applyFill="1" applyBorder="1" applyAlignment="1">
      <alignment horizontal="right"/>
    </xf>
    <xf numFmtId="0" fontId="4" fillId="2" borderId="0" xfId="0" applyFont="1" applyFill="1" applyAlignment="1">
      <alignment horizontal="left"/>
    </xf>
    <xf numFmtId="169" fontId="4" fillId="2" borderId="4" xfId="2" applyNumberFormat="1" applyFont="1" applyFill="1" applyBorder="1" applyAlignment="1">
      <alignment horizontal="right"/>
    </xf>
    <xf numFmtId="164" fontId="4" fillId="2" borderId="4" xfId="4" applyNumberFormat="1" applyFont="1" applyFill="1" applyBorder="1" applyAlignment="1">
      <alignment horizontal="right"/>
    </xf>
    <xf numFmtId="169" fontId="4" fillId="2" borderId="2" xfId="2" applyNumberFormat="1" applyFont="1" applyFill="1" applyBorder="1" applyAlignment="1">
      <alignment horizontal="right"/>
    </xf>
    <xf numFmtId="164" fontId="4" fillId="2" borderId="2" xfId="4" applyNumberFormat="1" applyFont="1" applyFill="1" applyBorder="1" applyAlignment="1">
      <alignment horizontal="right"/>
    </xf>
    <xf numFmtId="169" fontId="4" fillId="2" borderId="3" xfId="2" applyNumberFormat="1" applyFont="1" applyFill="1" applyBorder="1" applyAlignment="1">
      <alignment horizontal="right"/>
    </xf>
    <xf numFmtId="164" fontId="4" fillId="2" borderId="3" xfId="4" applyNumberFormat="1" applyFont="1" applyFill="1" applyBorder="1" applyAlignment="1">
      <alignment horizontal="right"/>
    </xf>
    <xf numFmtId="0" fontId="4" fillId="2" borderId="28" xfId="0" applyFont="1" applyFill="1" applyBorder="1" applyAlignment="1">
      <alignment horizontal="center" vertical="center" wrapText="1"/>
    </xf>
    <xf numFmtId="0" fontId="0" fillId="2" borderId="1" xfId="0" applyFill="1" applyBorder="1" applyAlignment="1">
      <alignment horizontal="center" vertical="top" wrapText="1"/>
    </xf>
    <xf numFmtId="0" fontId="4" fillId="3" borderId="22" xfId="0" applyFont="1" applyFill="1" applyBorder="1"/>
    <xf numFmtId="0" fontId="4" fillId="3" borderId="30" xfId="0" applyFont="1" applyFill="1" applyBorder="1"/>
    <xf numFmtId="0" fontId="4" fillId="3" borderId="28" xfId="0" applyFont="1" applyFill="1" applyBorder="1"/>
    <xf numFmtId="0" fontId="3" fillId="2" borderId="17" xfId="0" applyFont="1" applyFill="1" applyBorder="1" applyAlignment="1">
      <alignment horizontal="left"/>
    </xf>
    <xf numFmtId="0" fontId="3" fillId="2" borderId="20" xfId="0" applyFont="1" applyFill="1" applyBorder="1" applyAlignment="1">
      <alignment horizontal="right"/>
    </xf>
    <xf numFmtId="0" fontId="3" fillId="2" borderId="17" xfId="0" applyFont="1" applyFill="1" applyBorder="1" applyAlignment="1">
      <alignment horizontal="right"/>
    </xf>
    <xf numFmtId="0" fontId="9" fillId="2" borderId="0" xfId="0" applyFont="1" applyFill="1"/>
    <xf numFmtId="0" fontId="4" fillId="2" borderId="31" xfId="0" applyFont="1" applyFill="1" applyBorder="1" applyAlignment="1">
      <alignment horizontal="center" vertical="center" wrapText="1"/>
    </xf>
    <xf numFmtId="0" fontId="10" fillId="2" borderId="0" xfId="0" applyFont="1" applyFill="1" applyAlignment="1">
      <alignment horizontal="justify" vertical="center"/>
    </xf>
    <xf numFmtId="0" fontId="10" fillId="2" borderId="0" xfId="0" applyFont="1" applyFill="1" applyAlignment="1">
      <alignment horizontal="left" vertical="center" indent="2"/>
    </xf>
    <xf numFmtId="0" fontId="2" fillId="2" borderId="0" xfId="1" applyFill="1" applyAlignment="1">
      <alignment horizontal="justify" vertical="center"/>
    </xf>
    <xf numFmtId="0" fontId="2" fillId="2" borderId="0" xfId="1" applyFill="1" applyAlignment="1">
      <alignment horizontal="left" vertical="center" indent="2"/>
    </xf>
    <xf numFmtId="0" fontId="4" fillId="7" borderId="1" xfId="0" applyFont="1" applyFill="1" applyBorder="1"/>
    <xf numFmtId="175" fontId="4" fillId="2" borderId="33" xfId="0" applyNumberFormat="1" applyFont="1" applyFill="1" applyBorder="1" applyAlignment="1">
      <alignment horizontal="right" wrapText="1"/>
    </xf>
    <xf numFmtId="4" fontId="4" fillId="2" borderId="33" xfId="0" applyNumberFormat="1" applyFont="1" applyFill="1" applyBorder="1" applyAlignment="1">
      <alignment horizontal="right" wrapText="1"/>
    </xf>
    <xf numFmtId="0" fontId="4" fillId="2" borderId="18" xfId="0" applyFont="1" applyFill="1" applyBorder="1" applyAlignment="1">
      <alignment horizontal="center" vertical="center" wrapText="1"/>
    </xf>
    <xf numFmtId="165" fontId="4" fillId="2" borderId="33" xfId="0" applyNumberFormat="1" applyFont="1" applyFill="1" applyBorder="1" applyAlignment="1">
      <alignment wrapText="1"/>
    </xf>
    <xf numFmtId="165" fontId="4" fillId="5" borderId="34" xfId="4" applyFont="1" applyFill="1" applyBorder="1" applyAlignment="1">
      <alignment wrapText="1"/>
    </xf>
    <xf numFmtId="3" fontId="4" fillId="5" borderId="3" xfId="0" applyNumberFormat="1" applyFont="1" applyFill="1" applyBorder="1" applyAlignment="1">
      <alignment wrapText="1"/>
    </xf>
    <xf numFmtId="165" fontId="4" fillId="2" borderId="35" xfId="4" applyFont="1" applyFill="1" applyBorder="1" applyAlignment="1">
      <alignment wrapText="1"/>
    </xf>
    <xf numFmtId="165" fontId="4" fillId="5" borderId="36" xfId="4" applyFont="1" applyFill="1" applyBorder="1" applyAlignment="1">
      <alignment wrapText="1"/>
    </xf>
    <xf numFmtId="165" fontId="4" fillId="5" borderId="3" xfId="4" applyFont="1" applyFill="1" applyBorder="1" applyAlignment="1">
      <alignment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7" fontId="4" fillId="2" borderId="33" xfId="0" applyNumberFormat="1" applyFont="1" applyFill="1" applyBorder="1" applyAlignment="1">
      <alignment horizontal="right" wrapText="1"/>
    </xf>
    <xf numFmtId="3" fontId="3" fillId="2" borderId="1" xfId="0" applyNumberFormat="1" applyFont="1" applyFill="1" applyBorder="1" applyAlignment="1">
      <alignment horizontal="right"/>
    </xf>
    <xf numFmtId="165" fontId="3" fillId="2" borderId="1" xfId="4" applyFont="1" applyFill="1" applyBorder="1" applyAlignment="1">
      <alignment horizontal="right"/>
    </xf>
    <xf numFmtId="165" fontId="3" fillId="2" borderId="1" xfId="0" applyNumberFormat="1" applyFont="1" applyFill="1" applyBorder="1" applyAlignment="1">
      <alignment horizontal="right"/>
    </xf>
    <xf numFmtId="165" fontId="3" fillId="2" borderId="0" xfId="4" applyFont="1" applyFill="1" applyAlignment="1">
      <alignment horizontal="center"/>
    </xf>
    <xf numFmtId="165" fontId="3" fillId="2" borderId="0" xfId="0" applyNumberFormat="1" applyFont="1" applyFill="1"/>
    <xf numFmtId="165" fontId="3" fillId="2" borderId="0" xfId="4" applyFont="1" applyFill="1"/>
    <xf numFmtId="165" fontId="11" fillId="2" borderId="0" xfId="0" applyNumberFormat="1" applyFont="1" applyFill="1" applyAlignment="1">
      <alignment horizontal="right"/>
    </xf>
    <xf numFmtId="176" fontId="4" fillId="2" borderId="3" xfId="3" applyNumberFormat="1" applyFont="1" applyFill="1" applyBorder="1" applyAlignment="1">
      <alignment horizontal="center"/>
    </xf>
    <xf numFmtId="176" fontId="4" fillId="2" borderId="0" xfId="0" applyNumberFormat="1" applyFont="1" applyFill="1"/>
    <xf numFmtId="176" fontId="4" fillId="2" borderId="1" xfId="3" applyNumberFormat="1" applyFont="1" applyFill="1" applyBorder="1" applyAlignment="1">
      <alignment horizontal="center"/>
    </xf>
    <xf numFmtId="176" fontId="4" fillId="2" borderId="0" xfId="3" applyNumberFormat="1" applyFont="1" applyFill="1" applyBorder="1" applyAlignment="1">
      <alignment horizontal="center"/>
    </xf>
    <xf numFmtId="0" fontId="4" fillId="5" borderId="1" xfId="0" applyFont="1" applyFill="1" applyBorder="1" applyAlignment="1">
      <alignment horizontal="right"/>
    </xf>
    <xf numFmtId="0" fontId="4" fillId="3" borderId="30" xfId="0" applyFont="1" applyFill="1" applyBorder="1" applyAlignment="1">
      <alignment horizontal="center"/>
    </xf>
    <xf numFmtId="0" fontId="4" fillId="3" borderId="28" xfId="0" applyFont="1" applyFill="1" applyBorder="1" applyAlignment="1">
      <alignment horizontal="center"/>
    </xf>
    <xf numFmtId="0" fontId="4" fillId="7" borderId="41" xfId="0" applyFont="1" applyFill="1" applyBorder="1" applyAlignment="1">
      <alignment horizontal="center" vertical="center"/>
    </xf>
    <xf numFmtId="1" fontId="4" fillId="7" borderId="1" xfId="3" applyNumberFormat="1" applyFont="1" applyFill="1" applyBorder="1" applyAlignment="1">
      <alignment horizontal="center" vertical="center"/>
    </xf>
    <xf numFmtId="0" fontId="4" fillId="0" borderId="42" xfId="0" applyFont="1" applyBorder="1" applyAlignment="1">
      <alignment horizontal="center" vertical="center"/>
    </xf>
    <xf numFmtId="1" fontId="4" fillId="2" borderId="43" xfId="0" applyNumberFormat="1" applyFont="1" applyFill="1" applyBorder="1" applyAlignment="1">
      <alignment horizontal="center" vertical="center"/>
    </xf>
    <xf numFmtId="1" fontId="4" fillId="2" borderId="44" xfId="0" applyNumberFormat="1" applyFont="1" applyFill="1" applyBorder="1" applyAlignment="1">
      <alignment horizontal="center" vertical="center"/>
    </xf>
    <xf numFmtId="1" fontId="4" fillId="2" borderId="37"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 fontId="7" fillId="2" borderId="12" xfId="0" applyNumberFormat="1" applyFont="1" applyFill="1" applyBorder="1" applyAlignment="1">
      <alignment horizontal="center" vertical="center" wrapText="1"/>
    </xf>
    <xf numFmtId="1" fontId="4" fillId="2" borderId="0" xfId="0" applyNumberFormat="1" applyFont="1" applyFill="1"/>
    <xf numFmtId="1" fontId="4" fillId="2" borderId="0" xfId="0" applyNumberFormat="1" applyFont="1" applyFill="1" applyAlignment="1">
      <alignment horizontal="center"/>
    </xf>
    <xf numFmtId="1" fontId="4" fillId="2" borderId="0" xfId="0" applyNumberFormat="1" applyFont="1" applyFill="1" applyAlignment="1">
      <alignment horizontal="center" vertical="center"/>
    </xf>
    <xf numFmtId="1" fontId="7" fillId="2" borderId="0" xfId="0" applyNumberFormat="1" applyFont="1" applyFill="1" applyAlignment="1">
      <alignment horizontal="center" vertical="center" wrapText="1"/>
    </xf>
    <xf numFmtId="1" fontId="4" fillId="2" borderId="1" xfId="0" applyNumberFormat="1" applyFont="1" applyFill="1" applyBorder="1" applyAlignment="1">
      <alignment horizontal="center" vertical="center"/>
    </xf>
    <xf numFmtId="1" fontId="5" fillId="2" borderId="1" xfId="3" applyNumberFormat="1" applyFont="1" applyFill="1" applyBorder="1" applyAlignment="1">
      <alignment horizontal="center"/>
    </xf>
    <xf numFmtId="2" fontId="5" fillId="2" borderId="1" xfId="3" applyNumberFormat="1" applyFont="1" applyFill="1" applyBorder="1" applyAlignment="1">
      <alignment horizontal="center"/>
    </xf>
    <xf numFmtId="0" fontId="14" fillId="2" borderId="0" xfId="0" applyFont="1" applyFill="1" applyAlignment="1">
      <alignment horizontal="right"/>
    </xf>
    <xf numFmtId="165" fontId="4" fillId="2" borderId="1" xfId="4" applyFont="1" applyFill="1" applyBorder="1" applyAlignment="1">
      <alignment horizontal="center" vertical="center"/>
    </xf>
    <xf numFmtId="10" fontId="4" fillId="2" borderId="4" xfId="3" applyNumberFormat="1" applyFont="1" applyFill="1" applyBorder="1" applyAlignment="1">
      <alignment horizontal="right"/>
    </xf>
    <xf numFmtId="10" fontId="4" fillId="2" borderId="2" xfId="3" applyNumberFormat="1" applyFont="1" applyFill="1" applyBorder="1" applyAlignment="1">
      <alignment horizontal="right"/>
    </xf>
    <xf numFmtId="10" fontId="4" fillId="2" borderId="3" xfId="3" applyNumberFormat="1" applyFont="1" applyFill="1" applyBorder="1" applyAlignment="1">
      <alignment horizontal="right"/>
    </xf>
    <xf numFmtId="174" fontId="4" fillId="2" borderId="0" xfId="0" applyNumberFormat="1" applyFont="1" applyFill="1" applyAlignment="1">
      <alignment horizontal="center"/>
    </xf>
    <xf numFmtId="165" fontId="4" fillId="2" borderId="0" xfId="4" applyFont="1" applyFill="1" applyBorder="1"/>
    <xf numFmtId="4" fontId="4" fillId="2" borderId="4" xfId="0" applyNumberFormat="1" applyFont="1" applyFill="1" applyBorder="1" applyAlignment="1">
      <alignment horizontal="center"/>
    </xf>
    <xf numFmtId="0" fontId="4" fillId="2" borderId="1" xfId="0" applyFont="1" applyFill="1" applyBorder="1" applyAlignment="1">
      <alignment horizontal="center" vertical="center" wrapText="1"/>
    </xf>
    <xf numFmtId="0" fontId="3" fillId="2" borderId="21" xfId="0" applyFont="1" applyFill="1" applyBorder="1" applyAlignment="1">
      <alignment horizontal="right"/>
    </xf>
    <xf numFmtId="173" fontId="4" fillId="2" borderId="22" xfId="0" applyNumberFormat="1" applyFont="1" applyFill="1" applyBorder="1" applyAlignment="1">
      <alignment horizontal="right"/>
    </xf>
    <xf numFmtId="173" fontId="4" fillId="2" borderId="23" xfId="0" applyNumberFormat="1" applyFont="1" applyFill="1" applyBorder="1" applyAlignment="1">
      <alignment horizontal="right"/>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0" fontId="3" fillId="2" borderId="19" xfId="0" applyFont="1" applyFill="1" applyBorder="1" applyAlignment="1">
      <alignment horizontal="right" wrapText="1"/>
    </xf>
    <xf numFmtId="171" fontId="4" fillId="2" borderId="1" xfId="0" applyNumberFormat="1" applyFont="1" applyFill="1" applyBorder="1" applyAlignment="1">
      <alignment horizontal="right"/>
    </xf>
    <xf numFmtId="165" fontId="4" fillId="5" borderId="17" xfId="4" applyFont="1" applyFill="1" applyBorder="1" applyAlignment="1">
      <alignment wrapText="1"/>
    </xf>
    <xf numFmtId="3" fontId="4" fillId="5" borderId="20" xfId="0" applyNumberFormat="1" applyFont="1" applyFill="1" applyBorder="1" applyAlignment="1">
      <alignment wrapText="1"/>
    </xf>
    <xf numFmtId="165" fontId="4" fillId="2" borderId="19" xfId="4" applyFont="1" applyFill="1" applyBorder="1" applyAlignment="1">
      <alignment wrapText="1"/>
    </xf>
    <xf numFmtId="164" fontId="4" fillId="2" borderId="4" xfId="0" applyNumberFormat="1" applyFont="1" applyFill="1" applyBorder="1"/>
    <xf numFmtId="0" fontId="7" fillId="2" borderId="1" xfId="0" applyFont="1" applyFill="1" applyBorder="1" applyAlignment="1">
      <alignment horizontal="center" vertical="center" wrapText="1"/>
    </xf>
    <xf numFmtId="0" fontId="0" fillId="2" borderId="0" xfId="0" applyFill="1" applyAlignment="1">
      <alignment horizontal="center" wrapText="1"/>
    </xf>
    <xf numFmtId="176" fontId="4" fillId="2" borderId="1" xfId="0" applyNumberFormat="1" applyFont="1" applyFill="1" applyBorder="1" applyAlignment="1">
      <alignment horizontal="right" vertical="center"/>
    </xf>
    <xf numFmtId="166" fontId="4" fillId="2" borderId="1" xfId="2" applyFont="1" applyFill="1" applyBorder="1" applyAlignment="1">
      <alignment horizontal="right"/>
    </xf>
    <xf numFmtId="10" fontId="4" fillId="2" borderId="1" xfId="2" applyNumberFormat="1" applyFont="1" applyFill="1" applyBorder="1" applyAlignment="1">
      <alignment horizontal="right"/>
    </xf>
    <xf numFmtId="165" fontId="4" fillId="2" borderId="1" xfId="4" applyFont="1" applyFill="1" applyBorder="1" applyAlignment="1">
      <alignment horizontal="center"/>
    </xf>
    <xf numFmtId="9" fontId="4" fillId="2" borderId="0" xfId="3" applyFont="1" applyFill="1" applyAlignment="1">
      <alignment horizontal="left"/>
    </xf>
    <xf numFmtId="10" fontId="4" fillId="2" borderId="0" xfId="0" applyNumberFormat="1" applyFont="1" applyFill="1" applyAlignment="1">
      <alignment horizontal="left"/>
    </xf>
    <xf numFmtId="9" fontId="4" fillId="2" borderId="0" xfId="3" applyFont="1" applyFill="1" applyBorder="1"/>
    <xf numFmtId="10" fontId="4" fillId="2" borderId="3" xfId="2" applyNumberFormat="1" applyFont="1" applyFill="1" applyBorder="1" applyAlignment="1">
      <alignment horizontal="right"/>
    </xf>
    <xf numFmtId="176" fontId="4" fillId="2" borderId="1" xfId="3" applyNumberFormat="1" applyFont="1" applyFill="1" applyBorder="1"/>
    <xf numFmtId="176" fontId="4" fillId="2" borderId="4" xfId="3" applyNumberFormat="1" applyFont="1" applyFill="1" applyBorder="1" applyAlignment="1">
      <alignment horizontal="center"/>
    </xf>
    <xf numFmtId="176" fontId="4" fillId="2" borderId="2" xfId="3" applyNumberFormat="1" applyFont="1" applyFill="1" applyBorder="1" applyAlignment="1">
      <alignment horizontal="center"/>
    </xf>
    <xf numFmtId="4" fontId="4" fillId="2" borderId="3" xfId="0" applyNumberFormat="1" applyFont="1" applyFill="1" applyBorder="1" applyAlignment="1">
      <alignment horizontal="center"/>
    </xf>
    <xf numFmtId="10" fontId="5" fillId="2" borderId="1" xfId="3" applyNumberFormat="1" applyFont="1" applyFill="1" applyBorder="1" applyAlignment="1">
      <alignment horizontal="center"/>
    </xf>
    <xf numFmtId="0" fontId="15" fillId="2" borderId="18" xfId="0" applyFont="1" applyFill="1" applyBorder="1" applyAlignment="1">
      <alignment horizontal="justify" vertical="center"/>
    </xf>
    <xf numFmtId="10" fontId="3" fillId="2" borderId="37" xfId="0" applyNumberFormat="1" applyFont="1" applyFill="1" applyBorder="1" applyAlignment="1">
      <alignment vertical="center" wrapText="1"/>
    </xf>
    <xf numFmtId="0" fontId="16" fillId="2" borderId="0" xfId="0" applyFont="1" applyFill="1"/>
    <xf numFmtId="15" fontId="0" fillId="2" borderId="0" xfId="0" applyNumberFormat="1" applyFill="1"/>
    <xf numFmtId="1" fontId="7" fillId="2" borderId="2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2" fontId="7" fillId="2" borderId="0" xfId="0" applyNumberFormat="1" applyFont="1" applyFill="1" applyAlignment="1">
      <alignment horizontal="center" vertical="center" wrapText="1"/>
    </xf>
    <xf numFmtId="0" fontId="12" fillId="2" borderId="1" xfId="0" applyFont="1" applyFill="1" applyBorder="1" applyAlignment="1">
      <alignment vertical="center" wrapText="1"/>
    </xf>
    <xf numFmtId="1" fontId="7" fillId="2" borderId="1" xfId="0" applyNumberFormat="1" applyFont="1" applyFill="1" applyBorder="1" applyAlignment="1">
      <alignment horizontal="center" vertical="center" wrapText="1"/>
    </xf>
    <xf numFmtId="1" fontId="7" fillId="2" borderId="16" xfId="0" applyNumberFormat="1" applyFont="1" applyFill="1" applyBorder="1" applyAlignment="1">
      <alignment horizontal="center" vertical="center" wrapText="1"/>
    </xf>
    <xf numFmtId="0" fontId="4" fillId="2" borderId="6" xfId="0" applyFont="1" applyFill="1" applyBorder="1"/>
    <xf numFmtId="2" fontId="4" fillId="2" borderId="7" xfId="0" applyNumberFormat="1" applyFont="1" applyFill="1" applyBorder="1" applyAlignment="1">
      <alignment horizontal="center" vertical="center"/>
    </xf>
    <xf numFmtId="0" fontId="4" fillId="2" borderId="7" xfId="0" applyFont="1" applyFill="1" applyBorder="1" applyAlignment="1">
      <alignment horizontal="right"/>
    </xf>
    <xf numFmtId="176" fontId="5" fillId="2" borderId="45" xfId="3" applyNumberFormat="1" applyFont="1" applyFill="1" applyBorder="1" applyAlignment="1">
      <alignment horizontal="center"/>
    </xf>
    <xf numFmtId="176" fontId="4" fillId="2" borderId="7" xfId="0" applyNumberFormat="1" applyFont="1" applyFill="1" applyBorder="1"/>
    <xf numFmtId="176" fontId="5" fillId="2" borderId="46" xfId="3" applyNumberFormat="1" applyFont="1" applyFill="1" applyBorder="1" applyAlignment="1">
      <alignment horizontal="center"/>
    </xf>
    <xf numFmtId="177" fontId="3" fillId="2" borderId="1" xfId="2" applyNumberFormat="1" applyFont="1" applyFill="1" applyBorder="1" applyAlignment="1">
      <alignment horizontal="center"/>
    </xf>
    <xf numFmtId="177" fontId="3" fillId="2" borderId="1" xfId="0" applyNumberFormat="1" applyFont="1" applyFill="1" applyBorder="1" applyAlignment="1">
      <alignment horizontal="center" vertical="center" wrapText="1"/>
    </xf>
    <xf numFmtId="0" fontId="0" fillId="2" borderId="0" xfId="0" applyFill="1" applyAlignment="1">
      <alignment horizontal="center" vertical="center"/>
    </xf>
    <xf numFmtId="49" fontId="4" fillId="7" borderId="1" xfId="4" applyNumberFormat="1" applyFont="1" applyFill="1" applyBorder="1" applyAlignment="1">
      <alignment horizontal="center" vertical="center"/>
    </xf>
    <xf numFmtId="49" fontId="4" fillId="2" borderId="10" xfId="0" applyNumberFormat="1" applyFont="1" applyFill="1" applyBorder="1" applyAlignment="1">
      <alignment horizontal="left"/>
    </xf>
    <xf numFmtId="0" fontId="4" fillId="2" borderId="40" xfId="0" applyFont="1" applyFill="1" applyBorder="1" applyAlignment="1">
      <alignment horizontal="right"/>
    </xf>
    <xf numFmtId="0" fontId="3" fillId="2" borderId="47" xfId="0" applyFont="1" applyFill="1" applyBorder="1" applyAlignment="1">
      <alignment horizontal="right"/>
    </xf>
    <xf numFmtId="173" fontId="3" fillId="2" borderId="48" xfId="0" applyNumberFormat="1" applyFont="1" applyFill="1" applyBorder="1"/>
    <xf numFmtId="0" fontId="3" fillId="2" borderId="40" xfId="0" applyFont="1" applyFill="1" applyBorder="1" applyAlignment="1">
      <alignment horizontal="right"/>
    </xf>
    <xf numFmtId="173" fontId="3" fillId="2" borderId="48" xfId="0" applyNumberFormat="1" applyFont="1" applyFill="1" applyBorder="1" applyAlignment="1">
      <alignment horizontal="right"/>
    </xf>
    <xf numFmtId="49" fontId="4" fillId="2" borderId="13" xfId="0" applyNumberFormat="1" applyFont="1" applyFill="1" applyBorder="1" applyAlignment="1">
      <alignment horizontal="left"/>
    </xf>
    <xf numFmtId="49" fontId="4" fillId="2" borderId="10" xfId="0" applyNumberFormat="1" applyFont="1" applyFill="1" applyBorder="1"/>
    <xf numFmtId="49" fontId="4" fillId="2" borderId="13" xfId="0" applyNumberFormat="1" applyFont="1" applyFill="1" applyBorder="1"/>
    <xf numFmtId="49" fontId="4" fillId="2" borderId="32" xfId="0" applyNumberFormat="1" applyFont="1" applyFill="1" applyBorder="1"/>
    <xf numFmtId="49" fontId="4" fillId="2" borderId="26" xfId="0" applyNumberFormat="1" applyFont="1" applyFill="1" applyBorder="1"/>
    <xf numFmtId="49" fontId="4" fillId="2" borderId="27" xfId="0" applyNumberFormat="1" applyFont="1" applyFill="1" applyBorder="1"/>
    <xf numFmtId="49" fontId="4" fillId="6" borderId="10" xfId="0" applyNumberFormat="1" applyFont="1" applyFill="1" applyBorder="1"/>
    <xf numFmtId="49" fontId="4" fillId="6" borderId="13" xfId="0" applyNumberFormat="1" applyFont="1" applyFill="1" applyBorder="1"/>
    <xf numFmtId="171" fontId="3" fillId="2" borderId="48" xfId="0" applyNumberFormat="1" applyFont="1" applyFill="1" applyBorder="1"/>
    <xf numFmtId="171" fontId="4" fillId="2" borderId="14" xfId="0" applyNumberFormat="1" applyFont="1" applyFill="1" applyBorder="1" applyAlignment="1">
      <alignment horizontal="right"/>
    </xf>
    <xf numFmtId="3" fontId="4" fillId="5" borderId="49" xfId="0" applyNumberFormat="1" applyFont="1" applyFill="1" applyBorder="1" applyAlignment="1">
      <alignment wrapText="1"/>
    </xf>
    <xf numFmtId="49" fontId="4" fillId="2" borderId="4" xfId="0" applyNumberFormat="1" applyFont="1" applyFill="1" applyBorder="1" applyAlignment="1">
      <alignment horizontal="left"/>
    </xf>
    <xf numFmtId="10" fontId="3" fillId="8" borderId="1" xfId="0" applyNumberFormat="1" applyFont="1" applyFill="1" applyBorder="1" applyAlignment="1">
      <alignment horizontal="center" vertical="center" wrapText="1"/>
    </xf>
    <xf numFmtId="165" fontId="4" fillId="8" borderId="4" xfId="0" applyNumberFormat="1" applyFont="1" applyFill="1" applyBorder="1"/>
    <xf numFmtId="165" fontId="4" fillId="8" borderId="2" xfId="0" applyNumberFormat="1" applyFont="1" applyFill="1" applyBorder="1"/>
    <xf numFmtId="165" fontId="4" fillId="8" borderId="3" xfId="0" applyNumberFormat="1" applyFont="1" applyFill="1" applyBorder="1"/>
    <xf numFmtId="10" fontId="3" fillId="8" borderId="1" xfId="0" quotePrefix="1" applyNumberFormat="1" applyFont="1" applyFill="1" applyBorder="1" applyAlignment="1">
      <alignment horizontal="center" vertical="center" wrapText="1"/>
    </xf>
    <xf numFmtId="176" fontId="4" fillId="2" borderId="0" xfId="0" applyNumberFormat="1" applyFont="1" applyFill="1" applyAlignment="1">
      <alignment horizontal="center"/>
    </xf>
    <xf numFmtId="178" fontId="4" fillId="2" borderId="4" xfId="0" applyNumberFormat="1" applyFont="1" applyFill="1" applyBorder="1"/>
    <xf numFmtId="178" fontId="4" fillId="2" borderId="2" xfId="0" applyNumberFormat="1" applyFont="1" applyFill="1" applyBorder="1"/>
    <xf numFmtId="178" fontId="4" fillId="2" borderId="3" xfId="0" applyNumberFormat="1" applyFont="1" applyFill="1" applyBorder="1"/>
    <xf numFmtId="176" fontId="4" fillId="2" borderId="2" xfId="3" applyNumberFormat="1" applyFont="1" applyFill="1" applyBorder="1"/>
    <xf numFmtId="176" fontId="4" fillId="2" borderId="3" xfId="3" applyNumberFormat="1" applyFont="1" applyFill="1" applyBorder="1"/>
    <xf numFmtId="176" fontId="4" fillId="2" borderId="4" xfId="3" applyNumberFormat="1" applyFont="1" applyFill="1" applyBorder="1"/>
    <xf numFmtId="10" fontId="4" fillId="2" borderId="0" xfId="3" applyNumberFormat="1" applyFont="1" applyFill="1"/>
    <xf numFmtId="0" fontId="11" fillId="2" borderId="1" xfId="0" applyFont="1" applyFill="1" applyBorder="1" applyAlignment="1">
      <alignment horizontal="center" vertical="center" wrapText="1"/>
    </xf>
    <xf numFmtId="165" fontId="8" fillId="2" borderId="4" xfId="4" applyFont="1" applyFill="1" applyBorder="1" applyAlignment="1">
      <alignment horizontal="center" vertical="center"/>
    </xf>
    <xf numFmtId="165" fontId="8" fillId="2" borderId="2" xfId="4" applyFont="1" applyFill="1" applyBorder="1" applyAlignment="1">
      <alignment horizontal="center" vertical="center"/>
    </xf>
    <xf numFmtId="165" fontId="8" fillId="2" borderId="3" xfId="4" applyFont="1" applyFill="1" applyBorder="1" applyAlignment="1">
      <alignment horizontal="center" vertical="center"/>
    </xf>
    <xf numFmtId="165" fontId="4" fillId="2" borderId="4" xfId="4" applyFont="1" applyFill="1" applyBorder="1" applyAlignment="1"/>
    <xf numFmtId="0" fontId="3" fillId="2" borderId="53" xfId="0" applyFont="1" applyFill="1" applyBorder="1" applyAlignment="1">
      <alignment horizontal="center" vertical="center" wrapText="1"/>
    </xf>
    <xf numFmtId="166" fontId="4" fillId="2" borderId="53" xfId="0" applyNumberFormat="1" applyFont="1" applyFill="1" applyBorder="1" applyAlignment="1">
      <alignment horizontal="right"/>
    </xf>
    <xf numFmtId="176" fontId="3" fillId="2" borderId="0" xfId="4" applyNumberFormat="1" applyFont="1" applyFill="1" applyBorder="1" applyAlignment="1">
      <alignment horizontal="center" vertical="center"/>
    </xf>
    <xf numFmtId="176" fontId="3" fillId="2" borderId="0" xfId="3" applyNumberFormat="1" applyFont="1" applyFill="1" applyBorder="1" applyAlignment="1">
      <alignment horizontal="center" vertical="center"/>
    </xf>
    <xf numFmtId="4" fontId="3" fillId="6" borderId="12" xfId="0" applyNumberFormat="1" applyFont="1" applyFill="1" applyBorder="1" applyAlignment="1">
      <alignment horizontal="right"/>
    </xf>
    <xf numFmtId="4" fontId="3" fillId="6" borderId="16" xfId="0" applyNumberFormat="1" applyFont="1" applyFill="1" applyBorder="1" applyAlignment="1">
      <alignment horizontal="right"/>
    </xf>
    <xf numFmtId="49" fontId="4" fillId="0" borderId="10" xfId="0" applyNumberFormat="1" applyFont="1" applyBorder="1"/>
    <xf numFmtId="49" fontId="4" fillId="0" borderId="13" xfId="0" applyNumberFormat="1" applyFont="1" applyBorder="1"/>
    <xf numFmtId="164" fontId="3" fillId="2" borderId="0" xfId="0" applyNumberFormat="1" applyFont="1" applyFill="1"/>
    <xf numFmtId="179" fontId="4" fillId="2" borderId="0" xfId="0" applyNumberFormat="1" applyFont="1" applyFill="1"/>
    <xf numFmtId="14" fontId="0" fillId="2" borderId="0" xfId="0" applyNumberFormat="1" applyFill="1"/>
    <xf numFmtId="0" fontId="4" fillId="2" borderId="1"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7" fillId="3" borderId="25" xfId="0" applyNumberFormat="1" applyFont="1" applyFill="1" applyBorder="1" applyAlignment="1">
      <alignment horizontal="center" vertical="center" wrapText="1"/>
    </xf>
    <xf numFmtId="1" fontId="7" fillId="3" borderId="39" xfId="0" applyNumberFormat="1" applyFont="1" applyFill="1" applyBorder="1" applyAlignment="1">
      <alignment horizontal="center" vertical="center" wrapText="1"/>
    </xf>
    <xf numFmtId="1" fontId="7" fillId="3" borderId="33"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4" fillId="2" borderId="24" xfId="0" applyFont="1" applyFill="1" applyBorder="1" applyAlignment="1">
      <alignment horizontal="center"/>
    </xf>
    <xf numFmtId="0" fontId="4" fillId="2" borderId="40" xfId="0" applyFont="1" applyFill="1" applyBorder="1" applyAlignment="1">
      <alignment horizontal="center"/>
    </xf>
    <xf numFmtId="0" fontId="4" fillId="2" borderId="17" xfId="0" applyFont="1" applyFill="1" applyBorder="1" applyAlignment="1">
      <alignment horizontal="center" wrapText="1"/>
    </xf>
    <xf numFmtId="0" fontId="4" fillId="2" borderId="20" xfId="0" applyFont="1" applyFill="1" applyBorder="1" applyAlignment="1">
      <alignment horizontal="center" wrapText="1"/>
    </xf>
    <xf numFmtId="0" fontId="4" fillId="2" borderId="19" xfId="0" applyFont="1" applyFill="1" applyBorder="1" applyAlignment="1">
      <alignment horizontal="center" wrapText="1"/>
    </xf>
    <xf numFmtId="0" fontId="4" fillId="2" borderId="37"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quotePrefix="1" applyFont="1" applyFill="1" applyAlignment="1">
      <alignment horizontal="left" vertical="top" wrapText="1"/>
    </xf>
    <xf numFmtId="0" fontId="3" fillId="2" borderId="6" xfId="0" applyFont="1" applyFill="1" applyBorder="1" applyAlignment="1">
      <alignment horizontal="right" wrapText="1"/>
    </xf>
    <xf numFmtId="0" fontId="3" fillId="2" borderId="7" xfId="0" applyFont="1" applyFill="1" applyBorder="1" applyAlignment="1">
      <alignment horizontal="right" wrapText="1"/>
    </xf>
    <xf numFmtId="0" fontId="0" fillId="0" borderId="1" xfId="0" applyBorder="1" applyAlignment="1">
      <alignment horizontal="left" vertical="top" wrapText="1"/>
    </xf>
    <xf numFmtId="10" fontId="3" fillId="2" borderId="22" xfId="0" applyNumberFormat="1" applyFont="1" applyFill="1" applyBorder="1" applyAlignment="1">
      <alignment horizontal="center" vertical="center" wrapText="1"/>
    </xf>
    <xf numFmtId="10" fontId="3" fillId="2" borderId="30" xfId="0" applyNumberFormat="1" applyFont="1" applyFill="1" applyBorder="1" applyAlignment="1">
      <alignment horizontal="center" vertical="center" wrapText="1"/>
    </xf>
    <xf numFmtId="10" fontId="3" fillId="2" borderId="28" xfId="0" applyNumberFormat="1" applyFont="1" applyFill="1" applyBorder="1" applyAlignment="1">
      <alignment horizontal="center" vertical="center" wrapText="1"/>
    </xf>
    <xf numFmtId="0" fontId="4" fillId="3" borderId="1" xfId="0" applyFont="1" applyFill="1" applyBorder="1" applyAlignment="1">
      <alignment horizontal="center"/>
    </xf>
    <xf numFmtId="0" fontId="4" fillId="3" borderId="22" xfId="0" applyFont="1" applyFill="1" applyBorder="1" applyAlignment="1">
      <alignment horizontal="center"/>
    </xf>
    <xf numFmtId="0" fontId="4" fillId="3" borderId="30" xfId="0" applyFont="1" applyFill="1" applyBorder="1" applyAlignment="1">
      <alignment horizontal="center"/>
    </xf>
    <xf numFmtId="0" fontId="4" fillId="3" borderId="28" xfId="0" applyFont="1" applyFill="1" applyBorder="1" applyAlignment="1">
      <alignment horizontal="center"/>
    </xf>
    <xf numFmtId="0" fontId="3" fillId="2"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6" xfId="0" applyFont="1" applyFill="1" applyBorder="1" applyAlignment="1">
      <alignment horizontal="center"/>
    </xf>
    <xf numFmtId="0" fontId="4" fillId="2" borderId="8" xfId="0" applyFont="1" applyFill="1" applyBorder="1" applyAlignment="1">
      <alignment horizontal="center"/>
    </xf>
    <xf numFmtId="0" fontId="4" fillId="3" borderId="22" xfId="0" applyFont="1" applyFill="1" applyBorder="1" applyAlignment="1">
      <alignment horizontal="left"/>
    </xf>
    <xf numFmtId="0" fontId="4" fillId="3" borderId="30" xfId="0" applyFont="1" applyFill="1" applyBorder="1" applyAlignment="1">
      <alignment horizontal="left"/>
    </xf>
    <xf numFmtId="0" fontId="4" fillId="3" borderId="28" xfId="0" applyFont="1" applyFill="1" applyBorder="1" applyAlignment="1">
      <alignment horizontal="left"/>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0" xfId="0" applyAlignment="1">
      <alignment horizontal="left" vertical="top" wrapText="1"/>
    </xf>
    <xf numFmtId="0" fontId="0" fillId="0" borderId="53" xfId="0" applyBorder="1" applyAlignment="1">
      <alignment horizontal="left" vertical="top" wrapText="1"/>
    </xf>
    <xf numFmtId="0" fontId="0" fillId="0" borderId="5" xfId="0" applyBorder="1" applyAlignment="1">
      <alignment horizontal="left" vertical="top" wrapText="1"/>
    </xf>
    <xf numFmtId="0" fontId="0" fillId="0" borderId="31" xfId="0" applyBorder="1" applyAlignment="1">
      <alignment horizontal="left" vertical="top" wrapText="1"/>
    </xf>
    <xf numFmtId="0" fontId="0" fillId="0" borderId="36" xfId="0" applyBorder="1" applyAlignment="1">
      <alignment horizontal="left" vertical="top" wrapText="1"/>
    </xf>
  </cellXfs>
  <cellStyles count="5">
    <cellStyle name="Hyperlink" xfId="1" builtinId="8"/>
    <cellStyle name="Komma" xfId="2" builtinId="3"/>
    <cellStyle name="Procent" xfId="3" builtinId="5"/>
    <cellStyle name="Standaard" xfId="0" builtinId="0"/>
    <cellStyle name="Valuta" xfId="4" builtinId="4"/>
  </cellStyles>
  <dxfs count="5">
    <dxf>
      <font>
        <color rgb="FFFF0000"/>
      </font>
    </dxf>
    <dxf>
      <fill>
        <patternFill>
          <bgColor rgb="FFFF9999"/>
        </patternFill>
      </fill>
    </dxf>
    <dxf>
      <font>
        <color rgb="FFFF0000"/>
      </font>
    </dxf>
    <dxf>
      <fill>
        <patternFill>
          <bgColor rgb="FFFF9999"/>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onderbrekingsfrequentie 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'A1'!$I$8:$I$17</c:f>
              <c:numCache>
                <c:formatCode>0.0000</c:formatCode>
                <c:ptCount val="10"/>
                <c:pt idx="0">
                  <c:v>0</c:v>
                </c:pt>
                <c:pt idx="1">
                  <c:v>0</c:v>
                </c:pt>
                <c:pt idx="2">
                  <c:v>0</c:v>
                </c:pt>
                <c:pt idx="3">
                  <c:v>0</c:v>
                </c:pt>
                <c:pt idx="4">
                  <c:v>0</c:v>
                </c:pt>
                <c:pt idx="5">
                  <c:v>0</c:v>
                </c:pt>
                <c:pt idx="6">
                  <c:v>0</c:v>
                </c:pt>
                <c:pt idx="7">
                  <c:v>0</c:v>
                </c:pt>
                <c:pt idx="8">
                  <c:v>0</c:v>
                </c:pt>
                <c:pt idx="9">
                  <c:v>0</c:v>
                </c:pt>
              </c:numCache>
            </c:numRef>
          </c:xVal>
          <c:yVal>
            <c:numRef>
              <c:f>'A1'!$O$8:$O$17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1537-4205-9EC3-717404E4CCB9}"/>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onderbrekingsfrequentie MS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BE"/>
              <a:t>kwaliteitsprestatie en impact q-factor </a:t>
            </a:r>
          </a:p>
          <a:p>
            <a:pPr>
              <a:defRPr/>
            </a:pPr>
            <a:r>
              <a:rPr lang="nl-BE"/>
              <a:t>per toegangspunt gas/jaar</a:t>
            </a:r>
          </a:p>
        </c:rich>
      </c:tx>
      <c:overlay val="0"/>
    </c:title>
    <c:autoTitleDeleted val="0"/>
    <c:plotArea>
      <c:layout>
        <c:manualLayout>
          <c:layoutTarget val="inner"/>
          <c:xMode val="edge"/>
          <c:yMode val="edge"/>
          <c:x val="8.5100637207884425E-2"/>
          <c:y val="0.17012617872317998"/>
          <c:w val="0.8325181236198167"/>
          <c:h val="0.73641983532121691"/>
        </c:manualLayout>
      </c:layout>
      <c:barChart>
        <c:barDir val="col"/>
        <c:grouping val="clustered"/>
        <c:varyColors val="0"/>
        <c:ser>
          <c:idx val="4"/>
          <c:order val="0"/>
          <c:tx>
            <c:strRef>
              <c:f>'Berekeningsmodel Q G'!$AN$9</c:f>
              <c:strCache>
                <c:ptCount val="1"/>
                <c:pt idx="0">
                  <c:v>Impact per toegangspunt</c:v>
                </c:pt>
              </c:strCache>
            </c:strRef>
          </c:tx>
          <c:invertIfNegative val="0"/>
          <c:cat>
            <c:strRef>
              <c:f>'Berekeningsmodel Q G'!$B$10:$B$18</c:f>
              <c:strCache>
                <c:ptCount val="9"/>
                <c:pt idx="0">
                  <c:v>Intergem</c:v>
                </c:pt>
                <c:pt idx="1">
                  <c:v>Sibelgas</c:v>
                </c:pt>
                <c:pt idx="2">
                  <c:v>Fluvius Limburg</c:v>
                </c:pt>
                <c:pt idx="3">
                  <c:v>Iveka</c:v>
                </c:pt>
                <c:pt idx="4">
                  <c:v>Imewo</c:v>
                </c:pt>
                <c:pt idx="5">
                  <c:v>Iverlek</c:v>
                </c:pt>
                <c:pt idx="6">
                  <c:v>Fluvius West</c:v>
                </c:pt>
                <c:pt idx="7">
                  <c:v>Fluvius Antwerpen</c:v>
                </c:pt>
                <c:pt idx="8">
                  <c:v>Gaselwest</c:v>
                </c:pt>
              </c:strCache>
            </c:strRef>
          </c:cat>
          <c:val>
            <c:numRef>
              <c:f>'Berekeningsmodel Q G'!$AN$10:$AN$18</c:f>
              <c:numCache>
                <c:formatCode>_-* #,##0.00\ "€"_-;\-* #,##0.00\ "€"_-;_-* "-"??\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CE9-44EC-8012-22AAC38B9B95}"/>
            </c:ext>
          </c:extLst>
        </c:ser>
        <c:dLbls>
          <c:showLegendKey val="0"/>
          <c:showVal val="0"/>
          <c:showCatName val="0"/>
          <c:showSerName val="0"/>
          <c:showPercent val="0"/>
          <c:showBubbleSize val="0"/>
        </c:dLbls>
        <c:gapWidth val="150"/>
        <c:axId val="475526872"/>
        <c:axId val="1"/>
      </c:barChart>
      <c:lineChart>
        <c:grouping val="standard"/>
        <c:varyColors val="0"/>
        <c:ser>
          <c:idx val="0"/>
          <c:order val="1"/>
          <c:tx>
            <c:strRef>
              <c:f>'Berekeningsmodel Q G'!$C$9</c:f>
              <c:strCache>
                <c:ptCount val="1"/>
                <c:pt idx="0">
                  <c:v>Totaal aantal punten voor kwaliteitsprestatie (hoog&gt;laag)</c:v>
                </c:pt>
              </c:strCache>
            </c:strRef>
          </c:tx>
          <c:marker>
            <c:symbol val="none"/>
          </c:marker>
          <c:cat>
            <c:strRef>
              <c:f>'Berekeningsmodel Q G'!$B$10:$B$18</c:f>
              <c:strCache>
                <c:ptCount val="9"/>
                <c:pt idx="0">
                  <c:v>Intergem</c:v>
                </c:pt>
                <c:pt idx="1">
                  <c:v>Sibelgas</c:v>
                </c:pt>
                <c:pt idx="2">
                  <c:v>Fluvius Limburg</c:v>
                </c:pt>
                <c:pt idx="3">
                  <c:v>Iveka</c:v>
                </c:pt>
                <c:pt idx="4">
                  <c:v>Imewo</c:v>
                </c:pt>
                <c:pt idx="5">
                  <c:v>Iverlek</c:v>
                </c:pt>
                <c:pt idx="6">
                  <c:v>Fluvius West</c:v>
                </c:pt>
                <c:pt idx="7">
                  <c:v>Fluvius Antwerpen</c:v>
                </c:pt>
                <c:pt idx="8">
                  <c:v>Gaselwest</c:v>
                </c:pt>
              </c:strCache>
            </c:strRef>
          </c:cat>
          <c:val>
            <c:numRef>
              <c:f>'Berekeningsmodel Q G'!$C$10:$C$18</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8CE9-44EC-8012-22AAC38B9B95}"/>
            </c:ext>
          </c:extLst>
        </c:ser>
        <c:dLbls>
          <c:showLegendKey val="0"/>
          <c:showVal val="0"/>
          <c:showCatName val="0"/>
          <c:showSerName val="0"/>
          <c:showPercent val="0"/>
          <c:showBubbleSize val="0"/>
        </c:dLbls>
        <c:marker val="1"/>
        <c:smooth val="0"/>
        <c:axId val="3"/>
        <c:axId val="4"/>
      </c:lineChart>
      <c:catAx>
        <c:axId val="475526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defRPr/>
                </a:pPr>
                <a:r>
                  <a:rPr lang="nl-BE"/>
                  <a:t>EUR/tp</a:t>
                </a:r>
              </a:p>
            </c:rich>
          </c:tx>
          <c:layout>
            <c:manualLayout>
              <c:xMode val="edge"/>
              <c:yMode val="edge"/>
              <c:x val="1.3219964152272586E-2"/>
              <c:y val="9.0520675945148038E-2"/>
            </c:manualLayout>
          </c:layout>
          <c:overlay val="0"/>
        </c:title>
        <c:numFmt formatCode="_-* #,##0.00\ &quot;€&quot;_-;\-* #,##0.00\ &quot;€&quot;_-;_-* &quot;-&quot;??\ &quot;€&quot;_-;_-@_-" sourceLinked="1"/>
        <c:majorTickMark val="out"/>
        <c:minorTickMark val="none"/>
        <c:tickLblPos val="nextTo"/>
        <c:crossAx val="475526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l-BE"/>
                  <a:t>punten</a:t>
                </a:r>
              </a:p>
            </c:rich>
          </c:tx>
          <c:layout>
            <c:manualLayout>
              <c:xMode val="edge"/>
              <c:yMode val="edge"/>
              <c:x val="0.9113786810057577"/>
              <c:y val="8.7864475208929621E-2"/>
            </c:manualLayout>
          </c:layout>
          <c:overlay val="0"/>
        </c:title>
        <c:numFmt formatCode="#,##0" sourceLinked="0"/>
        <c:majorTickMark val="out"/>
        <c:minorTickMark val="none"/>
        <c:tickLblPos val="nextTo"/>
        <c:crossAx val="3"/>
        <c:crosses val="max"/>
        <c:crossBetween val="between"/>
      </c:valAx>
    </c:plotArea>
    <c:legend>
      <c:legendPos val="r"/>
      <c:layout>
        <c:manualLayout>
          <c:xMode val="edge"/>
          <c:yMode val="edge"/>
          <c:x val="7.569151953056702E-2"/>
          <c:y val="0.93249137265001292"/>
          <c:w val="0.83697353327069302"/>
          <c:h val="5.063301570950296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onderbrekingsduur 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'A2'!$I$8:$I$17</c:f>
              <c:numCache>
                <c:formatCode>[$-F400]h:mm:ss\ AM/PM</c:formatCode>
                <c:ptCount val="10"/>
                <c:pt idx="0">
                  <c:v>0</c:v>
                </c:pt>
                <c:pt idx="1">
                  <c:v>0</c:v>
                </c:pt>
                <c:pt idx="2">
                  <c:v>0</c:v>
                </c:pt>
                <c:pt idx="3">
                  <c:v>0</c:v>
                </c:pt>
                <c:pt idx="4">
                  <c:v>0</c:v>
                </c:pt>
                <c:pt idx="5">
                  <c:v>0</c:v>
                </c:pt>
                <c:pt idx="6">
                  <c:v>0</c:v>
                </c:pt>
                <c:pt idx="7">
                  <c:v>0</c:v>
                </c:pt>
                <c:pt idx="8">
                  <c:v>0</c:v>
                </c:pt>
                <c:pt idx="9">
                  <c:v>0</c:v>
                </c:pt>
              </c:numCache>
            </c:numRef>
          </c:xVal>
          <c:yVal>
            <c:numRef>
              <c:f>'A2'!$O$8:$O$17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E15D-4F7C-9D34-55F66FC0FE1E}"/>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onderbrekingsduur MS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F400]h:mm:ss\ AM/PM"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onderbrekingsfrequentie 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'A3'!$I$8:$I$17</c:f>
              <c:numCache>
                <c:formatCode>0.0000</c:formatCode>
                <c:ptCount val="10"/>
                <c:pt idx="0">
                  <c:v>0</c:v>
                </c:pt>
                <c:pt idx="1">
                  <c:v>0</c:v>
                </c:pt>
                <c:pt idx="2">
                  <c:v>0</c:v>
                </c:pt>
                <c:pt idx="3">
                  <c:v>0</c:v>
                </c:pt>
                <c:pt idx="4">
                  <c:v>0</c:v>
                </c:pt>
                <c:pt idx="5">
                  <c:v>0</c:v>
                </c:pt>
                <c:pt idx="6">
                  <c:v>0</c:v>
                </c:pt>
                <c:pt idx="7">
                  <c:v>0</c:v>
                </c:pt>
                <c:pt idx="8">
                  <c:v>0</c:v>
                </c:pt>
                <c:pt idx="9">
                  <c:v>0</c:v>
                </c:pt>
              </c:numCache>
            </c:numRef>
          </c:xVal>
          <c:yVal>
            <c:numRef>
              <c:f>'A3'!$O$8:$O$17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D310-479A-8B2D-86C8F6105E11}"/>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onderbrekingsfrequentie LS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Punten onderbrekingsduur 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'A4'!$I$8:$I$17</c:f>
              <c:numCache>
                <c:formatCode>[h]:mm:ss</c:formatCode>
                <c:ptCount val="10"/>
                <c:pt idx="0">
                  <c:v>0</c:v>
                </c:pt>
                <c:pt idx="1">
                  <c:v>0</c:v>
                </c:pt>
                <c:pt idx="2">
                  <c:v>0</c:v>
                </c:pt>
                <c:pt idx="3">
                  <c:v>0</c:v>
                </c:pt>
                <c:pt idx="4">
                  <c:v>0</c:v>
                </c:pt>
                <c:pt idx="5">
                  <c:v>0</c:v>
                </c:pt>
                <c:pt idx="6">
                  <c:v>0</c:v>
                </c:pt>
                <c:pt idx="7">
                  <c:v>0</c:v>
                </c:pt>
                <c:pt idx="8">
                  <c:v>0</c:v>
                </c:pt>
                <c:pt idx="9">
                  <c:v>0</c:v>
                </c:pt>
              </c:numCache>
            </c:numRef>
          </c:xVal>
          <c:yVal>
            <c:numRef>
              <c:f>'A4'!$O$8:$O$17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F0DA-4A26-86BD-97C4FB22CFDB}"/>
            </c:ext>
          </c:extLst>
        </c:ser>
        <c:dLbls>
          <c:showLegendKey val="0"/>
          <c:showVal val="0"/>
          <c:showCatName val="0"/>
          <c:showSerName val="0"/>
          <c:showPercent val="0"/>
          <c:showBubbleSize val="0"/>
        </c:dLbls>
        <c:axId val="666698768"/>
        <c:axId val="666694176"/>
      </c:scatterChart>
      <c:valAx>
        <c:axId val="666698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gemid.</a:t>
                </a:r>
                <a:r>
                  <a:rPr lang="nl-BE" baseline="0"/>
                  <a:t> onderbrekingsduur LS (-)</a:t>
                </a:r>
                <a:endParaRPr lang="nl-B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h]:mm:ss"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4176"/>
        <c:crosses val="autoZero"/>
        <c:crossBetween val="midCat"/>
      </c:valAx>
      <c:valAx>
        <c:axId val="666694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Punten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66698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1"/>
          <c:tx>
            <c:strRef>
              <c:f>'D1'!$AB$10</c:f>
              <c:strCache>
                <c:ptCount val="1"/>
                <c:pt idx="0">
                  <c:v>Puntenverdeling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'D1'!$AB$11:$AB$20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6580-4BD7-BBE1-8AD15FEE68ED}"/>
            </c:ext>
          </c:extLst>
        </c:ser>
        <c:dLbls>
          <c:showLegendKey val="0"/>
          <c:showVal val="0"/>
          <c:showCatName val="0"/>
          <c:showSerName val="0"/>
          <c:showPercent val="0"/>
          <c:showBubbleSize val="0"/>
        </c:dLbls>
        <c:axId val="476902104"/>
        <c:axId val="1"/>
      </c:scatterChart>
      <c:scatterChart>
        <c:scatterStyle val="lineMarker"/>
        <c:varyColors val="0"/>
        <c:ser>
          <c:idx val="0"/>
          <c:order val="0"/>
          <c:tx>
            <c:strRef>
              <c:f>'D1'!$Y$10</c:f>
              <c:strCache>
                <c:ptCount val="1"/>
                <c:pt idx="0">
                  <c:v>Gemiddelde EUR/gerealiseerde 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'D1'!$Y$11:$Y$20</c:f>
              <c:numCache>
                <c:formatCode>_-* #,##0.00\ "€"_-;\-* #,##0.00\ "€"_-;_-* "-"??\ "€"_-;_-@_-</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6580-4BD7-BBE1-8AD15FEE68ED}"/>
            </c:ext>
          </c:extLst>
        </c:ser>
        <c:dLbls>
          <c:showLegendKey val="0"/>
          <c:showVal val="0"/>
          <c:showCatName val="0"/>
          <c:showSerName val="0"/>
          <c:showPercent val="0"/>
          <c:showBubbleSize val="0"/>
        </c:dLbls>
        <c:axId val="3"/>
        <c:axId val="4"/>
      </c:scatterChart>
      <c:valAx>
        <c:axId val="476902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6902104"/>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65321100917431196"/>
          <c:y val="0.3836489769094466"/>
          <c:w val="0.33944954128440369"/>
          <c:h val="0.23270511714179548"/>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1"/>
          <c:tx>
            <c:strRef>
              <c:f>'D1'!$AB$29</c:f>
              <c:strCache>
                <c:ptCount val="1"/>
                <c:pt idx="0">
                  <c:v>Puntenverdeling</c:v>
                </c:pt>
              </c:strCache>
            </c:strRef>
          </c:tx>
          <c:spPr>
            <a:ln w="28575">
              <a:noFill/>
            </a:ln>
          </c:spPr>
          <c:xVal>
            <c:strRef>
              <c:f>'D1'!$X$30:$X$38</c:f>
              <c:strCache>
                <c:ptCount val="9"/>
                <c:pt idx="0">
                  <c:v>Gaselwest</c:v>
                </c:pt>
                <c:pt idx="1">
                  <c:v>Fluvius Antwerpen</c:v>
                </c:pt>
                <c:pt idx="2">
                  <c:v>Fluvius Limburg</c:v>
                </c:pt>
                <c:pt idx="3">
                  <c:v>Fluvius West</c:v>
                </c:pt>
                <c:pt idx="4">
                  <c:v>Imewo</c:v>
                </c:pt>
                <c:pt idx="5">
                  <c:v>Intergem</c:v>
                </c:pt>
                <c:pt idx="6">
                  <c:v>Iveka</c:v>
                </c:pt>
                <c:pt idx="7">
                  <c:v>Iverlek</c:v>
                </c:pt>
                <c:pt idx="8">
                  <c:v>Sibelgas</c:v>
                </c:pt>
              </c:strCache>
            </c:strRef>
          </c:xVal>
          <c:yVal>
            <c:numRef>
              <c:f>'D1'!$AB$30:$AB$38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1B72-4370-86D0-2A696791B532}"/>
            </c:ext>
          </c:extLst>
        </c:ser>
        <c:dLbls>
          <c:showLegendKey val="0"/>
          <c:showVal val="0"/>
          <c:showCatName val="0"/>
          <c:showSerName val="0"/>
          <c:showPercent val="0"/>
          <c:showBubbleSize val="0"/>
        </c:dLbls>
        <c:axId val="475191896"/>
        <c:axId val="1"/>
      </c:scatterChart>
      <c:scatterChart>
        <c:scatterStyle val="lineMarker"/>
        <c:varyColors val="0"/>
        <c:ser>
          <c:idx val="0"/>
          <c:order val="0"/>
          <c:tx>
            <c:strRef>
              <c:f>'D1'!$Y$10</c:f>
              <c:strCache>
                <c:ptCount val="1"/>
                <c:pt idx="0">
                  <c:v>Gemiddelde EUR/gerealiseerde 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'D1'!$Y$30:$Y$38</c:f>
              <c:numCache>
                <c:formatCode>_-* #,##0.00\ "€"_-;\-* #,##0.00\ "€"_-;_-* "-"??\ "€"_-;_-@_-</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1B72-4370-86D0-2A696791B532}"/>
            </c:ext>
          </c:extLst>
        </c:ser>
        <c:dLbls>
          <c:showLegendKey val="0"/>
          <c:showVal val="0"/>
          <c:showCatName val="0"/>
          <c:showSerName val="0"/>
          <c:showPercent val="0"/>
          <c:showBubbleSize val="0"/>
        </c:dLbls>
        <c:axId val="3"/>
        <c:axId val="4"/>
      </c:scatterChart>
      <c:valAx>
        <c:axId val="4751918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5191896"/>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65384732330178874"/>
          <c:y val="0.36893320481013858"/>
          <c:w val="0.33882844484826591"/>
          <c:h val="0.25890049460360604"/>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'D2'!$AB$10</c:f>
              <c:strCache>
                <c:ptCount val="1"/>
                <c:pt idx="0">
                  <c:v>Puntenverdeling</c:v>
                </c:pt>
              </c:strCache>
            </c:strRef>
          </c:tx>
          <c:spPr>
            <a:ln w="28575">
              <a:noFill/>
            </a:ln>
          </c:spPr>
          <c:xVal>
            <c:strRef>
              <c:f>'D2'!$X$11:$X$20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'D2'!$AB$11:$AB$20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A8AD-4BDF-AC1B-B08ED501049C}"/>
            </c:ext>
          </c:extLst>
        </c:ser>
        <c:dLbls>
          <c:showLegendKey val="0"/>
          <c:showVal val="0"/>
          <c:showCatName val="0"/>
          <c:showSerName val="0"/>
          <c:showPercent val="0"/>
          <c:showBubbleSize val="0"/>
        </c:dLbls>
        <c:axId val="475187632"/>
        <c:axId val="1"/>
      </c:scatterChart>
      <c:scatterChart>
        <c:scatterStyle val="lineMarker"/>
        <c:varyColors val="0"/>
        <c:ser>
          <c:idx val="0"/>
          <c:order val="1"/>
          <c:tx>
            <c:strRef>
              <c:f>'D2'!$Y$10</c:f>
              <c:strCache>
                <c:ptCount val="1"/>
                <c:pt idx="0">
                  <c:v>Gemiddelde EUR/gerealiseerde heraansluiting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'D2'!$Y$11:$Y$20</c:f>
              <c:numCache>
                <c:formatCode>_-* #,##0.00\ "€"_-;\-* #,##0.00\ "€"_-;_-* "-"??\ "€"_-;_-@_-</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A8AD-4BDF-AC1B-B08ED501049C}"/>
            </c:ext>
          </c:extLst>
        </c:ser>
        <c:dLbls>
          <c:showLegendKey val="0"/>
          <c:showVal val="0"/>
          <c:showCatName val="0"/>
          <c:showSerName val="0"/>
          <c:showPercent val="0"/>
          <c:showBubbleSize val="0"/>
        </c:dLbls>
        <c:axId val="3"/>
        <c:axId val="4"/>
      </c:scatterChart>
      <c:valAx>
        <c:axId val="475187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5187632"/>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76697247706422023"/>
          <c:y val="0.31849368326881433"/>
          <c:w val="0.22568807339449543"/>
          <c:h val="0.35958964240027425"/>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'D2'!$AB$29</c:f>
              <c:strCache>
                <c:ptCount val="1"/>
                <c:pt idx="0">
                  <c:v>Puntenverdeling</c:v>
                </c:pt>
              </c:strCache>
            </c:strRef>
          </c:tx>
          <c:spPr>
            <a:ln w="28575">
              <a:noFill/>
            </a:ln>
          </c:spPr>
          <c:xVal>
            <c:strRef>
              <c:f>'D2'!$X$30:$X$38</c:f>
              <c:strCache>
                <c:ptCount val="9"/>
                <c:pt idx="0">
                  <c:v>Gaselwest</c:v>
                </c:pt>
                <c:pt idx="1">
                  <c:v>Fluvius Antwerpen</c:v>
                </c:pt>
                <c:pt idx="2">
                  <c:v>Fluvius Limburg</c:v>
                </c:pt>
                <c:pt idx="3">
                  <c:v>Fluvius West</c:v>
                </c:pt>
                <c:pt idx="4">
                  <c:v>Imewo</c:v>
                </c:pt>
                <c:pt idx="5">
                  <c:v>Intergem</c:v>
                </c:pt>
                <c:pt idx="6">
                  <c:v>Iveka</c:v>
                </c:pt>
                <c:pt idx="7">
                  <c:v>Iverlek</c:v>
                </c:pt>
                <c:pt idx="8">
                  <c:v>Sibelgas</c:v>
                </c:pt>
              </c:strCache>
            </c:strRef>
          </c:xVal>
          <c:yVal>
            <c:numRef>
              <c:f>'D2'!$AB$30:$AB$38</c:f>
              <c:numCache>
                <c:formatCode>#,##0.00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5332-42EA-BA0D-CC5AA354675F}"/>
            </c:ext>
          </c:extLst>
        </c:ser>
        <c:dLbls>
          <c:showLegendKey val="0"/>
          <c:showVal val="0"/>
          <c:showCatName val="0"/>
          <c:showSerName val="0"/>
          <c:showPercent val="0"/>
          <c:showBubbleSize val="0"/>
        </c:dLbls>
        <c:axId val="474869448"/>
        <c:axId val="1"/>
      </c:scatterChart>
      <c:scatterChart>
        <c:scatterStyle val="lineMarker"/>
        <c:varyColors val="0"/>
        <c:ser>
          <c:idx val="0"/>
          <c:order val="1"/>
          <c:tx>
            <c:strRef>
              <c:f>'D2'!$Y$29</c:f>
              <c:strCache>
                <c:ptCount val="1"/>
                <c:pt idx="0">
                  <c:v>Gemiddelde EUR/gerealiseerde heraansluiting</c:v>
                </c:pt>
              </c:strCache>
            </c:strRef>
          </c:tx>
          <c:spPr>
            <a:ln w="28575">
              <a:noFill/>
            </a:ln>
          </c:spPr>
          <c:xVal>
            <c:strRef>
              <c:f>'D1'!$X$11:$X$20</c:f>
              <c:strCache>
                <c:ptCount val="10"/>
                <c:pt idx="0">
                  <c:v>Gaselwest</c:v>
                </c:pt>
                <c:pt idx="1">
                  <c:v>Fluvius Antwerpen</c:v>
                </c:pt>
                <c:pt idx="2">
                  <c:v>Fluvius Limburg</c:v>
                </c:pt>
                <c:pt idx="3">
                  <c:v>Fluvius West</c:v>
                </c:pt>
                <c:pt idx="4">
                  <c:v>Imewo</c:v>
                </c:pt>
                <c:pt idx="5">
                  <c:v>Intergem</c:v>
                </c:pt>
                <c:pt idx="6">
                  <c:v>Iveka</c:v>
                </c:pt>
                <c:pt idx="7">
                  <c:v>Iverlek</c:v>
                </c:pt>
                <c:pt idx="8">
                  <c:v>PBE</c:v>
                </c:pt>
                <c:pt idx="9">
                  <c:v>Sibelgas</c:v>
                </c:pt>
              </c:strCache>
            </c:strRef>
          </c:xVal>
          <c:yVal>
            <c:numRef>
              <c:f>'D2'!$Y$30:$Y$38</c:f>
              <c:numCache>
                <c:formatCode>_-* #,##0.00\ "€"_-;\-* #,##0.00\ "€"_-;_-* "-"??\ "€"_-;_-@_-</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5332-42EA-BA0D-CC5AA354675F}"/>
            </c:ext>
          </c:extLst>
        </c:ser>
        <c:dLbls>
          <c:showLegendKey val="0"/>
          <c:showVal val="0"/>
          <c:showCatName val="0"/>
          <c:showSerName val="0"/>
          <c:showPercent val="0"/>
          <c:showBubbleSize val="0"/>
        </c:dLbls>
        <c:axId val="3"/>
        <c:axId val="4"/>
      </c:scatterChart>
      <c:valAx>
        <c:axId val="4748694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BE"/>
          </a:p>
        </c:txPr>
        <c:crossAx val="1"/>
        <c:crosses val="autoZero"/>
        <c:crossBetween val="midCat"/>
      </c:valAx>
      <c:valAx>
        <c:axId val="1"/>
        <c:scaling>
          <c:orientation val="minMax"/>
        </c:scaling>
        <c:delete val="0"/>
        <c:axPos val="l"/>
        <c:majorGridlines/>
        <c:numFmt formatCode="#,##0.00" sourceLinked="1"/>
        <c:majorTickMark val="out"/>
        <c:minorTickMark val="none"/>
        <c:tickLblPos val="nextTo"/>
        <c:crossAx val="474869448"/>
        <c:crosses val="autoZero"/>
        <c:crossBetween val="midCat"/>
      </c:valAx>
      <c:valAx>
        <c:axId val="3"/>
        <c:scaling>
          <c:orientation val="minMax"/>
        </c:scaling>
        <c:delete val="1"/>
        <c:axPos val="b"/>
        <c:numFmt formatCode="General" sourceLinked="1"/>
        <c:majorTickMark val="out"/>
        <c:minorTickMark val="none"/>
        <c:tickLblPos val="nextTo"/>
        <c:crossAx val="4"/>
        <c:crosses val="autoZero"/>
        <c:crossBetween val="midCat"/>
      </c:valAx>
      <c:valAx>
        <c:axId val="4"/>
        <c:scaling>
          <c:orientation val="minMax"/>
        </c:scaling>
        <c:delete val="0"/>
        <c:axPos val="r"/>
        <c:numFmt formatCode="_-* #,##0.00\ &quot;€&quot;_-;\-* #,##0.00\ &quot;€&quot;_-;_-* &quot;-&quot;??\ &quot;€&quot;_-;_-@_-" sourceLinked="1"/>
        <c:majorTickMark val="out"/>
        <c:minorTickMark val="none"/>
        <c:tickLblPos val="nextTo"/>
        <c:crossAx val="3"/>
        <c:crosses val="max"/>
        <c:crossBetween val="midCat"/>
      </c:valAx>
    </c:plotArea>
    <c:legend>
      <c:legendPos val="r"/>
      <c:layout>
        <c:manualLayout>
          <c:xMode val="edge"/>
          <c:yMode val="edge"/>
          <c:x val="0.76740063995364005"/>
          <c:y val="0.32038936207196245"/>
          <c:w val="0.22527512819641463"/>
          <c:h val="0.3624606924450484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BE"/>
              <a:t>kwaliteitsprestatie en impact q-factor </a:t>
            </a:r>
          </a:p>
          <a:p>
            <a:pPr>
              <a:defRPr/>
            </a:pPr>
            <a:r>
              <a:rPr lang="nl-BE"/>
              <a:t>per toegangspunt elek/jaar</a:t>
            </a:r>
          </a:p>
        </c:rich>
      </c:tx>
      <c:overlay val="0"/>
    </c:title>
    <c:autoTitleDeleted val="0"/>
    <c:plotArea>
      <c:layout>
        <c:manualLayout>
          <c:layoutTarget val="inner"/>
          <c:xMode val="edge"/>
          <c:yMode val="edge"/>
          <c:x val="8.5100637207884425E-2"/>
          <c:y val="0.17012617872317998"/>
          <c:w val="0.8325181236198167"/>
          <c:h val="0.73641983532121691"/>
        </c:manualLayout>
      </c:layout>
      <c:barChart>
        <c:barDir val="col"/>
        <c:grouping val="clustered"/>
        <c:varyColors val="0"/>
        <c:ser>
          <c:idx val="4"/>
          <c:order val="0"/>
          <c:tx>
            <c:strRef>
              <c:f>'Berekeningsmodel Q E'!$AN$9</c:f>
              <c:strCache>
                <c:ptCount val="1"/>
                <c:pt idx="0">
                  <c:v>Impact per toegangspunt</c:v>
                </c:pt>
              </c:strCache>
            </c:strRef>
          </c:tx>
          <c:invertIfNegative val="0"/>
          <c:cat>
            <c:strRef>
              <c:f>'Berekeningsmodel Q E'!$B$10:$B$19</c:f>
              <c:strCache>
                <c:ptCount val="10"/>
                <c:pt idx="0">
                  <c:v>Fluvius Limburg</c:v>
                </c:pt>
                <c:pt idx="1">
                  <c:v>Gaselwest</c:v>
                </c:pt>
                <c:pt idx="2">
                  <c:v>Imewo</c:v>
                </c:pt>
                <c:pt idx="3">
                  <c:v>Fluvius Antwerpen</c:v>
                </c:pt>
                <c:pt idx="4">
                  <c:v>Iveka</c:v>
                </c:pt>
                <c:pt idx="5">
                  <c:v>Intergem</c:v>
                </c:pt>
                <c:pt idx="6">
                  <c:v>Fluvius West</c:v>
                </c:pt>
                <c:pt idx="7">
                  <c:v>Iverlek</c:v>
                </c:pt>
                <c:pt idx="8">
                  <c:v>PBE</c:v>
                </c:pt>
                <c:pt idx="9">
                  <c:v>Sibelgas</c:v>
                </c:pt>
              </c:strCache>
            </c:strRef>
          </c:cat>
          <c:val>
            <c:numRef>
              <c:f>'Berekeningsmodel Q E'!$AN$10:$AN$19</c:f>
              <c:numCache>
                <c:formatCode>_-* #,##0.00\ "€"_-;\-* #,##0.00\ "€"_-;_-* "-"??\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D66-4490-AA06-2008481478C3}"/>
            </c:ext>
          </c:extLst>
        </c:ser>
        <c:dLbls>
          <c:showLegendKey val="0"/>
          <c:showVal val="0"/>
          <c:showCatName val="0"/>
          <c:showSerName val="0"/>
          <c:showPercent val="0"/>
          <c:showBubbleSize val="0"/>
        </c:dLbls>
        <c:gapWidth val="150"/>
        <c:axId val="475524576"/>
        <c:axId val="1"/>
      </c:barChart>
      <c:lineChart>
        <c:grouping val="standard"/>
        <c:varyColors val="0"/>
        <c:ser>
          <c:idx val="0"/>
          <c:order val="1"/>
          <c:tx>
            <c:strRef>
              <c:f>'Berekeningsmodel Q E'!$C$9</c:f>
              <c:strCache>
                <c:ptCount val="1"/>
                <c:pt idx="0">
                  <c:v>Totaal aantal punten voor kwaliteitsprestatie (hoog&gt;laag)</c:v>
                </c:pt>
              </c:strCache>
            </c:strRef>
          </c:tx>
          <c:marker>
            <c:symbol val="none"/>
          </c:marker>
          <c:cat>
            <c:strRef>
              <c:f>'Berekeningsmodel Q E'!$B$10:$B$19</c:f>
              <c:strCache>
                <c:ptCount val="10"/>
                <c:pt idx="0">
                  <c:v>Fluvius Limburg</c:v>
                </c:pt>
                <c:pt idx="1">
                  <c:v>Gaselwest</c:v>
                </c:pt>
                <c:pt idx="2">
                  <c:v>Imewo</c:v>
                </c:pt>
                <c:pt idx="3">
                  <c:v>Fluvius Antwerpen</c:v>
                </c:pt>
                <c:pt idx="4">
                  <c:v>Iveka</c:v>
                </c:pt>
                <c:pt idx="5">
                  <c:v>Intergem</c:v>
                </c:pt>
                <c:pt idx="6">
                  <c:v>Fluvius West</c:v>
                </c:pt>
                <c:pt idx="7">
                  <c:v>Iverlek</c:v>
                </c:pt>
                <c:pt idx="8">
                  <c:v>PBE</c:v>
                </c:pt>
                <c:pt idx="9">
                  <c:v>Sibelgas</c:v>
                </c:pt>
              </c:strCache>
            </c:strRef>
          </c:cat>
          <c:val>
            <c:numRef>
              <c:f>'Berekeningsmodel Q E'!$C$10:$C$19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5D66-4490-AA06-2008481478C3}"/>
            </c:ext>
          </c:extLst>
        </c:ser>
        <c:dLbls>
          <c:showLegendKey val="0"/>
          <c:showVal val="0"/>
          <c:showCatName val="0"/>
          <c:showSerName val="0"/>
          <c:showPercent val="0"/>
          <c:showBubbleSize val="0"/>
        </c:dLbls>
        <c:marker val="1"/>
        <c:smooth val="0"/>
        <c:axId val="3"/>
        <c:axId val="4"/>
      </c:lineChart>
      <c:catAx>
        <c:axId val="475524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defRPr/>
                </a:pPr>
                <a:r>
                  <a:rPr lang="nl-BE"/>
                  <a:t>EUR/tp</a:t>
                </a:r>
              </a:p>
            </c:rich>
          </c:tx>
          <c:layout>
            <c:manualLayout>
              <c:xMode val="edge"/>
              <c:yMode val="edge"/>
              <c:x val="1.3220019302519918E-2"/>
              <c:y val="9.0520675945148038E-2"/>
            </c:manualLayout>
          </c:layout>
          <c:overlay val="0"/>
        </c:title>
        <c:numFmt formatCode="_-* #,##0.00\ &quot;€&quot;_-;\-* #,##0.00\ &quot;€&quot;_-;_-* &quot;-&quot;??\ &quot;€&quot;_-;_-@_-" sourceLinked="1"/>
        <c:majorTickMark val="out"/>
        <c:minorTickMark val="none"/>
        <c:tickLblPos val="nextTo"/>
        <c:crossAx val="475524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l-BE"/>
                  <a:t>punten</a:t>
                </a:r>
              </a:p>
            </c:rich>
          </c:tx>
          <c:layout>
            <c:manualLayout>
              <c:xMode val="edge"/>
              <c:yMode val="edge"/>
              <c:x val="0.9113786295210855"/>
              <c:y val="8.7864475208929621E-2"/>
            </c:manualLayout>
          </c:layout>
          <c:overlay val="0"/>
        </c:title>
        <c:numFmt formatCode="#,##0" sourceLinked="0"/>
        <c:majorTickMark val="out"/>
        <c:minorTickMark val="none"/>
        <c:tickLblPos val="nextTo"/>
        <c:crossAx val="3"/>
        <c:crosses val="max"/>
        <c:crossBetween val="between"/>
      </c:valAx>
    </c:plotArea>
    <c:legend>
      <c:legendPos val="r"/>
      <c:layout>
        <c:manualLayout>
          <c:xMode val="edge"/>
          <c:yMode val="edge"/>
          <c:x val="8.5014469035981574E-2"/>
          <c:y val="0.93249137265001292"/>
          <c:w val="0.82853084229982032"/>
          <c:h val="5.063301570950296E-2"/>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296332</xdr:colOff>
      <xdr:row>4</xdr:row>
      <xdr:rowOff>152400</xdr:rowOff>
    </xdr:from>
    <xdr:to>
      <xdr:col>22</xdr:col>
      <xdr:colOff>497415</xdr:colOff>
      <xdr:row>19</xdr:row>
      <xdr:rowOff>122766</xdr:rowOff>
    </xdr:to>
    <xdr:graphicFrame macro="">
      <xdr:nvGraphicFramePr>
        <xdr:cNvPr id="2" name="Grafiek 1">
          <a:extLst>
            <a:ext uri="{FF2B5EF4-FFF2-40B4-BE49-F238E27FC236}">
              <a16:creationId xmlns:a16="http://schemas.microsoft.com/office/drawing/2014/main" id="{7AE7594A-5DD9-46B2-86AB-BF7F3C04E5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275167</xdr:colOff>
      <xdr:row>5</xdr:row>
      <xdr:rowOff>0</xdr:rowOff>
    </xdr:from>
    <xdr:to>
      <xdr:col>22</xdr:col>
      <xdr:colOff>402167</xdr:colOff>
      <xdr:row>19</xdr:row>
      <xdr:rowOff>2117</xdr:rowOff>
    </xdr:to>
    <xdr:graphicFrame macro="">
      <xdr:nvGraphicFramePr>
        <xdr:cNvPr id="3" name="Grafiek 2">
          <a:extLst>
            <a:ext uri="{FF2B5EF4-FFF2-40B4-BE49-F238E27FC236}">
              <a16:creationId xmlns:a16="http://schemas.microsoft.com/office/drawing/2014/main" id="{0EDFEDCC-9215-4A38-A8E2-C2D4BD6B8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5</xdr:row>
      <xdr:rowOff>0</xdr:rowOff>
    </xdr:from>
    <xdr:to>
      <xdr:col>23</xdr:col>
      <xdr:colOff>201084</xdr:colOff>
      <xdr:row>19</xdr:row>
      <xdr:rowOff>2117</xdr:rowOff>
    </xdr:to>
    <xdr:graphicFrame macro="">
      <xdr:nvGraphicFramePr>
        <xdr:cNvPr id="3" name="Grafiek 2">
          <a:extLst>
            <a:ext uri="{FF2B5EF4-FFF2-40B4-BE49-F238E27FC236}">
              <a16:creationId xmlns:a16="http://schemas.microsoft.com/office/drawing/2014/main" id="{21DD32B0-862A-46D1-875E-F2ABBC804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5</xdr:row>
      <xdr:rowOff>0</xdr:rowOff>
    </xdr:from>
    <xdr:to>
      <xdr:col>22</xdr:col>
      <xdr:colOff>137584</xdr:colOff>
      <xdr:row>19</xdr:row>
      <xdr:rowOff>2117</xdr:rowOff>
    </xdr:to>
    <xdr:graphicFrame macro="">
      <xdr:nvGraphicFramePr>
        <xdr:cNvPr id="3" name="Grafiek 2">
          <a:extLst>
            <a:ext uri="{FF2B5EF4-FFF2-40B4-BE49-F238E27FC236}">
              <a16:creationId xmlns:a16="http://schemas.microsoft.com/office/drawing/2014/main" id="{74F899BD-5238-44C3-8853-3D80FF1F2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142875</xdr:colOff>
      <xdr:row>9</xdr:row>
      <xdr:rowOff>257175</xdr:rowOff>
    </xdr:from>
    <xdr:to>
      <xdr:col>37</xdr:col>
      <xdr:colOff>457200</xdr:colOff>
      <xdr:row>21</xdr:row>
      <xdr:rowOff>19050</xdr:rowOff>
    </xdr:to>
    <xdr:graphicFrame macro="">
      <xdr:nvGraphicFramePr>
        <xdr:cNvPr id="575625" name="Grafiek 2">
          <a:extLst>
            <a:ext uri="{FF2B5EF4-FFF2-40B4-BE49-F238E27FC236}">
              <a16:creationId xmlns:a16="http://schemas.microsoft.com/office/drawing/2014/main" id="{00000000-0008-0000-0600-000089C8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0</xdr:colOff>
      <xdr:row>28</xdr:row>
      <xdr:rowOff>0</xdr:rowOff>
    </xdr:from>
    <xdr:to>
      <xdr:col>37</xdr:col>
      <xdr:colOff>323850</xdr:colOff>
      <xdr:row>39</xdr:row>
      <xdr:rowOff>104775</xdr:rowOff>
    </xdr:to>
    <xdr:graphicFrame macro="">
      <xdr:nvGraphicFramePr>
        <xdr:cNvPr id="575626" name="Grafiek 3">
          <a:extLst>
            <a:ext uri="{FF2B5EF4-FFF2-40B4-BE49-F238E27FC236}">
              <a16:creationId xmlns:a16="http://schemas.microsoft.com/office/drawing/2014/main" id="{00000000-0008-0000-0600-00008AC8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29</xdr:col>
      <xdr:colOff>523875</xdr:colOff>
      <xdr:row>9</xdr:row>
      <xdr:rowOff>361950</xdr:rowOff>
    </xdr:from>
    <xdr:to>
      <xdr:col>38</xdr:col>
      <xdr:colOff>228600</xdr:colOff>
      <xdr:row>20</xdr:row>
      <xdr:rowOff>47625</xdr:rowOff>
    </xdr:to>
    <xdr:graphicFrame macro="">
      <xdr:nvGraphicFramePr>
        <xdr:cNvPr id="1404037" name="Grafiek 1">
          <a:extLst>
            <a:ext uri="{FF2B5EF4-FFF2-40B4-BE49-F238E27FC236}">
              <a16:creationId xmlns:a16="http://schemas.microsoft.com/office/drawing/2014/main" id="{00000000-0008-0000-0700-0000856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552450</xdr:colOff>
      <xdr:row>28</xdr:row>
      <xdr:rowOff>228600</xdr:rowOff>
    </xdr:from>
    <xdr:to>
      <xdr:col>38</xdr:col>
      <xdr:colOff>266700</xdr:colOff>
      <xdr:row>39</xdr:row>
      <xdr:rowOff>104775</xdr:rowOff>
    </xdr:to>
    <xdr:graphicFrame macro="">
      <xdr:nvGraphicFramePr>
        <xdr:cNvPr id="1404038" name="Grafiek 2">
          <a:extLst>
            <a:ext uri="{FF2B5EF4-FFF2-40B4-BE49-F238E27FC236}">
              <a16:creationId xmlns:a16="http://schemas.microsoft.com/office/drawing/2014/main" id="{00000000-0008-0000-0700-0000866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592667</xdr:colOff>
      <xdr:row>15</xdr:row>
      <xdr:rowOff>52917</xdr:rowOff>
    </xdr:from>
    <xdr:to>
      <xdr:col>11</xdr:col>
      <xdr:colOff>328084</xdr:colOff>
      <xdr:row>18</xdr:row>
      <xdr:rowOff>105834</xdr:rowOff>
    </xdr:to>
    <xdr:sp macro="" textlink="">
      <xdr:nvSpPr>
        <xdr:cNvPr id="2" name="Pijl: rechts 1">
          <a:extLst>
            <a:ext uri="{FF2B5EF4-FFF2-40B4-BE49-F238E27FC236}">
              <a16:creationId xmlns:a16="http://schemas.microsoft.com/office/drawing/2014/main" id="{4A7736ED-6983-4020-8D7B-2D1B463E8C0B}"/>
            </a:ext>
          </a:extLst>
        </xdr:cNvPr>
        <xdr:cNvSpPr/>
      </xdr:nvSpPr>
      <xdr:spPr>
        <a:xfrm>
          <a:off x="8720667" y="2963334"/>
          <a:ext cx="1301750" cy="5291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9</xdr:col>
      <xdr:colOff>592667</xdr:colOff>
      <xdr:row>33</xdr:row>
      <xdr:rowOff>4234</xdr:rowOff>
    </xdr:from>
    <xdr:to>
      <xdr:col>11</xdr:col>
      <xdr:colOff>328084</xdr:colOff>
      <xdr:row>36</xdr:row>
      <xdr:rowOff>57151</xdr:rowOff>
    </xdr:to>
    <xdr:sp macro="" textlink="">
      <xdr:nvSpPr>
        <xdr:cNvPr id="4" name="Pijl: rechts 3">
          <a:extLst>
            <a:ext uri="{FF2B5EF4-FFF2-40B4-BE49-F238E27FC236}">
              <a16:creationId xmlns:a16="http://schemas.microsoft.com/office/drawing/2014/main" id="{7EA66146-6FA9-48D4-9CB0-C6B3E96F27F4}"/>
            </a:ext>
          </a:extLst>
        </xdr:cNvPr>
        <xdr:cNvSpPr/>
      </xdr:nvSpPr>
      <xdr:spPr>
        <a:xfrm>
          <a:off x="8720667" y="5825067"/>
          <a:ext cx="1301750" cy="5291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15</xdr:col>
      <xdr:colOff>201084</xdr:colOff>
      <xdr:row>14</xdr:row>
      <xdr:rowOff>74083</xdr:rowOff>
    </xdr:from>
    <xdr:to>
      <xdr:col>15</xdr:col>
      <xdr:colOff>201084</xdr:colOff>
      <xdr:row>22</xdr:row>
      <xdr:rowOff>84666</xdr:rowOff>
    </xdr:to>
    <xdr:cxnSp macro="">
      <xdr:nvCxnSpPr>
        <xdr:cNvPr id="5" name="Rechte verbindingslijn met pijl 4">
          <a:extLst>
            <a:ext uri="{FF2B5EF4-FFF2-40B4-BE49-F238E27FC236}">
              <a16:creationId xmlns:a16="http://schemas.microsoft.com/office/drawing/2014/main" id="{7CFD6668-024B-4B3E-BFE0-22966E65C0E6}"/>
            </a:ext>
          </a:extLst>
        </xdr:cNvPr>
        <xdr:cNvCxnSpPr/>
      </xdr:nvCxnSpPr>
      <xdr:spPr>
        <a:xfrm>
          <a:off x="12848167" y="2825750"/>
          <a:ext cx="0" cy="128058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184151</xdr:colOff>
      <xdr:row>32</xdr:row>
      <xdr:rowOff>110067</xdr:rowOff>
    </xdr:from>
    <xdr:to>
      <xdr:col>15</xdr:col>
      <xdr:colOff>184151</xdr:colOff>
      <xdr:row>38</xdr:row>
      <xdr:rowOff>57567</xdr:rowOff>
    </xdr:to>
    <xdr:cxnSp macro="">
      <xdr:nvCxnSpPr>
        <xdr:cNvPr id="7" name="Rechte verbindingslijn met pijl 6">
          <a:extLst>
            <a:ext uri="{FF2B5EF4-FFF2-40B4-BE49-F238E27FC236}">
              <a16:creationId xmlns:a16="http://schemas.microsoft.com/office/drawing/2014/main" id="{0C77E376-90C3-427C-9157-2BA0DD5A0190}"/>
            </a:ext>
          </a:extLst>
        </xdr:cNvPr>
        <xdr:cNvCxnSpPr/>
      </xdr:nvCxnSpPr>
      <xdr:spPr>
        <a:xfrm>
          <a:off x="12831234" y="5772150"/>
          <a:ext cx="0" cy="900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1138767</xdr:colOff>
      <xdr:row>23</xdr:row>
      <xdr:rowOff>49742</xdr:rowOff>
    </xdr:from>
    <xdr:to>
      <xdr:col>40</xdr:col>
      <xdr:colOff>6350</xdr:colOff>
      <xdr:row>51</xdr:row>
      <xdr:rowOff>30692</xdr:rowOff>
    </xdr:to>
    <xdr:graphicFrame macro="">
      <xdr:nvGraphicFramePr>
        <xdr:cNvPr id="12572" name="Grafiek 2">
          <a:extLst>
            <a:ext uri="{FF2B5EF4-FFF2-40B4-BE49-F238E27FC236}">
              <a16:creationId xmlns:a16="http://schemas.microsoft.com/office/drawing/2014/main" id="{00000000-0008-0000-0A00-00001C3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35</xdr:col>
      <xdr:colOff>69850</xdr:colOff>
      <xdr:row>21</xdr:row>
      <xdr:rowOff>39159</xdr:rowOff>
    </xdr:from>
    <xdr:to>
      <xdr:col>39</xdr:col>
      <xdr:colOff>1064683</xdr:colOff>
      <xdr:row>49</xdr:row>
      <xdr:rowOff>20109</xdr:rowOff>
    </xdr:to>
    <xdr:graphicFrame macro="">
      <xdr:nvGraphicFramePr>
        <xdr:cNvPr id="1952916" name="Grafiek 2">
          <a:extLst>
            <a:ext uri="{FF2B5EF4-FFF2-40B4-BE49-F238E27FC236}">
              <a16:creationId xmlns:a16="http://schemas.microsoft.com/office/drawing/2014/main" id="{00000000-0008-0000-0B00-000094CC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dimension ref="A1:B22"/>
  <sheetViews>
    <sheetView tabSelected="1" zoomScaleNormal="100" workbookViewId="0"/>
  </sheetViews>
  <sheetFormatPr defaultColWidth="9.140625" defaultRowHeight="15" x14ac:dyDescent="0.25"/>
  <cols>
    <col min="1" max="1" width="149.5703125" style="124" customWidth="1"/>
    <col min="2" max="2" width="10.7109375" style="124" bestFit="1" customWidth="1"/>
    <col min="3" max="16384" width="9.140625" style="124"/>
  </cols>
  <sheetData>
    <row r="1" spans="1:2" ht="15.75" thickBot="1" x14ac:dyDescent="0.3">
      <c r="A1" s="228" t="s">
        <v>87</v>
      </c>
      <c r="B1" s="299">
        <v>44056</v>
      </c>
    </row>
    <row r="2" spans="1:2" x14ac:dyDescent="0.25">
      <c r="A2" s="145"/>
      <c r="B2" s="231"/>
    </row>
    <row r="3" spans="1:2" x14ac:dyDescent="0.25">
      <c r="A3" s="147" t="s">
        <v>88</v>
      </c>
    </row>
    <row r="4" spans="1:2" x14ac:dyDescent="0.25">
      <c r="A4" s="146" t="s">
        <v>145</v>
      </c>
    </row>
    <row r="5" spans="1:2" x14ac:dyDescent="0.25">
      <c r="A5" s="146" t="s">
        <v>146</v>
      </c>
    </row>
    <row r="6" spans="1:2" x14ac:dyDescent="0.25">
      <c r="A6" s="146" t="s">
        <v>147</v>
      </c>
    </row>
    <row r="7" spans="1:2" x14ac:dyDescent="0.25">
      <c r="A7" s="147" t="s">
        <v>181</v>
      </c>
    </row>
    <row r="8" spans="1:2" x14ac:dyDescent="0.25">
      <c r="A8" s="146" t="s">
        <v>90</v>
      </c>
    </row>
    <row r="9" spans="1:2" x14ac:dyDescent="0.25">
      <c r="A9" s="146" t="s">
        <v>180</v>
      </c>
    </row>
    <row r="10" spans="1:2" x14ac:dyDescent="0.25">
      <c r="A10" s="145" t="s">
        <v>182</v>
      </c>
    </row>
    <row r="11" spans="1:2" x14ac:dyDescent="0.25">
      <c r="A11" s="148" t="s">
        <v>89</v>
      </c>
    </row>
    <row r="12" spans="1:2" x14ac:dyDescent="0.25">
      <c r="A12" s="148" t="s">
        <v>148</v>
      </c>
    </row>
    <row r="13" spans="1:2" x14ac:dyDescent="0.25">
      <c r="A13" s="147" t="s">
        <v>183</v>
      </c>
    </row>
    <row r="14" spans="1:2" x14ac:dyDescent="0.25">
      <c r="A14" s="146" t="s">
        <v>184</v>
      </c>
    </row>
    <row r="15" spans="1:2" x14ac:dyDescent="0.25">
      <c r="A15" s="147" t="s">
        <v>186</v>
      </c>
    </row>
    <row r="16" spans="1:2" x14ac:dyDescent="0.25">
      <c r="A16" s="146" t="s">
        <v>187</v>
      </c>
    </row>
    <row r="17" spans="1:1" x14ac:dyDescent="0.25">
      <c r="A17" s="147" t="s">
        <v>185</v>
      </c>
    </row>
    <row r="18" spans="1:1" x14ac:dyDescent="0.25">
      <c r="A18" s="146" t="s">
        <v>187</v>
      </c>
    </row>
    <row r="21" spans="1:1" x14ac:dyDescent="0.25">
      <c r="A21" s="230"/>
    </row>
    <row r="22" spans="1:1" x14ac:dyDescent="0.25">
      <c r="A22" s="230"/>
    </row>
  </sheetData>
  <hyperlinks>
    <hyperlink ref="A3" location="'Q%'!A1" display="1. Tabblad 'Q%': " xr:uid="{00000000-0004-0000-0000-000000000000}"/>
    <hyperlink ref="A11" location="'A1'!A1" display="a. Tabbladen 'A1', 'A2' ,'A3' en 'A4' volgens rapportering distributienetbeheerders;" xr:uid="{00000000-0004-0000-0000-000001000000}"/>
    <hyperlink ref="A12" location="'D1'!A1" display="b. Tabbladen 'D1' en 'D2' volgens rapportering distributienetbeheerders;" xr:uid="{00000000-0004-0000-0000-000002000000}"/>
    <hyperlink ref="A7" location="Data!A1" display="2. Tabblad 'Data'" xr:uid="{00000000-0004-0000-0000-000003000000}"/>
    <hyperlink ref="A13" location="Sorteren!A1" display="4. Tabblad 'Totaalscore': " xr:uid="{00000000-0004-0000-0000-000004000000}"/>
    <hyperlink ref="A15" location="'Berekeningsmodel Q E'!A1" display="6. Tabblad Berekeningsmodel Q E" xr:uid="{00000000-0004-0000-0000-000005000000}"/>
    <hyperlink ref="A17" location="'Berekeningsmodel Q G'!A1" display="7.  Tabblad Berekeningsmodel Q G" xr:uid="{00000000-0004-0000-0000-00000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3" tint="0.79998168889431442"/>
  </sheetPr>
  <dimension ref="A1:P40"/>
  <sheetViews>
    <sheetView zoomScale="90" zoomScaleNormal="90" workbookViewId="0"/>
  </sheetViews>
  <sheetFormatPr defaultColWidth="9.140625" defaultRowHeight="12.75" x14ac:dyDescent="0.2"/>
  <cols>
    <col min="1" max="1" width="9.140625" style="4"/>
    <col min="2" max="2" width="30.42578125" style="4" customWidth="1"/>
    <col min="3" max="12" width="11.7109375" style="4" customWidth="1"/>
    <col min="13" max="13" width="20.7109375" style="4" bestFit="1" customWidth="1"/>
    <col min="14" max="14" width="11.7109375" style="4" customWidth="1"/>
    <col min="15" max="16384" width="9.140625" style="4"/>
  </cols>
  <sheetData>
    <row r="1" spans="1:16" ht="13.5" thickBot="1" x14ac:dyDescent="0.25">
      <c r="A1" s="55" t="s">
        <v>49</v>
      </c>
      <c r="B1" s="56"/>
      <c r="C1" s="56"/>
      <c r="D1" s="56"/>
      <c r="E1" s="56"/>
      <c r="F1" s="57"/>
    </row>
    <row r="3" spans="1:16" x14ac:dyDescent="0.2">
      <c r="B3" s="4" t="s">
        <v>38</v>
      </c>
    </row>
    <row r="4" spans="1:16" x14ac:dyDescent="0.2">
      <c r="B4" s="4" t="s">
        <v>39</v>
      </c>
    </row>
    <row r="5" spans="1:16" x14ac:dyDescent="0.2">
      <c r="B5" s="4" t="s">
        <v>40</v>
      </c>
    </row>
    <row r="6" spans="1:16" x14ac:dyDescent="0.2">
      <c r="B6" s="4" t="s">
        <v>41</v>
      </c>
    </row>
    <row r="10" spans="1:16" s="58" customFormat="1" x14ac:dyDescent="0.2">
      <c r="B10" s="59" t="s">
        <v>42</v>
      </c>
      <c r="C10" s="59"/>
    </row>
    <row r="11" spans="1:16" x14ac:dyDescent="0.2">
      <c r="B11" s="41"/>
      <c r="C11" s="41"/>
    </row>
    <row r="12" spans="1:16" ht="13.5" thickBot="1" x14ac:dyDescent="0.25">
      <c r="M12" s="4" t="s">
        <v>174</v>
      </c>
    </row>
    <row r="13" spans="1:16" ht="15" customHeight="1" thickBot="1" x14ac:dyDescent="0.25">
      <c r="B13" s="41"/>
      <c r="C13" s="321" t="s">
        <v>69</v>
      </c>
      <c r="D13" s="322"/>
      <c r="E13" s="322"/>
      <c r="F13" s="322"/>
      <c r="G13" s="322"/>
      <c r="H13" s="322"/>
      <c r="I13" s="323"/>
      <c r="J13" s="41"/>
      <c r="K13" s="41"/>
    </row>
    <row r="14" spans="1:16" x14ac:dyDescent="0.2">
      <c r="B14" s="140" t="s">
        <v>10</v>
      </c>
      <c r="C14" s="141" t="s">
        <v>43</v>
      </c>
      <c r="D14" s="141" t="s">
        <v>44</v>
      </c>
      <c r="E14" s="141" t="s">
        <v>45</v>
      </c>
      <c r="F14" s="141" t="s">
        <v>46</v>
      </c>
      <c r="G14" s="141" t="s">
        <v>47</v>
      </c>
      <c r="H14" s="141" t="s">
        <v>48</v>
      </c>
      <c r="I14" s="61" t="s">
        <v>70</v>
      </c>
      <c r="M14" s="140" t="s">
        <v>10</v>
      </c>
      <c r="N14" s="61" t="s">
        <v>70</v>
      </c>
      <c r="P14" s="4" t="s">
        <v>172</v>
      </c>
    </row>
    <row r="15" spans="1:16" x14ac:dyDescent="0.2">
      <c r="A15" s="4">
        <v>1</v>
      </c>
      <c r="B15" s="295" t="str">
        <f>+Data!C9</f>
        <v>Gaselwest</v>
      </c>
      <c r="C15" s="62" t="e">
        <f>VLOOKUP(B15,'A1'!$B$8:$O$17,14,FALSE)</f>
        <v>#DIV/0!</v>
      </c>
      <c r="D15" s="62" t="e">
        <f>VLOOKUP(B15,'A2'!$B$8:$O$17,14,FALSE)</f>
        <v>#DIV/0!</v>
      </c>
      <c r="E15" s="62" t="e">
        <f>VLOOKUP(B15,'A3'!$B$8:$O$17,14,FALSE)</f>
        <v>#DIV/0!</v>
      </c>
      <c r="F15" s="62" t="e">
        <f>VLOOKUP(B15,'A4'!$B$8:$O$17,14,FALSE)</f>
        <v>#DIV/0!</v>
      </c>
      <c r="G15" s="62" t="e">
        <f>VLOOKUP(B15,'D1'!$X$11:$AB$20,5,FALSE)</f>
        <v>#DIV/0!</v>
      </c>
      <c r="H15" s="62" t="e">
        <f>VLOOKUP(B15,'D2'!$X$11:$AB$20,5,FALSE)</f>
        <v>#DIV/0!</v>
      </c>
      <c r="I15" s="63" t="e">
        <f t="shared" ref="I15:I24" si="0">ROUND(SUM(C15:H15),2)</f>
        <v>#DIV/0!</v>
      </c>
      <c r="J15" s="81"/>
      <c r="M15" s="265" t="s">
        <v>163</v>
      </c>
      <c r="N15" s="293"/>
    </row>
    <row r="16" spans="1:16" x14ac:dyDescent="0.2">
      <c r="A16" s="4">
        <v>2</v>
      </c>
      <c r="B16" s="295" t="str">
        <f>+Data!C10</f>
        <v>Fluvius Antwerpen</v>
      </c>
      <c r="C16" s="62" t="e">
        <f>VLOOKUP(B16,'A1'!$B$8:$O$17,14,FALSE)</f>
        <v>#DIV/0!</v>
      </c>
      <c r="D16" s="62" t="e">
        <f>VLOOKUP(B16,'A2'!$B$8:$O$17,14,FALSE)</f>
        <v>#DIV/0!</v>
      </c>
      <c r="E16" s="62" t="e">
        <f>VLOOKUP(B16,'A3'!$B$8:$O$17,14,FALSE)</f>
        <v>#DIV/0!</v>
      </c>
      <c r="F16" s="62" t="e">
        <f>VLOOKUP(B16,'A4'!$B$8:$O$17,14,FALSE)</f>
        <v>#DIV/0!</v>
      </c>
      <c r="G16" s="62" t="e">
        <f>VLOOKUP(B16,'D1'!$X$11:$AB$20,5,FALSE)</f>
        <v>#DIV/0!</v>
      </c>
      <c r="H16" s="62" t="e">
        <f>VLOOKUP(B16,'D2'!$X$11:$AB$20,5,FALSE)</f>
        <v>#DIV/0!</v>
      </c>
      <c r="I16" s="63" t="e">
        <f t="shared" si="0"/>
        <v>#DIV/0!</v>
      </c>
      <c r="J16" s="81"/>
      <c r="M16" s="265" t="s">
        <v>168</v>
      </c>
      <c r="N16" s="293"/>
    </row>
    <row r="17" spans="1:16" x14ac:dyDescent="0.2">
      <c r="A17" s="4">
        <v>3</v>
      </c>
      <c r="B17" s="295" t="str">
        <f>+Data!C11</f>
        <v>Fluvius Limburg</v>
      </c>
      <c r="C17" s="62" t="e">
        <f>VLOOKUP(B17,'A1'!$B$8:$O$17,14,FALSE)</f>
        <v>#DIV/0!</v>
      </c>
      <c r="D17" s="62" t="e">
        <f>VLOOKUP(B17,'A2'!$B$8:$O$17,14,FALSE)</f>
        <v>#DIV/0!</v>
      </c>
      <c r="E17" s="62" t="e">
        <f>VLOOKUP(B17,'A3'!$B$8:$O$17,14,FALSE)</f>
        <v>#DIV/0!</v>
      </c>
      <c r="F17" s="62" t="e">
        <f>VLOOKUP(B17,'A4'!$B$8:$O$17,14,FALSE)</f>
        <v>#DIV/0!</v>
      </c>
      <c r="G17" s="62" t="e">
        <f>VLOOKUP(B17,'D1'!$X$11:$AB$20,5,FALSE)</f>
        <v>#DIV/0!</v>
      </c>
      <c r="H17" s="62" t="e">
        <f>VLOOKUP(B17,'D2'!$X$11:$AB$20,5,FALSE)</f>
        <v>#DIV/0!</v>
      </c>
      <c r="I17" s="63" t="e">
        <f t="shared" si="0"/>
        <v>#DIV/0!</v>
      </c>
      <c r="J17" s="81"/>
      <c r="M17" s="265" t="s">
        <v>167</v>
      </c>
      <c r="N17" s="293"/>
    </row>
    <row r="18" spans="1:16" x14ac:dyDescent="0.2">
      <c r="A18" s="4">
        <v>4</v>
      </c>
      <c r="B18" s="295" t="str">
        <f>+Data!C12</f>
        <v>Fluvius West</v>
      </c>
      <c r="C18" s="62" t="e">
        <f>VLOOKUP(B18,'A1'!$B$8:$O$17,14,FALSE)</f>
        <v>#DIV/0!</v>
      </c>
      <c r="D18" s="62" t="e">
        <f>VLOOKUP(B18,'A2'!$B$8:$O$17,14,FALSE)</f>
        <v>#DIV/0!</v>
      </c>
      <c r="E18" s="62" t="e">
        <f>VLOOKUP(B18,'A3'!$B$8:$O$17,14,FALSE)</f>
        <v>#DIV/0!</v>
      </c>
      <c r="F18" s="62" t="e">
        <f>VLOOKUP(B18,'A4'!$B$8:$O$17,14,FALSE)</f>
        <v>#DIV/0!</v>
      </c>
      <c r="G18" s="62" t="e">
        <f>VLOOKUP(B18,'D1'!$X$11:$AB$20,5,FALSE)</f>
        <v>#DIV/0!</v>
      </c>
      <c r="H18" s="62" t="e">
        <f>VLOOKUP(B18,'D2'!$X$11:$AB$20,5,FALSE)</f>
        <v>#DIV/0!</v>
      </c>
      <c r="I18" s="63" t="e">
        <f t="shared" si="0"/>
        <v>#DIV/0!</v>
      </c>
      <c r="J18" s="81"/>
      <c r="M18" s="265" t="s">
        <v>162</v>
      </c>
      <c r="N18" s="293"/>
    </row>
    <row r="19" spans="1:16" x14ac:dyDescent="0.2">
      <c r="A19" s="4">
        <v>5</v>
      </c>
      <c r="B19" s="295" t="str">
        <f>+Data!C13</f>
        <v>Imewo</v>
      </c>
      <c r="C19" s="62" t="e">
        <f>VLOOKUP(B19,'A1'!$B$8:$O$17,14,FALSE)</f>
        <v>#DIV/0!</v>
      </c>
      <c r="D19" s="62" t="e">
        <f>VLOOKUP(B19,'A2'!$B$8:$O$17,14,FALSE)</f>
        <v>#DIV/0!</v>
      </c>
      <c r="E19" s="62" t="e">
        <f>VLOOKUP(B19,'A3'!$B$8:$O$17,14,FALSE)</f>
        <v>#DIV/0!</v>
      </c>
      <c r="F19" s="62" t="e">
        <f>VLOOKUP(B19,'A4'!$B$8:$O$17,14,FALSE)</f>
        <v>#DIV/0!</v>
      </c>
      <c r="G19" s="62" t="e">
        <f>VLOOKUP(B19,'D1'!$X$11:$AB$20,5,FALSE)</f>
        <v>#DIV/0!</v>
      </c>
      <c r="H19" s="62" t="e">
        <f>VLOOKUP(B19,'D2'!$X$11:$AB$20,5,FALSE)</f>
        <v>#DIV/0!</v>
      </c>
      <c r="I19" s="63" t="e">
        <f t="shared" si="0"/>
        <v>#DIV/0!</v>
      </c>
      <c r="J19" s="81"/>
      <c r="M19" s="265" t="s">
        <v>169</v>
      </c>
      <c r="N19" s="293"/>
    </row>
    <row r="20" spans="1:16" x14ac:dyDescent="0.2">
      <c r="A20" s="4">
        <v>6</v>
      </c>
      <c r="B20" s="295" t="str">
        <f>+Data!C14</f>
        <v>Intergem</v>
      </c>
      <c r="C20" s="62" t="e">
        <f>VLOOKUP(B20,'A1'!$B$8:$O$17,14,FALSE)</f>
        <v>#DIV/0!</v>
      </c>
      <c r="D20" s="62" t="e">
        <f>VLOOKUP(B20,'A2'!$B$8:$O$17,14,FALSE)</f>
        <v>#DIV/0!</v>
      </c>
      <c r="E20" s="62" t="e">
        <f>VLOOKUP(B20,'A3'!$B$8:$O$17,14,FALSE)</f>
        <v>#DIV/0!</v>
      </c>
      <c r="F20" s="62" t="e">
        <f>VLOOKUP(B20,'A4'!$B$8:$O$17,14,FALSE)</f>
        <v>#DIV/0!</v>
      </c>
      <c r="G20" s="62" t="e">
        <f>VLOOKUP(B20,'D1'!$X$11:$AB$20,5,FALSE)</f>
        <v>#DIV/0!</v>
      </c>
      <c r="H20" s="62" t="e">
        <f>VLOOKUP(B20,'D2'!$X$11:$AB$20,5,FALSE)</f>
        <v>#DIV/0!</v>
      </c>
      <c r="I20" s="63" t="e">
        <f t="shared" si="0"/>
        <v>#DIV/0!</v>
      </c>
      <c r="J20" s="81"/>
      <c r="M20" s="265" t="s">
        <v>166</v>
      </c>
      <c r="N20" s="293"/>
    </row>
    <row r="21" spans="1:16" x14ac:dyDescent="0.2">
      <c r="A21" s="4">
        <v>7</v>
      </c>
      <c r="B21" s="295" t="str">
        <f>+Data!C15</f>
        <v>Iveka</v>
      </c>
      <c r="C21" s="62" t="e">
        <f>VLOOKUP(B21,'A1'!$B$8:$O$17,14,FALSE)</f>
        <v>#DIV/0!</v>
      </c>
      <c r="D21" s="62" t="e">
        <f>VLOOKUP(B21,'A2'!$B$8:$O$17,14,FALSE)</f>
        <v>#DIV/0!</v>
      </c>
      <c r="E21" s="62" t="e">
        <f>VLOOKUP(B21,'A3'!$B$8:$O$17,14,FALSE)</f>
        <v>#DIV/0!</v>
      </c>
      <c r="F21" s="62" t="e">
        <f>VLOOKUP(B21,'A4'!$B$8:$O$17,14,FALSE)</f>
        <v>#DIV/0!</v>
      </c>
      <c r="G21" s="62" t="e">
        <f>VLOOKUP(B21,'D1'!$X$11:$AB$20,5,FALSE)</f>
        <v>#DIV/0!</v>
      </c>
      <c r="H21" s="62" t="e">
        <f>VLOOKUP(B21,'D2'!$X$11:$AB$20,5,FALSE)</f>
        <v>#DIV/0!</v>
      </c>
      <c r="I21" s="63" t="e">
        <f t="shared" si="0"/>
        <v>#DIV/0!</v>
      </c>
      <c r="J21" s="81"/>
      <c r="M21" s="265" t="s">
        <v>164</v>
      </c>
      <c r="N21" s="293"/>
    </row>
    <row r="22" spans="1:16" x14ac:dyDescent="0.2">
      <c r="A22" s="4">
        <v>8</v>
      </c>
      <c r="B22" s="295" t="str">
        <f>+Data!C16</f>
        <v>Iverlek</v>
      </c>
      <c r="C22" s="62" t="e">
        <f>VLOOKUP(B22,'A1'!$B$8:$O$17,14,FALSE)</f>
        <v>#DIV/0!</v>
      </c>
      <c r="D22" s="62" t="e">
        <f>VLOOKUP(B22,'A2'!$B$8:$O$17,14,FALSE)</f>
        <v>#DIV/0!</v>
      </c>
      <c r="E22" s="62" t="e">
        <f>VLOOKUP(B22,'A3'!$B$8:$O$17,14,FALSE)</f>
        <v>#DIV/0!</v>
      </c>
      <c r="F22" s="62" t="e">
        <f>VLOOKUP(B22,'A4'!$B$8:$O$17,14,FALSE)</f>
        <v>#DIV/0!</v>
      </c>
      <c r="G22" s="62" t="e">
        <f>VLOOKUP(B22,'D1'!$X$11:$AB$20,5,FALSE)</f>
        <v>#DIV/0!</v>
      </c>
      <c r="H22" s="62" t="e">
        <f>VLOOKUP(B22,'D2'!$X$11:$AB$20,5,FALSE)</f>
        <v>#DIV/0!</v>
      </c>
      <c r="I22" s="63" t="e">
        <f t="shared" si="0"/>
        <v>#DIV/0!</v>
      </c>
      <c r="J22" s="81"/>
      <c r="M22" s="265" t="s">
        <v>165</v>
      </c>
      <c r="N22" s="293"/>
    </row>
    <row r="23" spans="1:16" x14ac:dyDescent="0.2">
      <c r="A23" s="4">
        <v>9</v>
      </c>
      <c r="B23" s="295" t="str">
        <f>+Data!C17</f>
        <v>PBE</v>
      </c>
      <c r="C23" s="62" t="e">
        <f>VLOOKUP(B23,'A1'!$B$8:$O$17,14,FALSE)</f>
        <v>#DIV/0!</v>
      </c>
      <c r="D23" s="62" t="e">
        <f>VLOOKUP(B23,'A2'!$B$8:$O$17,14,FALSE)</f>
        <v>#DIV/0!</v>
      </c>
      <c r="E23" s="62" t="e">
        <f>VLOOKUP(B23,'A3'!$B$8:$O$17,14,FALSE)</f>
        <v>#DIV/0!</v>
      </c>
      <c r="F23" s="62" t="e">
        <f>VLOOKUP(B23,'A4'!$B$8:$O$17,14,FALSE)</f>
        <v>#DIV/0!</v>
      </c>
      <c r="G23" s="62" t="e">
        <f>VLOOKUP(B23,'D1'!$X$11:$AB$20,5,FALSE)</f>
        <v>#DIV/0!</v>
      </c>
      <c r="H23" s="62" t="e">
        <f>VLOOKUP(B23,'D2'!$X$11:$AB$20,5,FALSE)</f>
        <v>#DIV/0!</v>
      </c>
      <c r="I23" s="63" t="e">
        <f t="shared" si="0"/>
        <v>#DIV/0!</v>
      </c>
      <c r="J23" s="81"/>
      <c r="M23" s="265" t="s">
        <v>170</v>
      </c>
      <c r="N23" s="293"/>
    </row>
    <row r="24" spans="1:16" ht="13.5" thickBot="1" x14ac:dyDescent="0.25">
      <c r="A24" s="4">
        <v>10</v>
      </c>
      <c r="B24" s="296" t="str">
        <f>+Data!C18</f>
        <v>Sibelgas</v>
      </c>
      <c r="C24" s="64" t="e">
        <f>VLOOKUP(B24,'A1'!$B$8:$O$17,14,FALSE)</f>
        <v>#DIV/0!</v>
      </c>
      <c r="D24" s="64" t="e">
        <f>VLOOKUP(B24,'A2'!$B$8:$O$17,14,FALSE)</f>
        <v>#DIV/0!</v>
      </c>
      <c r="E24" s="64" t="e">
        <f>VLOOKUP(B24,'A3'!$B$8:$O$17,14,FALSE)</f>
        <v>#DIV/0!</v>
      </c>
      <c r="F24" s="64" t="e">
        <f>VLOOKUP(B24,'A4'!$B$8:$O$17,14,FALSE)</f>
        <v>#DIV/0!</v>
      </c>
      <c r="G24" s="64" t="e">
        <f>VLOOKUP(B24,'D1'!$X$11:$AB$20,5,FALSE)</f>
        <v>#DIV/0!</v>
      </c>
      <c r="H24" s="64" t="e">
        <f>VLOOKUP(B24,'D2'!$X$11:$AB$20,5,FALSE)</f>
        <v>#DIV/0!</v>
      </c>
      <c r="I24" s="65" t="e">
        <f t="shared" si="0"/>
        <v>#DIV/0!</v>
      </c>
      <c r="J24" s="81"/>
      <c r="M24" s="266" t="s">
        <v>171</v>
      </c>
      <c r="N24" s="294"/>
      <c r="P24" s="4" t="s">
        <v>173</v>
      </c>
    </row>
    <row r="27" spans="1:16" s="58" customFormat="1" x14ac:dyDescent="0.2">
      <c r="B27" s="59" t="s">
        <v>50</v>
      </c>
    </row>
    <row r="29" spans="1:16" ht="13.5" thickBot="1" x14ac:dyDescent="0.25">
      <c r="B29" s="60"/>
      <c r="M29" s="4" t="s">
        <v>174</v>
      </c>
    </row>
    <row r="30" spans="1:16" ht="15" customHeight="1" thickBot="1" x14ac:dyDescent="0.25">
      <c r="B30" s="60"/>
      <c r="C30" s="321" t="s">
        <v>69</v>
      </c>
      <c r="D30" s="322"/>
      <c r="E30" s="323"/>
      <c r="F30" s="41"/>
      <c r="G30" s="41"/>
    </row>
    <row r="31" spans="1:16" x14ac:dyDescent="0.2">
      <c r="B31" s="140" t="s">
        <v>10</v>
      </c>
      <c r="C31" s="141" t="s">
        <v>47</v>
      </c>
      <c r="D31" s="141" t="s">
        <v>48</v>
      </c>
      <c r="E31" s="61" t="s">
        <v>70</v>
      </c>
      <c r="M31" s="140" t="s">
        <v>10</v>
      </c>
      <c r="N31" s="61" t="s">
        <v>70</v>
      </c>
    </row>
    <row r="32" spans="1:16" x14ac:dyDescent="0.2">
      <c r="A32" s="4">
        <v>1</v>
      </c>
      <c r="B32" s="295" t="str">
        <f>+Data!C23</f>
        <v>Gaselwest</v>
      </c>
      <c r="C32" s="62" t="e">
        <f>VLOOKUP(B32,'D1'!$X$30:$AB$38,5,FALSE)</f>
        <v>#DIV/0!</v>
      </c>
      <c r="D32" s="62" t="e">
        <f>VLOOKUP(B32,'D2'!$X$30:$AB$38,5,FALSE)</f>
        <v>#DIV/0!</v>
      </c>
      <c r="E32" s="63" t="e">
        <f t="shared" ref="E32:E40" si="1">ROUND(SUM(C32:D32),2)</f>
        <v>#DIV/0!</v>
      </c>
      <c r="M32" s="265" t="s">
        <v>166</v>
      </c>
      <c r="N32" s="293"/>
      <c r="P32" s="4" t="s">
        <v>172</v>
      </c>
    </row>
    <row r="33" spans="1:16" x14ac:dyDescent="0.2">
      <c r="A33" s="4">
        <v>2</v>
      </c>
      <c r="B33" s="295" t="str">
        <f>+Data!C24</f>
        <v>Fluvius Antwerpen</v>
      </c>
      <c r="C33" s="62" t="e">
        <f>VLOOKUP(B33,'D1'!$X$30:$AB$38,5,FALSE)</f>
        <v>#DIV/0!</v>
      </c>
      <c r="D33" s="62" t="e">
        <f>VLOOKUP(B33,'D2'!$X$30:$AB$38,5,FALSE)</f>
        <v>#DIV/0!</v>
      </c>
      <c r="E33" s="63" t="e">
        <f t="shared" si="1"/>
        <v>#DIV/0!</v>
      </c>
      <c r="M33" s="265" t="s">
        <v>171</v>
      </c>
      <c r="N33" s="293"/>
    </row>
    <row r="34" spans="1:16" x14ac:dyDescent="0.2">
      <c r="A34" s="4">
        <v>3</v>
      </c>
      <c r="B34" s="295" t="str">
        <f>+Data!C25</f>
        <v>Fluvius Limburg</v>
      </c>
      <c r="C34" s="62" t="e">
        <f>VLOOKUP(B34,'D1'!$X$30:$AB$38,5,FALSE)</f>
        <v>#DIV/0!</v>
      </c>
      <c r="D34" s="62" t="e">
        <f>VLOOKUP(B34,'D2'!$X$30:$AB$38,5,FALSE)</f>
        <v>#DIV/0!</v>
      </c>
      <c r="E34" s="63" t="e">
        <f t="shared" si="1"/>
        <v>#DIV/0!</v>
      </c>
      <c r="M34" s="265" t="s">
        <v>163</v>
      </c>
      <c r="N34" s="293"/>
    </row>
    <row r="35" spans="1:16" x14ac:dyDescent="0.2">
      <c r="A35" s="4">
        <v>4</v>
      </c>
      <c r="B35" s="295" t="str">
        <f>+Data!C26</f>
        <v>Fluvius West</v>
      </c>
      <c r="C35" s="62" t="e">
        <f>VLOOKUP(B35,'D1'!$X$30:$AB$38,5,FALSE)</f>
        <v>#DIV/0!</v>
      </c>
      <c r="D35" s="62" t="e">
        <f>VLOOKUP(B35,'D2'!$X$30:$AB$38,5,FALSE)</f>
        <v>#DIV/0!</v>
      </c>
      <c r="E35" s="63" t="e">
        <f t="shared" si="1"/>
        <v>#DIV/0!</v>
      </c>
      <c r="M35" s="265" t="s">
        <v>169</v>
      </c>
      <c r="N35" s="293"/>
    </row>
    <row r="36" spans="1:16" x14ac:dyDescent="0.2">
      <c r="A36" s="4">
        <v>5</v>
      </c>
      <c r="B36" s="295" t="str">
        <f>+Data!C27</f>
        <v>Imewo</v>
      </c>
      <c r="C36" s="62" t="e">
        <f>VLOOKUP(B36,'D1'!$X$30:$AB$38,5,FALSE)</f>
        <v>#DIV/0!</v>
      </c>
      <c r="D36" s="62" t="e">
        <f>VLOOKUP(B36,'D2'!$X$30:$AB$38,5,FALSE)</f>
        <v>#DIV/0!</v>
      </c>
      <c r="E36" s="63" t="e">
        <f t="shared" si="1"/>
        <v>#DIV/0!</v>
      </c>
      <c r="M36" s="265" t="s">
        <v>167</v>
      </c>
      <c r="N36" s="293"/>
    </row>
    <row r="37" spans="1:16" x14ac:dyDescent="0.2">
      <c r="A37" s="4">
        <v>6</v>
      </c>
      <c r="B37" s="295" t="str">
        <f>+Data!C28</f>
        <v>Intergem</v>
      </c>
      <c r="C37" s="62" t="e">
        <f>VLOOKUP(B37,'D1'!$X$30:$AB$38,5,FALSE)</f>
        <v>#DIV/0!</v>
      </c>
      <c r="D37" s="62" t="e">
        <f>VLOOKUP(B37,'D2'!$X$30:$AB$38,5,FALSE)</f>
        <v>#DIV/0!</v>
      </c>
      <c r="E37" s="63" t="e">
        <f t="shared" si="1"/>
        <v>#DIV/0!</v>
      </c>
      <c r="M37" s="265" t="s">
        <v>165</v>
      </c>
      <c r="N37" s="293"/>
    </row>
    <row r="38" spans="1:16" x14ac:dyDescent="0.2">
      <c r="A38" s="4">
        <v>7</v>
      </c>
      <c r="B38" s="295" t="str">
        <f>+Data!C29</f>
        <v>Iveka</v>
      </c>
      <c r="C38" s="62" t="e">
        <f>VLOOKUP(B38,'D1'!$X$30:$AB$38,5,FALSE)</f>
        <v>#DIV/0!</v>
      </c>
      <c r="D38" s="62" t="e">
        <f>VLOOKUP(B38,'D2'!$X$30:$AB$38,5,FALSE)</f>
        <v>#DIV/0!</v>
      </c>
      <c r="E38" s="63" t="e">
        <f t="shared" si="1"/>
        <v>#DIV/0!</v>
      </c>
      <c r="M38" s="265" t="s">
        <v>164</v>
      </c>
      <c r="N38" s="293"/>
    </row>
    <row r="39" spans="1:16" x14ac:dyDescent="0.2">
      <c r="A39" s="4">
        <v>8</v>
      </c>
      <c r="B39" s="295" t="str">
        <f>+Data!C30</f>
        <v>Iverlek</v>
      </c>
      <c r="C39" s="62" t="e">
        <f>VLOOKUP(B39,'D1'!$X$30:$AB$38,5,FALSE)</f>
        <v>#DIV/0!</v>
      </c>
      <c r="D39" s="62" t="e">
        <f>VLOOKUP(B39,'D2'!$X$30:$AB$38,5,FALSE)</f>
        <v>#DIV/0!</v>
      </c>
      <c r="E39" s="63" t="e">
        <f t="shared" si="1"/>
        <v>#DIV/0!</v>
      </c>
      <c r="M39" s="265" t="s">
        <v>162</v>
      </c>
      <c r="N39" s="293"/>
    </row>
    <row r="40" spans="1:16" ht="13.5" thickBot="1" x14ac:dyDescent="0.25">
      <c r="A40" s="4">
        <v>9</v>
      </c>
      <c r="B40" s="296" t="str">
        <f>+Data!C31</f>
        <v>Sibelgas</v>
      </c>
      <c r="C40" s="64" t="e">
        <f>VLOOKUP(B40,'D1'!$X$30:$AB$38,5,FALSE)</f>
        <v>#DIV/0!</v>
      </c>
      <c r="D40" s="64" t="e">
        <f>VLOOKUP(B40,'D2'!$X$30:$AB$38,5,FALSE)</f>
        <v>#DIV/0!</v>
      </c>
      <c r="E40" s="65" t="e">
        <f t="shared" si="1"/>
        <v>#DIV/0!</v>
      </c>
      <c r="M40" s="266" t="s">
        <v>168</v>
      </c>
      <c r="N40" s="294"/>
      <c r="P40" s="4" t="s">
        <v>173</v>
      </c>
    </row>
  </sheetData>
  <sortState xmlns:xlrd2="http://schemas.microsoft.com/office/spreadsheetml/2017/richdata2" ref="M32:N40">
    <sortCondition descending="1" ref="N32:N40"/>
  </sortState>
  <mergeCells count="2">
    <mergeCell ref="C13:I13"/>
    <mergeCell ref="C30:E30"/>
  </mergeCells>
  <conditionalFormatting sqref="C15:C24">
    <cfRule type="colorScale" priority="34">
      <colorScale>
        <cfvo type="min"/>
        <cfvo type="max"/>
        <color rgb="FFFCFCFF"/>
        <color rgb="FF63BE7B"/>
      </colorScale>
    </cfRule>
  </conditionalFormatting>
  <conditionalFormatting sqref="C32:C33">
    <cfRule type="colorScale" priority="6">
      <colorScale>
        <cfvo type="min"/>
        <cfvo type="max"/>
        <color rgb="FFFCFCFF"/>
        <color rgb="FF63BE7B"/>
      </colorScale>
    </cfRule>
  </conditionalFormatting>
  <conditionalFormatting sqref="C34:C40">
    <cfRule type="colorScale" priority="40">
      <colorScale>
        <cfvo type="min"/>
        <cfvo type="max"/>
        <color rgb="FFFCFCFF"/>
        <color rgb="FF63BE7B"/>
      </colorScale>
    </cfRule>
  </conditionalFormatting>
  <conditionalFormatting sqref="D15:D24">
    <cfRule type="colorScale" priority="35">
      <colorScale>
        <cfvo type="min"/>
        <cfvo type="max"/>
        <color rgb="FFFCFCFF"/>
        <color rgb="FF63BE7B"/>
      </colorScale>
    </cfRule>
  </conditionalFormatting>
  <conditionalFormatting sqref="D32:D33">
    <cfRule type="colorScale" priority="5">
      <colorScale>
        <cfvo type="min"/>
        <cfvo type="max"/>
        <color rgb="FFFCFCFF"/>
        <color rgb="FF63BE7B"/>
      </colorScale>
    </cfRule>
  </conditionalFormatting>
  <conditionalFormatting sqref="D34:D40">
    <cfRule type="colorScale" priority="41">
      <colorScale>
        <cfvo type="min"/>
        <cfvo type="max"/>
        <color rgb="FFFCFCFF"/>
        <color rgb="FF63BE7B"/>
      </colorScale>
    </cfRule>
  </conditionalFormatting>
  <conditionalFormatting sqref="E15:E24">
    <cfRule type="colorScale" priority="36">
      <colorScale>
        <cfvo type="min"/>
        <cfvo type="max"/>
        <color rgb="FFFCFCFF"/>
        <color rgb="FF63BE7B"/>
      </colorScale>
    </cfRule>
  </conditionalFormatting>
  <conditionalFormatting sqref="F15:F24">
    <cfRule type="colorScale" priority="39">
      <colorScale>
        <cfvo type="min"/>
        <cfvo type="max"/>
        <color rgb="FFFCFCFF"/>
        <color rgb="FF63BE7B"/>
      </colorScale>
    </cfRule>
  </conditionalFormatting>
  <conditionalFormatting sqref="G15:G24">
    <cfRule type="colorScale" priority="37">
      <colorScale>
        <cfvo type="min"/>
        <cfvo type="max"/>
        <color rgb="FFFCFCFF"/>
        <color rgb="FF63BE7B"/>
      </colorScale>
    </cfRule>
  </conditionalFormatting>
  <conditionalFormatting sqref="H15:H24">
    <cfRule type="colorScale" priority="38">
      <colorScale>
        <cfvo type="min"/>
        <cfvo type="max"/>
        <color rgb="FFFCFCFF"/>
        <color rgb="FF63BE7B"/>
      </colorScale>
    </cfRule>
  </conditionalFormatting>
  <pageMargins left="0.7" right="0.7" top="0.75" bottom="0.75" header="0.3" footer="0.3"/>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
    <tabColor theme="3" tint="0.79998168889431442"/>
  </sheetPr>
  <dimension ref="A1:HZ48"/>
  <sheetViews>
    <sheetView topLeftCell="Q1" zoomScale="90" zoomScaleNormal="90" workbookViewId="0">
      <selection sqref="A1:F1"/>
    </sheetView>
  </sheetViews>
  <sheetFormatPr defaultColWidth="9.140625" defaultRowHeight="12.75" x14ac:dyDescent="0.2"/>
  <cols>
    <col min="1" max="1" width="3" style="4" bestFit="1" customWidth="1"/>
    <col min="2" max="2" width="25.85546875" style="4" customWidth="1"/>
    <col min="3" max="3" width="22.7109375" style="4" customWidth="1"/>
    <col min="4" max="4" width="18.28515625" style="4" bestFit="1" customWidth="1"/>
    <col min="5" max="5" width="23.7109375" style="4" customWidth="1"/>
    <col min="6" max="6" width="11.7109375" style="4" customWidth="1"/>
    <col min="7" max="7" width="16.5703125" style="4" customWidth="1"/>
    <col min="8" max="9" width="20.7109375" style="4" customWidth="1"/>
    <col min="10" max="10" width="14.85546875" style="4" customWidth="1"/>
    <col min="11" max="11" width="21.28515625" style="10" customWidth="1"/>
    <col min="12" max="14" width="17.28515625" style="10" customWidth="1"/>
    <col min="15" max="15" width="17.28515625" style="4" customWidth="1"/>
    <col min="16" max="16" width="23" style="4" customWidth="1"/>
    <col min="17" max="19" width="19.28515625" style="4" customWidth="1"/>
    <col min="20" max="20" width="19.28515625" style="10" customWidth="1"/>
    <col min="21" max="21" width="16.28515625" style="4" customWidth="1"/>
    <col min="22" max="34" width="16.5703125" style="4" customWidth="1"/>
    <col min="35" max="35" width="21.28515625" style="4" customWidth="1"/>
    <col min="36" max="38" width="20.7109375" style="4" customWidth="1"/>
    <col min="39" max="40" width="16.140625" style="4" customWidth="1"/>
    <col min="41" max="16384" width="9.140625" style="4"/>
  </cols>
  <sheetData>
    <row r="1" spans="1:234" ht="14.45" customHeight="1" thickBot="1" x14ac:dyDescent="0.25">
      <c r="A1" s="301" t="s">
        <v>78</v>
      </c>
      <c r="B1" s="302"/>
      <c r="C1" s="302"/>
      <c r="D1" s="302"/>
      <c r="E1" s="302"/>
      <c r="F1" s="302"/>
      <c r="HZ1" s="15" t="s">
        <v>13</v>
      </c>
    </row>
    <row r="2" spans="1:234" x14ac:dyDescent="0.2">
      <c r="HZ2" s="15" t="s">
        <v>14</v>
      </c>
    </row>
    <row r="3" spans="1:234" ht="13.5" thickBot="1" x14ac:dyDescent="0.25"/>
    <row r="4" spans="1:234" ht="13.5" thickBot="1" x14ac:dyDescent="0.25">
      <c r="C4" s="4" t="s">
        <v>12</v>
      </c>
      <c r="D4" s="346" t="s">
        <v>13</v>
      </c>
      <c r="E4" s="347"/>
      <c r="F4" s="10"/>
    </row>
    <row r="6" spans="1:234" x14ac:dyDescent="0.2">
      <c r="B6" s="340" t="str">
        <f>"Impact kwaliteitsprestaties in periode "&amp;MIN('Q%'!I15:I20)&amp;"-"&amp;'Q%'!E5-1&amp;" naar toegelaten inkomen in reguleringsperiode "&amp;'Q%'!E9&amp;"-"&amp;MAX('Q%'!E9:K9)</f>
        <v>Impact kwaliteitsprestaties in periode 2020-2023 naar toegelaten inkomen in reguleringsperiode 2025-2028</v>
      </c>
      <c r="C6" s="341"/>
      <c r="D6" s="341"/>
      <c r="E6" s="341"/>
      <c r="F6" s="342"/>
      <c r="H6" s="137" t="s">
        <v>52</v>
      </c>
      <c r="I6" s="139"/>
      <c r="K6" s="137" t="s">
        <v>142</v>
      </c>
      <c r="L6" s="175"/>
      <c r="M6" s="175"/>
      <c r="N6" s="176"/>
      <c r="P6" s="348" t="s">
        <v>138</v>
      </c>
      <c r="Q6" s="349"/>
      <c r="R6" s="350"/>
      <c r="S6" s="10"/>
      <c r="T6" s="137" t="s">
        <v>54</v>
      </c>
      <c r="U6" s="138"/>
      <c r="V6" s="138"/>
      <c r="W6" s="138"/>
      <c r="X6" s="138"/>
      <c r="Y6" s="138"/>
      <c r="Z6" s="138"/>
      <c r="AA6" s="138"/>
      <c r="AB6" s="138"/>
      <c r="AC6" s="138"/>
      <c r="AD6" s="138"/>
      <c r="AE6" s="138"/>
      <c r="AF6" s="138"/>
      <c r="AG6" s="139"/>
      <c r="AI6" s="339" t="s">
        <v>56</v>
      </c>
      <c r="AJ6" s="339"/>
      <c r="AK6" s="339"/>
      <c r="AL6" s="339"/>
      <c r="AM6" s="339"/>
      <c r="AN6" s="339"/>
    </row>
    <row r="7" spans="1:234" x14ac:dyDescent="0.2">
      <c r="D7" s="10"/>
      <c r="E7" s="10"/>
      <c r="F7" s="10"/>
    </row>
    <row r="8" spans="1:234" ht="19.899999999999999" customHeight="1" x14ac:dyDescent="0.2">
      <c r="T8" s="343" t="s">
        <v>55</v>
      </c>
      <c r="U8" s="344"/>
      <c r="V8" s="344"/>
      <c r="W8" s="344"/>
      <c r="X8" s="344"/>
      <c r="Y8" s="344"/>
      <c r="Z8" s="345"/>
      <c r="AA8" s="336" t="str">
        <f>"Marge tot floor"</f>
        <v>Marge tot floor</v>
      </c>
      <c r="AB8" s="337"/>
      <c r="AC8" s="337"/>
      <c r="AD8" s="337"/>
      <c r="AE8" s="337"/>
      <c r="AF8" s="337"/>
      <c r="AG8" s="338"/>
      <c r="AH8" s="229"/>
      <c r="AI8" s="17"/>
      <c r="AJ8" s="18"/>
      <c r="AK8" s="18"/>
      <c r="AL8" s="18"/>
    </row>
    <row r="9" spans="1:234" s="19" customFormat="1" ht="55.9" customHeight="1" x14ac:dyDescent="0.25">
      <c r="B9" s="1" t="s">
        <v>10</v>
      </c>
      <c r="C9" s="1" t="s">
        <v>144</v>
      </c>
      <c r="D9" s="1" t="str">
        <f>"Aantal actieve toegangspunten "&amp;D4&amp;" 1 jan."&amp;" "&amp;'Q%'!E5</f>
        <v>Aantal actieve toegangspunten elektriciteit 1 jan. 2024</v>
      </c>
      <c r="E9" s="1" t="str">
        <f>"Oorspronkelijk toegelaten inkomen endogene kosten "&amp;D4&amp;" "&amp;'Q%'!E9&amp;" (zonder q-factor)"</f>
        <v>Oorspronkelijk toegelaten inkomen endogene kosten elektriciteit 2025 (zonder q-factor)</v>
      </c>
      <c r="G9" s="289"/>
      <c r="H9" s="1" t="s">
        <v>178</v>
      </c>
      <c r="I9" s="1" t="s">
        <v>125</v>
      </c>
      <c r="J9" s="20"/>
      <c r="K9" s="1" t="s">
        <v>126</v>
      </c>
      <c r="L9" s="1" t="s">
        <v>127</v>
      </c>
      <c r="M9" s="1" t="s">
        <v>179</v>
      </c>
      <c r="N9" s="1" t="s">
        <v>125</v>
      </c>
      <c r="O9" s="22"/>
      <c r="P9" s="271" t="str">
        <f t="shared" ref="P9:P19" si="0">+E9</f>
        <v>Oorspronkelijk toegelaten inkomen endogene kosten elektriciteit 2025 (zonder q-factor)</v>
      </c>
      <c r="Q9" s="275" t="s">
        <v>53</v>
      </c>
      <c r="R9" s="1" t="s">
        <v>128</v>
      </c>
      <c r="S9" s="20"/>
      <c r="T9" s="271" t="s">
        <v>132</v>
      </c>
      <c r="U9" s="21" t="s">
        <v>130</v>
      </c>
      <c r="V9" s="21" t="str">
        <f t="shared" ref="V9:V19" si="1">+D9</f>
        <v>Aantal actieve toegangspunten elektriciteit 1 jan. 2024</v>
      </c>
      <c r="W9" s="21" t="s">
        <v>57</v>
      </c>
      <c r="X9" s="21" t="s">
        <v>143</v>
      </c>
      <c r="Y9" s="271" t="s">
        <v>175</v>
      </c>
      <c r="Z9" s="21" t="s">
        <v>131</v>
      </c>
      <c r="AA9" s="271" t="s">
        <v>133</v>
      </c>
      <c r="AB9" s="21" t="s">
        <v>134</v>
      </c>
      <c r="AC9" s="21" t="str">
        <f t="shared" ref="AC9:AC19" si="2">+V9</f>
        <v>Aantal actieve toegangspunten elektriciteit 1 jan. 2024</v>
      </c>
      <c r="AD9" s="21" t="s">
        <v>58</v>
      </c>
      <c r="AE9" s="21" t="s">
        <v>143</v>
      </c>
      <c r="AF9" s="271" t="s">
        <v>135</v>
      </c>
      <c r="AG9" s="21" t="s">
        <v>131</v>
      </c>
      <c r="AH9" s="22"/>
      <c r="AI9" s="1" t="str">
        <f>"Oorspronkelijk toegelaten inkomen niet-exogene kosten "&amp;D4</f>
        <v>Oorspronkelijk toegelaten inkomen niet-exogene kosten elektriciteit</v>
      </c>
      <c r="AJ9" s="1" t="str">
        <f>"Gecorrigeerd toegelaten inkomen niet-exogene kosten "&amp;D4</f>
        <v>Gecorrigeerd toegelaten inkomen niet-exogene kosten elektriciteit</v>
      </c>
      <c r="AK9" s="1" t="str">
        <f>"Effect kwaliteit dienstverlening op TI jaar "&amp;'Q%'!E9</f>
        <v>Effect kwaliteit dienstverlening op TI jaar 2025</v>
      </c>
      <c r="AL9" s="1" t="str">
        <f>"basisgedeelte endoge kosten jaar "&amp;'Q%'!E9</f>
        <v>basisgedeelte endoge kosten jaar 2025</v>
      </c>
      <c r="AM9" s="1" t="str">
        <f>"qi-waarde "&amp;'Q%'!$E$9&amp;"-"&amp;('Q%'!$E$9+'Q%'!$C$9-1)</f>
        <v>qi-waarde 2025-2028</v>
      </c>
      <c r="AN9" s="284" t="s">
        <v>15</v>
      </c>
    </row>
    <row r="10" spans="1:234" x14ac:dyDescent="0.2">
      <c r="A10" s="4">
        <v>1</v>
      </c>
      <c r="B10" s="270" t="str">
        <f>+Sorteren!M15</f>
        <v>Fluvius Limburg</v>
      </c>
      <c r="C10" s="199">
        <f>+Sorteren!N15</f>
        <v>0</v>
      </c>
      <c r="D10" s="129">
        <f>VLOOKUP($B10,Data!$C$9:$J$18,8,FALSE)</f>
        <v>0</v>
      </c>
      <c r="E10" s="130">
        <f>VLOOKUP($B10,Data!$C$9:$K$18,9,FALSE)</f>
        <v>0</v>
      </c>
      <c r="F10" s="291"/>
      <c r="G10" s="290"/>
      <c r="H10" s="23" t="e">
        <f t="shared" ref="H10:H19" si="3">ROUND(-$E$23*D10/$D$20,2)</f>
        <v>#DIV/0!</v>
      </c>
      <c r="I10" s="23" t="e">
        <f t="shared" ref="I10:I19" si="4">+H10/D10</f>
        <v>#DIV/0!</v>
      </c>
      <c r="J10" s="2"/>
      <c r="K10" s="24" t="e">
        <f t="shared" ref="K10:K19" si="5">+C10*D10/$D$20</f>
        <v>#DIV/0!</v>
      </c>
      <c r="L10" s="194" t="e">
        <f t="shared" ref="L10:L19" si="6">+K10/$K$20</f>
        <v>#DIV/0!</v>
      </c>
      <c r="M10" s="25" t="e">
        <f t="shared" ref="M10:M19" si="7">+ROUND(L10*$E$23,2)</f>
        <v>#DIV/0!</v>
      </c>
      <c r="N10" s="26" t="e">
        <f t="shared" ref="N10:N19" si="8">+M10/D10</f>
        <v>#DIV/0!</v>
      </c>
      <c r="O10" s="30"/>
      <c r="P10" s="272">
        <f t="shared" si="0"/>
        <v>0</v>
      </c>
      <c r="Q10" s="272" t="e">
        <f t="shared" ref="Q10:Q19" si="9">+H10+M10</f>
        <v>#DIV/0!</v>
      </c>
      <c r="R10" s="224" t="e">
        <f>+Q10/P10</f>
        <v>#DIV/0!</v>
      </c>
      <c r="S10" s="33"/>
      <c r="T10" s="272" t="e">
        <f t="shared" ref="T10:T19" si="10">MAX((R10-capelek)*P10,0)</f>
        <v>#DIV/0!</v>
      </c>
      <c r="U10" s="27" t="e">
        <f t="shared" ref="U10:U19" si="11">MAX((capelek-R10)*P10,0)</f>
        <v>#DIV/0!</v>
      </c>
      <c r="V10" s="28">
        <f t="shared" si="1"/>
        <v>0</v>
      </c>
      <c r="W10" s="27" t="e">
        <f t="shared" ref="W10:W11" si="12">+U10/V10</f>
        <v>#DIV/0!</v>
      </c>
      <c r="X10" s="29">
        <f t="shared" ref="X10:X19" si="13">+C10</f>
        <v>0</v>
      </c>
      <c r="Y10" s="127">
        <v>0</v>
      </c>
      <c r="Z10" s="224" t="e">
        <f>+(P10+Q10-T10+Y10)/P10-1</f>
        <v>#DIV/0!</v>
      </c>
      <c r="AA10" s="272" t="e">
        <f t="shared" ref="AA10:AA19" si="14">MAX((-capelek-Z10)*E10,0)</f>
        <v>#DIV/0!</v>
      </c>
      <c r="AB10" s="27" t="e">
        <f t="shared" ref="AB10:AB19" si="15">IF(-capelek&lt;Z10,ROUND((Z10+capelek)*E10,2),0)</f>
        <v>#DIV/0!</v>
      </c>
      <c r="AC10" s="277">
        <f t="shared" si="2"/>
        <v>0</v>
      </c>
      <c r="AD10" s="27" t="e">
        <f t="shared" ref="AD10:AD11" si="16">+AB10/AC10</f>
        <v>#DIV/0!</v>
      </c>
      <c r="AE10" s="29">
        <f t="shared" ref="AE10:AE19" si="17">+X10</f>
        <v>0</v>
      </c>
      <c r="AF10" s="127">
        <v>0</v>
      </c>
      <c r="AG10" s="224" t="e">
        <f t="shared" ref="AG10:AG19" si="18">+(P10+Q10-T10+Y10+AA10+AF10)/E10-1</f>
        <v>#DIV/0!</v>
      </c>
      <c r="AH10" s="30"/>
      <c r="AI10" s="212">
        <f t="shared" ref="AI10:AI19" si="19">+E10</f>
        <v>0</v>
      </c>
      <c r="AJ10" s="27" t="e">
        <f>+P10+Q10-T10+Y10+AA10+AF10</f>
        <v>#DIV/0!</v>
      </c>
      <c r="AK10" s="27" t="e">
        <f>+AJ10-AI10</f>
        <v>#DIV/0!</v>
      </c>
      <c r="AL10" s="130">
        <f>VLOOKUP($B10,Data!$C$9:$L$18,10,FALSE)</f>
        <v>0</v>
      </c>
      <c r="AM10" s="224" t="e">
        <f>ROUND(AK10/AL10,6)</f>
        <v>#DIV/0!</v>
      </c>
      <c r="AN10" s="285" t="e">
        <f t="shared" ref="AN10:AN19" si="20">ROUND((AJ10-AI10)/D10,2)</f>
        <v>#DIV/0!</v>
      </c>
      <c r="AO10" s="283"/>
    </row>
    <row r="11" spans="1:234" x14ac:dyDescent="0.2">
      <c r="A11" s="4">
        <v>2</v>
      </c>
      <c r="B11" s="120" t="str">
        <f>+Sorteren!M16</f>
        <v>Gaselwest</v>
      </c>
      <c r="C11" s="119">
        <f>+Sorteren!N16</f>
        <v>0</v>
      </c>
      <c r="D11" s="131">
        <f>VLOOKUP($B11,Data!$C$9:$J$18,8,FALSE)</f>
        <v>0</v>
      </c>
      <c r="E11" s="132">
        <f>VLOOKUP($B11,Data!$C$9:$K$18,9,FALSE)</f>
        <v>0</v>
      </c>
      <c r="F11" s="292"/>
      <c r="G11" s="290"/>
      <c r="H11" s="2" t="e">
        <f t="shared" si="3"/>
        <v>#DIV/0!</v>
      </c>
      <c r="I11" s="2" t="e">
        <f t="shared" si="4"/>
        <v>#DIV/0!</v>
      </c>
      <c r="J11" s="2"/>
      <c r="K11" s="31" t="e">
        <f t="shared" si="5"/>
        <v>#DIV/0!</v>
      </c>
      <c r="L11" s="195" t="e">
        <f t="shared" si="6"/>
        <v>#DIV/0!</v>
      </c>
      <c r="M11" s="32" t="e">
        <f t="shared" si="7"/>
        <v>#DIV/0!</v>
      </c>
      <c r="N11" s="5" t="e">
        <f t="shared" si="8"/>
        <v>#DIV/0!</v>
      </c>
      <c r="O11" s="30"/>
      <c r="P11" s="273">
        <f t="shared" si="0"/>
        <v>0</v>
      </c>
      <c r="Q11" s="273" t="e">
        <f t="shared" si="9"/>
        <v>#DIV/0!</v>
      </c>
      <c r="R11" s="225" t="e">
        <f t="shared" ref="R11:R19" si="21">+Q11/P11</f>
        <v>#DIV/0!</v>
      </c>
      <c r="S11" s="33"/>
      <c r="T11" s="273" t="e">
        <f t="shared" si="10"/>
        <v>#DIV/0!</v>
      </c>
      <c r="U11" s="30" t="e">
        <f t="shared" si="11"/>
        <v>#DIV/0!</v>
      </c>
      <c r="V11" s="34">
        <f t="shared" si="1"/>
        <v>0</v>
      </c>
      <c r="W11" s="30" t="e">
        <f t="shared" si="12"/>
        <v>#DIV/0!</v>
      </c>
      <c r="X11" s="35">
        <f t="shared" si="13"/>
        <v>0</v>
      </c>
      <c r="Y11" s="127">
        <v>0</v>
      </c>
      <c r="Z11" s="225" t="e">
        <f t="shared" ref="Z11:Z19" si="22">+(P11+Q11-T11+Y11)/P11-1</f>
        <v>#DIV/0!</v>
      </c>
      <c r="AA11" s="273" t="e">
        <f t="shared" si="14"/>
        <v>#DIV/0!</v>
      </c>
      <c r="AB11" s="30" t="e">
        <f t="shared" si="15"/>
        <v>#DIV/0!</v>
      </c>
      <c r="AC11" s="278">
        <f t="shared" si="2"/>
        <v>0</v>
      </c>
      <c r="AD11" s="30" t="e">
        <f t="shared" si="16"/>
        <v>#DIV/0!</v>
      </c>
      <c r="AE11" s="35">
        <f t="shared" si="17"/>
        <v>0</v>
      </c>
      <c r="AF11" s="127">
        <v>0</v>
      </c>
      <c r="AG11" s="225" t="e">
        <f t="shared" si="18"/>
        <v>#DIV/0!</v>
      </c>
      <c r="AH11" s="30"/>
      <c r="AI11" s="30">
        <f t="shared" si="19"/>
        <v>0</v>
      </c>
      <c r="AJ11" s="30" t="e">
        <f t="shared" ref="AJ11:AJ19" si="23">+P11+Q11-T11+Y11+AA11+AF11</f>
        <v>#DIV/0!</v>
      </c>
      <c r="AK11" s="30" t="e">
        <f t="shared" ref="AK11:AK19" si="24">+AJ11-AI11</f>
        <v>#DIV/0!</v>
      </c>
      <c r="AL11" s="30">
        <f>VLOOKUP($B11,Data!$C$9:$L$18,10,FALSE)</f>
        <v>0</v>
      </c>
      <c r="AM11" s="225" t="e">
        <f t="shared" ref="AM11:AM19" si="25">ROUND(AK11/AL11,6)</f>
        <v>#DIV/0!</v>
      </c>
      <c r="AN11" s="286" t="e">
        <f t="shared" si="20"/>
        <v>#DIV/0!</v>
      </c>
      <c r="AO11" s="283"/>
    </row>
    <row r="12" spans="1:234" x14ac:dyDescent="0.2">
      <c r="A12" s="4">
        <v>3</v>
      </c>
      <c r="B12" s="120" t="str">
        <f>+Sorteren!M17</f>
        <v>Imewo</v>
      </c>
      <c r="C12" s="119">
        <f>+Sorteren!N17</f>
        <v>0</v>
      </c>
      <c r="D12" s="131">
        <f>VLOOKUP($B12,Data!$C$9:$J$18,8,FALSE)</f>
        <v>0</v>
      </c>
      <c r="E12" s="132">
        <f>VLOOKUP($B12,Data!$C$9:$K$18,9,FALSE)</f>
        <v>0</v>
      </c>
      <c r="F12" s="292"/>
      <c r="G12" s="290"/>
      <c r="H12" s="2" t="e">
        <f t="shared" si="3"/>
        <v>#DIV/0!</v>
      </c>
      <c r="I12" s="2" t="e">
        <f t="shared" si="4"/>
        <v>#DIV/0!</v>
      </c>
      <c r="J12" s="2"/>
      <c r="K12" s="31" t="e">
        <f t="shared" si="5"/>
        <v>#DIV/0!</v>
      </c>
      <c r="L12" s="195" t="e">
        <f t="shared" si="6"/>
        <v>#DIV/0!</v>
      </c>
      <c r="M12" s="32" t="e">
        <f t="shared" si="7"/>
        <v>#DIV/0!</v>
      </c>
      <c r="N12" s="5" t="e">
        <f t="shared" si="8"/>
        <v>#DIV/0!</v>
      </c>
      <c r="O12" s="30"/>
      <c r="P12" s="273">
        <f t="shared" si="0"/>
        <v>0</v>
      </c>
      <c r="Q12" s="273" t="e">
        <f t="shared" si="9"/>
        <v>#DIV/0!</v>
      </c>
      <c r="R12" s="225" t="e">
        <f t="shared" si="21"/>
        <v>#DIV/0!</v>
      </c>
      <c r="S12" s="33"/>
      <c r="T12" s="273" t="e">
        <f t="shared" si="10"/>
        <v>#DIV/0!</v>
      </c>
      <c r="U12" s="30" t="e">
        <f t="shared" si="11"/>
        <v>#DIV/0!</v>
      </c>
      <c r="V12" s="34">
        <f t="shared" si="1"/>
        <v>0</v>
      </c>
      <c r="W12" s="30" t="e">
        <f>+U12/V12</f>
        <v>#DIV/0!</v>
      </c>
      <c r="X12" s="35">
        <f t="shared" si="13"/>
        <v>0</v>
      </c>
      <c r="Y12" s="127">
        <v>0</v>
      </c>
      <c r="Z12" s="225" t="e">
        <f t="shared" si="22"/>
        <v>#DIV/0!</v>
      </c>
      <c r="AA12" s="273" t="e">
        <f t="shared" si="14"/>
        <v>#DIV/0!</v>
      </c>
      <c r="AB12" s="30" t="e">
        <f t="shared" si="15"/>
        <v>#DIV/0!</v>
      </c>
      <c r="AC12" s="278">
        <f t="shared" si="2"/>
        <v>0</v>
      </c>
      <c r="AD12" s="30" t="e">
        <f>+AB12/AC12</f>
        <v>#DIV/0!</v>
      </c>
      <c r="AE12" s="35">
        <f t="shared" si="17"/>
        <v>0</v>
      </c>
      <c r="AF12" s="127">
        <v>0</v>
      </c>
      <c r="AG12" s="225" t="e">
        <f t="shared" si="18"/>
        <v>#DIV/0!</v>
      </c>
      <c r="AH12" s="30"/>
      <c r="AI12" s="30">
        <f t="shared" si="19"/>
        <v>0</v>
      </c>
      <c r="AJ12" s="30" t="e">
        <f t="shared" si="23"/>
        <v>#DIV/0!</v>
      </c>
      <c r="AK12" s="30" t="e">
        <f t="shared" si="24"/>
        <v>#DIV/0!</v>
      </c>
      <c r="AL12" s="30">
        <f>VLOOKUP($B12,Data!$C$9:$L$18,10,FALSE)</f>
        <v>0</v>
      </c>
      <c r="AM12" s="225" t="e">
        <f t="shared" si="25"/>
        <v>#DIV/0!</v>
      </c>
      <c r="AN12" s="286" t="e">
        <f t="shared" si="20"/>
        <v>#DIV/0!</v>
      </c>
      <c r="AO12" s="283"/>
    </row>
    <row r="13" spans="1:234" x14ac:dyDescent="0.2">
      <c r="A13" s="4">
        <v>4</v>
      </c>
      <c r="B13" s="120" t="str">
        <f>+Sorteren!M18</f>
        <v>Fluvius Antwerpen</v>
      </c>
      <c r="C13" s="119">
        <f>+Sorteren!N18</f>
        <v>0</v>
      </c>
      <c r="D13" s="131">
        <f>VLOOKUP($B13,Data!$C$9:$J$18,8,FALSE)</f>
        <v>0</v>
      </c>
      <c r="E13" s="132">
        <f>VLOOKUP($B13,Data!$C$9:$K$18,9,FALSE)</f>
        <v>0</v>
      </c>
      <c r="F13" s="292"/>
      <c r="G13" s="290"/>
      <c r="H13" s="2" t="e">
        <f t="shared" si="3"/>
        <v>#DIV/0!</v>
      </c>
      <c r="I13" s="2" t="e">
        <f t="shared" si="4"/>
        <v>#DIV/0!</v>
      </c>
      <c r="J13" s="2"/>
      <c r="K13" s="31" t="e">
        <f t="shared" si="5"/>
        <v>#DIV/0!</v>
      </c>
      <c r="L13" s="195" t="e">
        <f t="shared" si="6"/>
        <v>#DIV/0!</v>
      </c>
      <c r="M13" s="32" t="e">
        <f t="shared" si="7"/>
        <v>#DIV/0!</v>
      </c>
      <c r="N13" s="5" t="e">
        <f t="shared" si="8"/>
        <v>#DIV/0!</v>
      </c>
      <c r="O13" s="30"/>
      <c r="P13" s="273">
        <f t="shared" si="0"/>
        <v>0</v>
      </c>
      <c r="Q13" s="273" t="e">
        <f t="shared" si="9"/>
        <v>#DIV/0!</v>
      </c>
      <c r="R13" s="225" t="e">
        <f t="shared" si="21"/>
        <v>#DIV/0!</v>
      </c>
      <c r="S13" s="33"/>
      <c r="T13" s="273" t="e">
        <f t="shared" si="10"/>
        <v>#DIV/0!</v>
      </c>
      <c r="U13" s="30" t="e">
        <f t="shared" si="11"/>
        <v>#DIV/0!</v>
      </c>
      <c r="V13" s="34">
        <f t="shared" si="1"/>
        <v>0</v>
      </c>
      <c r="W13" s="30" t="e">
        <f t="shared" ref="W13:W19" si="26">+U13/V13</f>
        <v>#DIV/0!</v>
      </c>
      <c r="X13" s="35">
        <f t="shared" si="13"/>
        <v>0</v>
      </c>
      <c r="Y13" s="127">
        <v>0</v>
      </c>
      <c r="Z13" s="225" t="e">
        <f t="shared" si="22"/>
        <v>#DIV/0!</v>
      </c>
      <c r="AA13" s="273" t="e">
        <f t="shared" si="14"/>
        <v>#DIV/0!</v>
      </c>
      <c r="AB13" s="30" t="e">
        <f t="shared" si="15"/>
        <v>#DIV/0!</v>
      </c>
      <c r="AC13" s="278">
        <f t="shared" si="2"/>
        <v>0</v>
      </c>
      <c r="AD13" s="30" t="e">
        <f t="shared" ref="AD13:AD19" si="27">+AB13/AC13</f>
        <v>#DIV/0!</v>
      </c>
      <c r="AE13" s="35">
        <f t="shared" si="17"/>
        <v>0</v>
      </c>
      <c r="AF13" s="127">
        <v>0</v>
      </c>
      <c r="AG13" s="225" t="e">
        <f t="shared" si="18"/>
        <v>#DIV/0!</v>
      </c>
      <c r="AH13" s="30"/>
      <c r="AI13" s="30">
        <f t="shared" si="19"/>
        <v>0</v>
      </c>
      <c r="AJ13" s="30" t="e">
        <f t="shared" si="23"/>
        <v>#DIV/0!</v>
      </c>
      <c r="AK13" s="30" t="e">
        <f t="shared" si="24"/>
        <v>#DIV/0!</v>
      </c>
      <c r="AL13" s="30">
        <f>VLOOKUP($B13,Data!$C$9:$L$18,10,FALSE)</f>
        <v>0</v>
      </c>
      <c r="AM13" s="225" t="e">
        <f t="shared" si="25"/>
        <v>#DIV/0!</v>
      </c>
      <c r="AN13" s="286" t="e">
        <f t="shared" si="20"/>
        <v>#DIV/0!</v>
      </c>
      <c r="AO13" s="283"/>
    </row>
    <row r="14" spans="1:234" x14ac:dyDescent="0.2">
      <c r="A14" s="4">
        <v>5</v>
      </c>
      <c r="B14" s="120" t="str">
        <f>+Sorteren!M19</f>
        <v>Iveka</v>
      </c>
      <c r="C14" s="119">
        <f>+Sorteren!N19</f>
        <v>0</v>
      </c>
      <c r="D14" s="131">
        <f>VLOOKUP($B14,Data!$C$9:$J$18,8,FALSE)</f>
        <v>0</v>
      </c>
      <c r="E14" s="132">
        <f>VLOOKUP($B14,Data!$C$9:$K$18,9,FALSE)</f>
        <v>0</v>
      </c>
      <c r="F14" s="292"/>
      <c r="G14" s="290"/>
      <c r="H14" s="2" t="e">
        <f t="shared" si="3"/>
        <v>#DIV/0!</v>
      </c>
      <c r="I14" s="2" t="e">
        <f t="shared" si="4"/>
        <v>#DIV/0!</v>
      </c>
      <c r="J14" s="2"/>
      <c r="K14" s="31" t="e">
        <f t="shared" si="5"/>
        <v>#DIV/0!</v>
      </c>
      <c r="L14" s="195" t="e">
        <f t="shared" si="6"/>
        <v>#DIV/0!</v>
      </c>
      <c r="M14" s="32" t="e">
        <f t="shared" si="7"/>
        <v>#DIV/0!</v>
      </c>
      <c r="N14" s="5" t="e">
        <f t="shared" si="8"/>
        <v>#DIV/0!</v>
      </c>
      <c r="O14" s="30"/>
      <c r="P14" s="273">
        <f t="shared" si="0"/>
        <v>0</v>
      </c>
      <c r="Q14" s="273" t="e">
        <f t="shared" si="9"/>
        <v>#DIV/0!</v>
      </c>
      <c r="R14" s="225" t="e">
        <f t="shared" si="21"/>
        <v>#DIV/0!</v>
      </c>
      <c r="S14" s="33"/>
      <c r="T14" s="273" t="e">
        <f t="shared" si="10"/>
        <v>#DIV/0!</v>
      </c>
      <c r="U14" s="30" t="e">
        <f t="shared" si="11"/>
        <v>#DIV/0!</v>
      </c>
      <c r="V14" s="34">
        <f t="shared" si="1"/>
        <v>0</v>
      </c>
      <c r="W14" s="30" t="e">
        <f t="shared" si="26"/>
        <v>#DIV/0!</v>
      </c>
      <c r="X14" s="35">
        <f t="shared" si="13"/>
        <v>0</v>
      </c>
      <c r="Y14" s="127">
        <v>0</v>
      </c>
      <c r="Z14" s="225" t="e">
        <f t="shared" si="22"/>
        <v>#DIV/0!</v>
      </c>
      <c r="AA14" s="273" t="e">
        <f t="shared" si="14"/>
        <v>#DIV/0!</v>
      </c>
      <c r="AB14" s="30" t="e">
        <f t="shared" si="15"/>
        <v>#DIV/0!</v>
      </c>
      <c r="AC14" s="278">
        <f t="shared" si="2"/>
        <v>0</v>
      </c>
      <c r="AD14" s="30" t="e">
        <f t="shared" si="27"/>
        <v>#DIV/0!</v>
      </c>
      <c r="AE14" s="35">
        <f t="shared" si="17"/>
        <v>0</v>
      </c>
      <c r="AF14" s="127">
        <v>0</v>
      </c>
      <c r="AG14" s="225" t="e">
        <f t="shared" si="18"/>
        <v>#DIV/0!</v>
      </c>
      <c r="AH14" s="30"/>
      <c r="AI14" s="30">
        <f t="shared" si="19"/>
        <v>0</v>
      </c>
      <c r="AJ14" s="30" t="e">
        <f t="shared" si="23"/>
        <v>#DIV/0!</v>
      </c>
      <c r="AK14" s="30" t="e">
        <f t="shared" si="24"/>
        <v>#DIV/0!</v>
      </c>
      <c r="AL14" s="30">
        <f>VLOOKUP($B14,Data!$C$9:$L$18,10,FALSE)</f>
        <v>0</v>
      </c>
      <c r="AM14" s="225" t="e">
        <f t="shared" si="25"/>
        <v>#DIV/0!</v>
      </c>
      <c r="AN14" s="286" t="e">
        <f t="shared" si="20"/>
        <v>#DIV/0!</v>
      </c>
      <c r="AO14" s="283"/>
    </row>
    <row r="15" spans="1:234" x14ac:dyDescent="0.2">
      <c r="A15" s="4">
        <v>6</v>
      </c>
      <c r="B15" s="120" t="str">
        <f>+Sorteren!M20</f>
        <v>Intergem</v>
      </c>
      <c r="C15" s="119">
        <f>+Sorteren!N20</f>
        <v>0</v>
      </c>
      <c r="D15" s="131">
        <f>VLOOKUP($B15,Data!$C$9:$J$18,8,FALSE)</f>
        <v>0</v>
      </c>
      <c r="E15" s="132">
        <f>VLOOKUP($B15,Data!$C$9:$K$18,9,FALSE)</f>
        <v>0</v>
      </c>
      <c r="F15" s="292"/>
      <c r="G15" s="290"/>
      <c r="H15" s="2" t="e">
        <f t="shared" si="3"/>
        <v>#DIV/0!</v>
      </c>
      <c r="I15" s="2" t="e">
        <f t="shared" si="4"/>
        <v>#DIV/0!</v>
      </c>
      <c r="J15" s="2"/>
      <c r="K15" s="31" t="e">
        <f t="shared" si="5"/>
        <v>#DIV/0!</v>
      </c>
      <c r="L15" s="195" t="e">
        <f t="shared" si="6"/>
        <v>#DIV/0!</v>
      </c>
      <c r="M15" s="32" t="e">
        <f t="shared" si="7"/>
        <v>#DIV/0!</v>
      </c>
      <c r="N15" s="5" t="e">
        <f t="shared" si="8"/>
        <v>#DIV/0!</v>
      </c>
      <c r="O15" s="30"/>
      <c r="P15" s="273">
        <f t="shared" si="0"/>
        <v>0</v>
      </c>
      <c r="Q15" s="273" t="e">
        <f t="shared" si="9"/>
        <v>#DIV/0!</v>
      </c>
      <c r="R15" s="225" t="e">
        <f t="shared" si="21"/>
        <v>#DIV/0!</v>
      </c>
      <c r="S15" s="33"/>
      <c r="T15" s="273" t="e">
        <f t="shared" si="10"/>
        <v>#DIV/0!</v>
      </c>
      <c r="U15" s="30" t="e">
        <f t="shared" si="11"/>
        <v>#DIV/0!</v>
      </c>
      <c r="V15" s="34">
        <f t="shared" si="1"/>
        <v>0</v>
      </c>
      <c r="W15" s="30" t="e">
        <f t="shared" si="26"/>
        <v>#DIV/0!</v>
      </c>
      <c r="X15" s="35">
        <f t="shared" si="13"/>
        <v>0</v>
      </c>
      <c r="Y15" s="127">
        <v>0</v>
      </c>
      <c r="Z15" s="225" t="e">
        <f t="shared" si="22"/>
        <v>#DIV/0!</v>
      </c>
      <c r="AA15" s="273" t="e">
        <f t="shared" si="14"/>
        <v>#DIV/0!</v>
      </c>
      <c r="AB15" s="30" t="e">
        <f t="shared" si="15"/>
        <v>#DIV/0!</v>
      </c>
      <c r="AC15" s="278">
        <f t="shared" si="2"/>
        <v>0</v>
      </c>
      <c r="AD15" s="30" t="e">
        <f t="shared" si="27"/>
        <v>#DIV/0!</v>
      </c>
      <c r="AE15" s="35">
        <f t="shared" si="17"/>
        <v>0</v>
      </c>
      <c r="AF15" s="127">
        <v>0</v>
      </c>
      <c r="AG15" s="225" t="e">
        <f t="shared" si="18"/>
        <v>#DIV/0!</v>
      </c>
      <c r="AH15" s="30"/>
      <c r="AI15" s="30">
        <f t="shared" si="19"/>
        <v>0</v>
      </c>
      <c r="AJ15" s="30" t="e">
        <f t="shared" si="23"/>
        <v>#DIV/0!</v>
      </c>
      <c r="AK15" s="30" t="e">
        <f t="shared" si="24"/>
        <v>#DIV/0!</v>
      </c>
      <c r="AL15" s="30">
        <f>VLOOKUP($B15,Data!$C$9:$L$18,10,FALSE)</f>
        <v>0</v>
      </c>
      <c r="AM15" s="225" t="e">
        <f t="shared" si="25"/>
        <v>#DIV/0!</v>
      </c>
      <c r="AN15" s="286" t="e">
        <f t="shared" si="20"/>
        <v>#DIV/0!</v>
      </c>
      <c r="AO15" s="283"/>
    </row>
    <row r="16" spans="1:234" x14ac:dyDescent="0.2">
      <c r="A16" s="4">
        <v>7</v>
      </c>
      <c r="B16" s="120" t="str">
        <f>+Sorteren!M21</f>
        <v>Fluvius West</v>
      </c>
      <c r="C16" s="119">
        <f>+Sorteren!N21</f>
        <v>0</v>
      </c>
      <c r="D16" s="131">
        <f>VLOOKUP($B16,Data!$C$9:$J$18,8,FALSE)</f>
        <v>0</v>
      </c>
      <c r="E16" s="132">
        <f>VLOOKUP($B16,Data!$C$9:$K$18,9,FALSE)</f>
        <v>0</v>
      </c>
      <c r="F16" s="292"/>
      <c r="G16" s="290"/>
      <c r="H16" s="2" t="e">
        <f t="shared" si="3"/>
        <v>#DIV/0!</v>
      </c>
      <c r="I16" s="2" t="e">
        <f t="shared" si="4"/>
        <v>#DIV/0!</v>
      </c>
      <c r="J16" s="2"/>
      <c r="K16" s="31" t="e">
        <f t="shared" si="5"/>
        <v>#DIV/0!</v>
      </c>
      <c r="L16" s="195" t="e">
        <f t="shared" si="6"/>
        <v>#DIV/0!</v>
      </c>
      <c r="M16" s="32" t="e">
        <f t="shared" si="7"/>
        <v>#DIV/0!</v>
      </c>
      <c r="N16" s="5" t="e">
        <f t="shared" si="8"/>
        <v>#DIV/0!</v>
      </c>
      <c r="O16" s="30"/>
      <c r="P16" s="273">
        <f t="shared" si="0"/>
        <v>0</v>
      </c>
      <c r="Q16" s="273" t="e">
        <f t="shared" si="9"/>
        <v>#DIV/0!</v>
      </c>
      <c r="R16" s="225" t="e">
        <f t="shared" si="21"/>
        <v>#DIV/0!</v>
      </c>
      <c r="S16" s="33"/>
      <c r="T16" s="273" t="e">
        <f t="shared" si="10"/>
        <v>#DIV/0!</v>
      </c>
      <c r="U16" s="30" t="e">
        <f t="shared" si="11"/>
        <v>#DIV/0!</v>
      </c>
      <c r="V16" s="34">
        <f t="shared" si="1"/>
        <v>0</v>
      </c>
      <c r="W16" s="30" t="e">
        <f t="shared" si="26"/>
        <v>#DIV/0!</v>
      </c>
      <c r="X16" s="35">
        <f t="shared" si="13"/>
        <v>0</v>
      </c>
      <c r="Y16" s="127">
        <v>0</v>
      </c>
      <c r="Z16" s="225" t="e">
        <f t="shared" si="22"/>
        <v>#DIV/0!</v>
      </c>
      <c r="AA16" s="273" t="e">
        <f t="shared" si="14"/>
        <v>#DIV/0!</v>
      </c>
      <c r="AB16" s="30" t="e">
        <f t="shared" si="15"/>
        <v>#DIV/0!</v>
      </c>
      <c r="AC16" s="278">
        <f t="shared" si="2"/>
        <v>0</v>
      </c>
      <c r="AD16" s="30" t="e">
        <f t="shared" si="27"/>
        <v>#DIV/0!</v>
      </c>
      <c r="AE16" s="35">
        <f t="shared" si="17"/>
        <v>0</v>
      </c>
      <c r="AF16" s="127">
        <v>0</v>
      </c>
      <c r="AG16" s="225" t="e">
        <f t="shared" si="18"/>
        <v>#DIV/0!</v>
      </c>
      <c r="AH16" s="30"/>
      <c r="AI16" s="30">
        <f t="shared" si="19"/>
        <v>0</v>
      </c>
      <c r="AJ16" s="30" t="e">
        <f t="shared" si="23"/>
        <v>#DIV/0!</v>
      </c>
      <c r="AK16" s="30" t="e">
        <f t="shared" si="24"/>
        <v>#DIV/0!</v>
      </c>
      <c r="AL16" s="30">
        <f>VLOOKUP($B16,Data!$C$9:$L$18,10,FALSE)</f>
        <v>0</v>
      </c>
      <c r="AM16" s="225" t="e">
        <f t="shared" si="25"/>
        <v>#DIV/0!</v>
      </c>
      <c r="AN16" s="286" t="e">
        <f t="shared" si="20"/>
        <v>#DIV/0!</v>
      </c>
      <c r="AO16" s="283"/>
    </row>
    <row r="17" spans="1:64" x14ac:dyDescent="0.2">
      <c r="A17" s="4">
        <v>8</v>
      </c>
      <c r="B17" s="120" t="str">
        <f>+Sorteren!M22</f>
        <v>Iverlek</v>
      </c>
      <c r="C17" s="119">
        <f>+Sorteren!N22</f>
        <v>0</v>
      </c>
      <c r="D17" s="131">
        <f>VLOOKUP($B17,Data!$C$9:$J$18,8,FALSE)</f>
        <v>0</v>
      </c>
      <c r="E17" s="132">
        <f>VLOOKUP($B17,Data!$C$9:$K$18,9,FALSE)</f>
        <v>0</v>
      </c>
      <c r="F17" s="292"/>
      <c r="G17" s="290"/>
      <c r="H17" s="2" t="e">
        <f t="shared" si="3"/>
        <v>#DIV/0!</v>
      </c>
      <c r="I17" s="2" t="e">
        <f t="shared" si="4"/>
        <v>#DIV/0!</v>
      </c>
      <c r="J17" s="2"/>
      <c r="K17" s="31" t="e">
        <f t="shared" si="5"/>
        <v>#DIV/0!</v>
      </c>
      <c r="L17" s="195" t="e">
        <f t="shared" si="6"/>
        <v>#DIV/0!</v>
      </c>
      <c r="M17" s="32" t="e">
        <f t="shared" si="7"/>
        <v>#DIV/0!</v>
      </c>
      <c r="N17" s="5" t="e">
        <f t="shared" si="8"/>
        <v>#DIV/0!</v>
      </c>
      <c r="O17" s="30"/>
      <c r="P17" s="273">
        <f t="shared" si="0"/>
        <v>0</v>
      </c>
      <c r="Q17" s="273" t="e">
        <f t="shared" si="9"/>
        <v>#DIV/0!</v>
      </c>
      <c r="R17" s="225" t="e">
        <f t="shared" si="21"/>
        <v>#DIV/0!</v>
      </c>
      <c r="S17" s="33"/>
      <c r="T17" s="273" t="e">
        <f t="shared" si="10"/>
        <v>#DIV/0!</v>
      </c>
      <c r="U17" s="30" t="e">
        <f t="shared" si="11"/>
        <v>#DIV/0!</v>
      </c>
      <c r="V17" s="34">
        <f t="shared" si="1"/>
        <v>0</v>
      </c>
      <c r="W17" s="30" t="e">
        <f t="shared" si="26"/>
        <v>#DIV/0!</v>
      </c>
      <c r="X17" s="35">
        <f t="shared" si="13"/>
        <v>0</v>
      </c>
      <c r="Y17" s="127">
        <v>0</v>
      </c>
      <c r="Z17" s="225" t="e">
        <f t="shared" si="22"/>
        <v>#DIV/0!</v>
      </c>
      <c r="AA17" s="273" t="e">
        <f t="shared" si="14"/>
        <v>#DIV/0!</v>
      </c>
      <c r="AB17" s="30" t="e">
        <f t="shared" si="15"/>
        <v>#DIV/0!</v>
      </c>
      <c r="AC17" s="278">
        <f t="shared" si="2"/>
        <v>0</v>
      </c>
      <c r="AD17" s="30" t="e">
        <f t="shared" si="27"/>
        <v>#DIV/0!</v>
      </c>
      <c r="AE17" s="35">
        <f t="shared" si="17"/>
        <v>0</v>
      </c>
      <c r="AF17" s="127">
        <v>0</v>
      </c>
      <c r="AG17" s="225" t="e">
        <f t="shared" si="18"/>
        <v>#DIV/0!</v>
      </c>
      <c r="AH17" s="30"/>
      <c r="AI17" s="30">
        <f t="shared" si="19"/>
        <v>0</v>
      </c>
      <c r="AJ17" s="30" t="e">
        <f t="shared" si="23"/>
        <v>#DIV/0!</v>
      </c>
      <c r="AK17" s="30" t="e">
        <f t="shared" si="24"/>
        <v>#DIV/0!</v>
      </c>
      <c r="AL17" s="30">
        <f>VLOOKUP($B17,Data!$C$9:$L$18,10,FALSE)</f>
        <v>0</v>
      </c>
      <c r="AM17" s="225" t="e">
        <f t="shared" si="25"/>
        <v>#DIV/0!</v>
      </c>
      <c r="AN17" s="286" t="e">
        <f t="shared" si="20"/>
        <v>#DIV/0!</v>
      </c>
      <c r="AO17" s="283"/>
    </row>
    <row r="18" spans="1:64" x14ac:dyDescent="0.2">
      <c r="A18" s="4">
        <v>9</v>
      </c>
      <c r="B18" s="120" t="str">
        <f>+Sorteren!M23</f>
        <v>PBE</v>
      </c>
      <c r="C18" s="119">
        <f>+Sorteren!N23</f>
        <v>0</v>
      </c>
      <c r="D18" s="131">
        <f>VLOOKUP($B18,Data!$C$9:$J$18,8,FALSE)</f>
        <v>0</v>
      </c>
      <c r="E18" s="132">
        <f>VLOOKUP($B18,Data!$C$9:$K$18,9,FALSE)</f>
        <v>0</v>
      </c>
      <c r="F18" s="292"/>
      <c r="G18" s="290"/>
      <c r="H18" s="2" t="e">
        <f t="shared" si="3"/>
        <v>#DIV/0!</v>
      </c>
      <c r="I18" s="2" t="e">
        <f t="shared" si="4"/>
        <v>#DIV/0!</v>
      </c>
      <c r="J18" s="2"/>
      <c r="K18" s="31" t="e">
        <f t="shared" si="5"/>
        <v>#DIV/0!</v>
      </c>
      <c r="L18" s="195" t="e">
        <f t="shared" si="6"/>
        <v>#DIV/0!</v>
      </c>
      <c r="M18" s="32" t="e">
        <f t="shared" si="7"/>
        <v>#DIV/0!</v>
      </c>
      <c r="N18" s="5" t="e">
        <f t="shared" si="8"/>
        <v>#DIV/0!</v>
      </c>
      <c r="O18" s="30"/>
      <c r="P18" s="273">
        <f t="shared" si="0"/>
        <v>0</v>
      </c>
      <c r="Q18" s="273" t="e">
        <f t="shared" si="9"/>
        <v>#DIV/0!</v>
      </c>
      <c r="R18" s="225" t="e">
        <f t="shared" si="21"/>
        <v>#DIV/0!</v>
      </c>
      <c r="S18" s="33"/>
      <c r="T18" s="273" t="e">
        <f t="shared" si="10"/>
        <v>#DIV/0!</v>
      </c>
      <c r="U18" s="30" t="e">
        <f t="shared" si="11"/>
        <v>#DIV/0!</v>
      </c>
      <c r="V18" s="34">
        <f t="shared" si="1"/>
        <v>0</v>
      </c>
      <c r="W18" s="30" t="e">
        <f t="shared" si="26"/>
        <v>#DIV/0!</v>
      </c>
      <c r="X18" s="35">
        <f t="shared" si="13"/>
        <v>0</v>
      </c>
      <c r="Y18" s="127">
        <v>0</v>
      </c>
      <c r="Z18" s="225" t="e">
        <f t="shared" si="22"/>
        <v>#DIV/0!</v>
      </c>
      <c r="AA18" s="273" t="e">
        <f t="shared" si="14"/>
        <v>#DIV/0!</v>
      </c>
      <c r="AB18" s="30" t="e">
        <f t="shared" si="15"/>
        <v>#DIV/0!</v>
      </c>
      <c r="AC18" s="278">
        <f t="shared" si="2"/>
        <v>0</v>
      </c>
      <c r="AD18" s="30" t="e">
        <f t="shared" si="27"/>
        <v>#DIV/0!</v>
      </c>
      <c r="AE18" s="35">
        <f t="shared" si="17"/>
        <v>0</v>
      </c>
      <c r="AF18" s="127">
        <v>0</v>
      </c>
      <c r="AG18" s="225" t="e">
        <f t="shared" si="18"/>
        <v>#DIV/0!</v>
      </c>
      <c r="AH18" s="30"/>
      <c r="AI18" s="30">
        <f t="shared" si="19"/>
        <v>0</v>
      </c>
      <c r="AJ18" s="30" t="e">
        <f t="shared" si="23"/>
        <v>#DIV/0!</v>
      </c>
      <c r="AK18" s="30" t="e">
        <f t="shared" si="24"/>
        <v>#DIV/0!</v>
      </c>
      <c r="AL18" s="30">
        <f>VLOOKUP($B18,Data!$C$9:$L$18,10,FALSE)</f>
        <v>0</v>
      </c>
      <c r="AM18" s="225" t="e">
        <f t="shared" si="25"/>
        <v>#DIV/0!</v>
      </c>
      <c r="AN18" s="286" t="e">
        <f t="shared" si="20"/>
        <v>#DIV/0!</v>
      </c>
      <c r="AO18" s="283"/>
    </row>
    <row r="19" spans="1:64" x14ac:dyDescent="0.2">
      <c r="A19" s="4">
        <v>11</v>
      </c>
      <c r="B19" s="121" t="str">
        <f>+Sorteren!M24</f>
        <v>Sibelgas</v>
      </c>
      <c r="C19" s="226">
        <f>+Sorteren!N24</f>
        <v>0</v>
      </c>
      <c r="D19" s="133">
        <f>VLOOKUP($B19,Data!$C$9:$J$18,8,FALSE)</f>
        <v>0</v>
      </c>
      <c r="E19" s="134">
        <f>VLOOKUP($B19,Data!$C$9:$K$18,9,FALSE)</f>
        <v>0</v>
      </c>
      <c r="F19" s="292"/>
      <c r="G19" s="290"/>
      <c r="H19" s="2" t="e">
        <f t="shared" si="3"/>
        <v>#DIV/0!</v>
      </c>
      <c r="I19" s="3" t="e">
        <f t="shared" si="4"/>
        <v>#DIV/0!</v>
      </c>
      <c r="J19" s="2"/>
      <c r="K19" s="31" t="e">
        <f t="shared" si="5"/>
        <v>#DIV/0!</v>
      </c>
      <c r="L19" s="195" t="e">
        <f t="shared" si="6"/>
        <v>#DIV/0!</v>
      </c>
      <c r="M19" s="32" t="e">
        <f t="shared" si="7"/>
        <v>#DIV/0!</v>
      </c>
      <c r="N19" s="6" t="e">
        <f t="shared" si="8"/>
        <v>#DIV/0!</v>
      </c>
      <c r="O19" s="30"/>
      <c r="P19" s="274">
        <f t="shared" si="0"/>
        <v>0</v>
      </c>
      <c r="Q19" s="274" t="e">
        <f t="shared" si="9"/>
        <v>#DIV/0!</v>
      </c>
      <c r="R19" s="170" t="e">
        <f t="shared" si="21"/>
        <v>#DIV/0!</v>
      </c>
      <c r="S19" s="33"/>
      <c r="T19" s="274" t="e">
        <f t="shared" si="10"/>
        <v>#DIV/0!</v>
      </c>
      <c r="U19" s="38" t="e">
        <f t="shared" si="11"/>
        <v>#DIV/0!</v>
      </c>
      <c r="V19" s="39">
        <f t="shared" si="1"/>
        <v>0</v>
      </c>
      <c r="W19" s="38" t="e">
        <f t="shared" si="26"/>
        <v>#DIV/0!</v>
      </c>
      <c r="X19" s="40">
        <f t="shared" si="13"/>
        <v>0</v>
      </c>
      <c r="Y19" s="127">
        <v>0</v>
      </c>
      <c r="Z19" s="170" t="e">
        <f t="shared" si="22"/>
        <v>#DIV/0!</v>
      </c>
      <c r="AA19" s="274" t="e">
        <f t="shared" si="14"/>
        <v>#DIV/0!</v>
      </c>
      <c r="AB19" s="38" t="e">
        <f t="shared" si="15"/>
        <v>#DIV/0!</v>
      </c>
      <c r="AC19" s="279">
        <f t="shared" si="2"/>
        <v>0</v>
      </c>
      <c r="AD19" s="38" t="e">
        <f t="shared" si="27"/>
        <v>#DIV/0!</v>
      </c>
      <c r="AE19" s="40">
        <f t="shared" si="17"/>
        <v>0</v>
      </c>
      <c r="AF19" s="127">
        <v>0</v>
      </c>
      <c r="AG19" s="170" t="e">
        <f t="shared" si="18"/>
        <v>#DIV/0!</v>
      </c>
      <c r="AH19" s="30"/>
      <c r="AI19" s="38">
        <f t="shared" si="19"/>
        <v>0</v>
      </c>
      <c r="AJ19" s="38" t="e">
        <f t="shared" si="23"/>
        <v>#DIV/0!</v>
      </c>
      <c r="AK19" s="38" t="e">
        <f t="shared" si="24"/>
        <v>#DIV/0!</v>
      </c>
      <c r="AL19" s="38">
        <f>VLOOKUP($B19,Data!$C$9:$L$18,10,FALSE)</f>
        <v>0</v>
      </c>
      <c r="AM19" s="170" t="e">
        <f t="shared" si="25"/>
        <v>#DIV/0!</v>
      </c>
      <c r="AN19" s="287" t="e">
        <f t="shared" si="20"/>
        <v>#DIV/0!</v>
      </c>
      <c r="AO19" s="283"/>
    </row>
    <row r="20" spans="1:64" s="41" customFormat="1" x14ac:dyDescent="0.2">
      <c r="B20" s="42" t="s">
        <v>11</v>
      </c>
      <c r="C20" s="42"/>
      <c r="D20" s="43">
        <f>SUM(D10:D19)</f>
        <v>0</v>
      </c>
      <c r="E20" s="44">
        <f>SUM(E10:E19)</f>
        <v>0</v>
      </c>
      <c r="F20" s="44"/>
      <c r="G20" s="8"/>
      <c r="H20" s="165" t="e">
        <f>SUM(H10:H19)</f>
        <v>#DIV/0!</v>
      </c>
      <c r="I20" s="8"/>
      <c r="J20" s="8"/>
      <c r="K20" s="216" t="e">
        <f>SUM(K10:K19)</f>
        <v>#DIV/0!</v>
      </c>
      <c r="L20" s="217" t="e">
        <f>SUM(L10:L19)</f>
        <v>#DIV/0!</v>
      </c>
      <c r="M20" s="218" t="e">
        <f>SUM(M10:M19)</f>
        <v>#DIV/0!</v>
      </c>
      <c r="O20" s="167"/>
      <c r="Q20" s="167" t="e">
        <f>SUM(Q10:Q19)</f>
        <v>#DIV/0!</v>
      </c>
      <c r="R20" s="42"/>
      <c r="S20" s="42"/>
      <c r="T20" s="167" t="e">
        <f>SUM(T10:T19)</f>
        <v>#DIV/0!</v>
      </c>
      <c r="U20" s="167"/>
      <c r="V20" s="167"/>
      <c r="W20" s="167"/>
      <c r="Y20" s="167">
        <f>SUM(Y10:Y19)</f>
        <v>0</v>
      </c>
      <c r="Z20" s="167"/>
      <c r="AA20" s="167" t="e">
        <f>SUM(AA10:AA19)</f>
        <v>#DIV/0!</v>
      </c>
      <c r="AB20" s="167"/>
      <c r="AC20" s="167"/>
      <c r="AD20" s="167"/>
      <c r="AF20" s="44">
        <f>SUM(AF10:AF19)</f>
        <v>0</v>
      </c>
      <c r="AG20" s="167"/>
      <c r="AH20" s="167"/>
      <c r="AI20" s="166">
        <f>SUM(AI10:AI19)</f>
        <v>0</v>
      </c>
      <c r="AJ20" s="168" t="e">
        <f>SUM(AJ10:AJ19)</f>
        <v>#DIV/0!</v>
      </c>
      <c r="AK20" s="168" t="e">
        <f>SUM(AK10:AK19)</f>
        <v>#DIV/0!</v>
      </c>
      <c r="AL20" s="297">
        <f>SUM(AL10:AL19)</f>
        <v>0</v>
      </c>
      <c r="AN20" s="4"/>
      <c r="AO20" s="4"/>
      <c r="AP20" s="4"/>
      <c r="AQ20" s="4"/>
      <c r="AR20" s="4"/>
      <c r="AS20" s="4"/>
      <c r="AT20" s="4"/>
      <c r="AU20" s="4"/>
      <c r="AV20" s="4"/>
      <c r="AW20" s="4"/>
      <c r="AX20" s="4"/>
      <c r="AY20" s="4"/>
      <c r="AZ20" s="4"/>
      <c r="BA20" s="4"/>
      <c r="BB20" s="4"/>
      <c r="BC20" s="4"/>
      <c r="BD20" s="4"/>
      <c r="BE20" s="4"/>
      <c r="BF20" s="4"/>
      <c r="BG20" s="4"/>
      <c r="BH20" s="4"/>
      <c r="BI20" s="4"/>
      <c r="BJ20" s="4"/>
      <c r="BK20" s="4"/>
      <c r="BL20" s="4"/>
    </row>
    <row r="21" spans="1:64" x14ac:dyDescent="0.2">
      <c r="B21" s="8"/>
      <c r="C21" s="45"/>
      <c r="N21" s="4"/>
      <c r="O21" s="167"/>
      <c r="R21" s="10"/>
      <c r="S21" s="10"/>
      <c r="T21" s="4"/>
      <c r="X21" s="8"/>
      <c r="Y21" s="7" t="e">
        <f>SUM(Y10:Y19)-T20</f>
        <v>#DIV/0!</v>
      </c>
      <c r="Z21" s="7"/>
      <c r="AE21" s="8"/>
      <c r="AF21" s="11" t="e">
        <f>+AF20+AA20</f>
        <v>#DIV/0!</v>
      </c>
      <c r="AG21" s="167"/>
      <c r="AH21" s="167"/>
      <c r="AI21" s="167"/>
      <c r="AJ21" s="167"/>
      <c r="AK21" s="167"/>
      <c r="AL21" s="169"/>
      <c r="AM21" s="41"/>
    </row>
    <row r="22" spans="1:64" x14ac:dyDescent="0.2">
      <c r="D22" s="8" t="s">
        <v>114</v>
      </c>
      <c r="E22" s="215">
        <f>+'Q%'!N27</f>
        <v>7.9699999999999997E-3</v>
      </c>
      <c r="K22" s="8"/>
      <c r="L22" s="8"/>
      <c r="M22" s="7"/>
      <c r="N22" s="4"/>
      <c r="O22" s="41"/>
      <c r="Q22" s="8" t="s">
        <v>137</v>
      </c>
      <c r="R22" s="276">
        <f>+E25</f>
        <v>1.0630000000000001E-2</v>
      </c>
      <c r="S22" s="220"/>
      <c r="T22" s="4"/>
      <c r="X22" s="8"/>
      <c r="Y22" s="8" t="s">
        <v>136</v>
      </c>
      <c r="Z22" s="276">
        <f>-capelek</f>
        <v>-1.0630000000000001E-2</v>
      </c>
      <c r="AF22" s="41"/>
      <c r="AG22" s="276">
        <f>capelek</f>
        <v>1.0630000000000001E-2</v>
      </c>
      <c r="AH22" s="41"/>
      <c r="AI22" s="41"/>
      <c r="AJ22" s="41"/>
      <c r="AK22" s="8"/>
      <c r="AL22" s="219"/>
      <c r="AM22" s="41"/>
    </row>
    <row r="23" spans="1:64" ht="15" customHeight="1" x14ac:dyDescent="0.2">
      <c r="C23" s="45"/>
      <c r="D23" s="46" t="s">
        <v>51</v>
      </c>
      <c r="E23" s="193">
        <f>+E22*E20</f>
        <v>0</v>
      </c>
      <c r="K23" s="8"/>
      <c r="L23" s="8"/>
      <c r="M23" s="197"/>
      <c r="N23" s="4"/>
      <c r="R23" s="10"/>
      <c r="S23" s="10"/>
      <c r="T23" s="9"/>
    </row>
    <row r="24" spans="1:64" ht="12.75" customHeight="1" x14ac:dyDescent="0.2">
      <c r="B24" s="8"/>
      <c r="D24" s="47"/>
      <c r="E24" s="47"/>
      <c r="F24" s="47"/>
      <c r="K24" s="8"/>
      <c r="L24" s="8"/>
      <c r="M24" s="198"/>
      <c r="N24" s="4"/>
      <c r="O24" s="7"/>
      <c r="R24" s="10"/>
      <c r="S24" s="10"/>
      <c r="T24" s="335" t="s">
        <v>176</v>
      </c>
      <c r="U24" s="335"/>
      <c r="V24" s="335"/>
      <c r="W24" s="335"/>
      <c r="X24" s="335"/>
      <c r="Y24" s="335"/>
      <c r="Z24" s="335"/>
      <c r="AA24" s="335" t="s">
        <v>177</v>
      </c>
      <c r="AB24" s="335"/>
      <c r="AC24" s="335"/>
      <c r="AD24" s="335"/>
      <c r="AE24" s="335"/>
      <c r="AF24" s="335"/>
      <c r="AG24" s="335"/>
      <c r="AH24" s="7"/>
    </row>
    <row r="25" spans="1:64" ht="12.75" customHeight="1" x14ac:dyDescent="0.2">
      <c r="D25" s="8" t="s">
        <v>129</v>
      </c>
      <c r="E25" s="223">
        <f>+capelek</f>
        <v>1.0630000000000001E-2</v>
      </c>
      <c r="N25" s="4"/>
      <c r="R25" s="10"/>
      <c r="S25" s="10"/>
      <c r="T25" s="335"/>
      <c r="U25" s="335"/>
      <c r="V25" s="335"/>
      <c r="W25" s="335"/>
      <c r="X25" s="335"/>
      <c r="Y25" s="335"/>
      <c r="Z25" s="335"/>
      <c r="AA25" s="335"/>
      <c r="AB25" s="335"/>
      <c r="AC25" s="335"/>
      <c r="AD25" s="335"/>
      <c r="AE25" s="335"/>
      <c r="AF25" s="335"/>
      <c r="AG25" s="335"/>
    </row>
    <row r="26" spans="1:64" ht="12.75" customHeight="1" x14ac:dyDescent="0.2">
      <c r="N26" s="4"/>
      <c r="R26" s="10"/>
      <c r="S26" s="10"/>
      <c r="T26" s="335"/>
      <c r="U26" s="335"/>
      <c r="V26" s="335"/>
      <c r="W26" s="335"/>
      <c r="X26" s="335"/>
      <c r="Y26" s="335"/>
      <c r="Z26" s="335"/>
      <c r="AA26" s="335"/>
      <c r="AB26" s="335"/>
      <c r="AC26" s="335"/>
      <c r="AD26" s="335"/>
      <c r="AE26" s="335"/>
      <c r="AF26" s="335"/>
      <c r="AG26" s="335"/>
    </row>
    <row r="27" spans="1:64" ht="12.75" customHeight="1" x14ac:dyDescent="0.2">
      <c r="C27" s="45"/>
      <c r="D27" s="8"/>
      <c r="K27" s="4"/>
      <c r="L27" s="4"/>
      <c r="M27" s="4"/>
      <c r="N27" s="4"/>
      <c r="R27" s="10"/>
      <c r="S27" s="10"/>
      <c r="T27" s="335"/>
      <c r="U27" s="335"/>
      <c r="V27" s="335"/>
      <c r="W27" s="335"/>
      <c r="X27" s="335"/>
      <c r="Y27" s="335"/>
      <c r="Z27" s="335"/>
      <c r="AA27" s="335"/>
      <c r="AB27" s="335"/>
      <c r="AC27" s="335"/>
      <c r="AD27" s="335"/>
      <c r="AE27" s="335"/>
      <c r="AF27" s="335"/>
      <c r="AG27" s="335"/>
      <c r="AM27" s="9"/>
    </row>
    <row r="28" spans="1:64" ht="12.75" customHeight="1" x14ac:dyDescent="0.2">
      <c r="B28" s="8"/>
      <c r="K28" s="4"/>
      <c r="L28" s="4"/>
      <c r="M28" s="4"/>
      <c r="N28" s="4"/>
      <c r="R28" s="10"/>
      <c r="S28" s="10"/>
      <c r="T28" s="335"/>
      <c r="U28" s="335"/>
      <c r="V28" s="335"/>
      <c r="W28" s="335"/>
      <c r="X28" s="335"/>
      <c r="Y28" s="335"/>
      <c r="Z28" s="335"/>
      <c r="AA28" s="335"/>
      <c r="AB28" s="335"/>
      <c r="AC28" s="335"/>
      <c r="AD28" s="335"/>
      <c r="AE28" s="335"/>
      <c r="AF28" s="335"/>
      <c r="AG28" s="335"/>
      <c r="AM28" s="9"/>
    </row>
    <row r="29" spans="1:64" ht="12.75" customHeight="1" x14ac:dyDescent="0.2">
      <c r="N29" s="4"/>
      <c r="R29" s="10"/>
      <c r="S29" s="10"/>
      <c r="T29" s="335"/>
      <c r="U29" s="335"/>
      <c r="V29" s="335"/>
      <c r="W29" s="335"/>
      <c r="X29" s="335"/>
      <c r="Y29" s="335"/>
      <c r="Z29" s="335"/>
      <c r="AA29" s="335"/>
      <c r="AB29" s="335"/>
      <c r="AC29" s="335"/>
      <c r="AD29" s="335"/>
      <c r="AE29" s="335"/>
      <c r="AF29" s="335"/>
      <c r="AG29" s="335"/>
      <c r="AH29" s="14"/>
      <c r="AM29" s="9"/>
    </row>
    <row r="30" spans="1:64" ht="12.75" customHeight="1" x14ac:dyDescent="0.2">
      <c r="C30" s="221"/>
      <c r="N30" s="4"/>
      <c r="R30" s="10"/>
      <c r="S30" s="10"/>
      <c r="T30" s="335"/>
      <c r="U30" s="335"/>
      <c r="V30" s="335"/>
      <c r="W30" s="335"/>
      <c r="X30" s="335"/>
      <c r="Y30" s="335"/>
      <c r="Z30" s="335"/>
      <c r="AA30" s="335"/>
      <c r="AB30" s="335"/>
      <c r="AC30" s="335"/>
      <c r="AD30" s="335"/>
      <c r="AE30" s="335"/>
      <c r="AF30" s="335"/>
      <c r="AG30" s="335"/>
      <c r="AM30" s="9"/>
    </row>
    <row r="31" spans="1:64" x14ac:dyDescent="0.2">
      <c r="N31" s="4"/>
      <c r="O31" s="14"/>
      <c r="R31" s="10"/>
      <c r="S31" s="10"/>
      <c r="T31" s="4"/>
      <c r="X31" s="45"/>
      <c r="AM31" s="9"/>
    </row>
    <row r="32" spans="1:64" x14ac:dyDescent="0.2">
      <c r="N32" s="4"/>
      <c r="R32" s="10"/>
      <c r="S32" s="10"/>
      <c r="T32" s="4"/>
      <c r="AM32" s="9"/>
    </row>
    <row r="33" spans="14:39" x14ac:dyDescent="0.2">
      <c r="N33" s="4"/>
      <c r="R33" s="10"/>
      <c r="S33" s="10"/>
      <c r="T33" s="4"/>
      <c r="AM33" s="9"/>
    </row>
    <row r="34" spans="14:39" x14ac:dyDescent="0.2">
      <c r="N34" s="4"/>
      <c r="R34" s="10"/>
      <c r="S34" s="10"/>
      <c r="T34" s="4"/>
      <c r="AM34" s="9"/>
    </row>
    <row r="35" spans="14:39" x14ac:dyDescent="0.2">
      <c r="N35" s="4"/>
      <c r="R35" s="10"/>
      <c r="S35" s="10"/>
      <c r="T35" s="4"/>
      <c r="AM35" s="9"/>
    </row>
    <row r="36" spans="14:39" x14ac:dyDescent="0.2">
      <c r="N36" s="4"/>
      <c r="R36" s="10"/>
      <c r="S36" s="10"/>
      <c r="T36" s="4"/>
      <c r="AM36" s="9"/>
    </row>
    <row r="37" spans="14:39" x14ac:dyDescent="0.2">
      <c r="N37" s="4"/>
      <c r="R37" s="10"/>
      <c r="S37" s="10"/>
      <c r="T37" s="4"/>
      <c r="AM37" s="9"/>
    </row>
    <row r="38" spans="14:39" x14ac:dyDescent="0.2">
      <c r="N38" s="4"/>
      <c r="R38" s="10"/>
      <c r="S38" s="10"/>
      <c r="T38" s="4"/>
    </row>
    <row r="39" spans="14:39" x14ac:dyDescent="0.2">
      <c r="N39" s="4"/>
      <c r="R39" s="10"/>
      <c r="S39" s="10"/>
      <c r="T39" s="4"/>
    </row>
    <row r="40" spans="14:39" x14ac:dyDescent="0.2">
      <c r="N40" s="4"/>
      <c r="R40" s="10"/>
      <c r="S40" s="10"/>
      <c r="T40" s="4"/>
    </row>
    <row r="41" spans="14:39" x14ac:dyDescent="0.2">
      <c r="R41" s="10"/>
      <c r="S41" s="10"/>
      <c r="T41" s="4"/>
    </row>
    <row r="42" spans="14:39" x14ac:dyDescent="0.2">
      <c r="R42" s="10"/>
      <c r="S42" s="10"/>
      <c r="T42" s="4"/>
    </row>
    <row r="43" spans="14:39" x14ac:dyDescent="0.2">
      <c r="R43" s="10"/>
      <c r="S43" s="10"/>
      <c r="T43" s="4"/>
    </row>
    <row r="44" spans="14:39" x14ac:dyDescent="0.2">
      <c r="R44" s="10"/>
      <c r="S44" s="10"/>
      <c r="T44" s="4"/>
    </row>
    <row r="45" spans="14:39" x14ac:dyDescent="0.2">
      <c r="R45" s="10"/>
      <c r="S45" s="10"/>
      <c r="T45" s="4"/>
    </row>
    <row r="46" spans="14:39" x14ac:dyDescent="0.2">
      <c r="R46" s="10"/>
      <c r="S46" s="10"/>
      <c r="T46" s="4"/>
    </row>
    <row r="47" spans="14:39" x14ac:dyDescent="0.2">
      <c r="R47" s="10"/>
      <c r="S47" s="10"/>
      <c r="T47" s="4"/>
    </row>
    <row r="48" spans="14:39" x14ac:dyDescent="0.2">
      <c r="T48" s="4"/>
    </row>
  </sheetData>
  <mergeCells count="9">
    <mergeCell ref="AA24:AG30"/>
    <mergeCell ref="AA8:AG8"/>
    <mergeCell ref="AI6:AN6"/>
    <mergeCell ref="B6:F6"/>
    <mergeCell ref="A1:F1"/>
    <mergeCell ref="T8:Z8"/>
    <mergeCell ref="D4:E4"/>
    <mergeCell ref="P6:R6"/>
    <mergeCell ref="T24:Z30"/>
  </mergeCells>
  <conditionalFormatting sqref="R10:S19">
    <cfRule type="cellIs" dxfId="3" priority="6" stopIfTrue="1" operator="notBetween">
      <formula>$T$9</formula>
      <formula>-$T$9</formula>
    </cfRule>
  </conditionalFormatting>
  <conditionalFormatting sqref="Z10:Z19">
    <cfRule type="cellIs" dxfId="2" priority="2" stopIfTrue="1" operator="lessThan">
      <formula>#REF!</formula>
    </cfRule>
  </conditionalFormatting>
  <dataValidations count="3">
    <dataValidation type="list" allowBlank="1" showInputMessage="1" showErrorMessage="1" sqref="F4" xr:uid="{00000000-0002-0000-0A00-000000000000}">
      <formula1>$HZ$1:$HZ$2</formula1>
    </dataValidation>
    <dataValidation type="decimal" operator="lessThanOrEqual" allowBlank="1" showInputMessage="1" showErrorMessage="1" errorTitle="Positieve waarden" error="Gelieve een waarde groter dan of gelijk aan nul in te vullen." sqref="O10:O19 AH10:AH19" xr:uid="{00000000-0002-0000-0A00-000001000000}">
      <formula1>0</formula1>
    </dataValidation>
    <dataValidation operator="lessThanOrEqual" allowBlank="1" showInputMessage="1" showErrorMessage="1" errorTitle="Positieve waarden" error="Gelieve een waarde groter dan of gelijk aan nul in te vullen." sqref="AG10:AG19" xr:uid="{00000000-0002-0000-0A00-000002000000}"/>
  </dataValidations>
  <pageMargins left="0.7" right="0.7" top="0.75" bottom="0.75" header="0.3" footer="0.3"/>
  <pageSetup paperSize="8" scale="57" orientation="landscape" r:id="rId1"/>
  <colBreaks count="1" manualBreakCount="1">
    <brk id="26" max="1048575" man="1"/>
  </colBreaks>
  <ignoredErrors>
    <ignoredError sqref="AD10:AD1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tabColor theme="3" tint="0.79998168889431442"/>
  </sheetPr>
  <dimension ref="A1:IA46"/>
  <sheetViews>
    <sheetView zoomScale="90" zoomScaleNormal="90" workbookViewId="0">
      <selection sqref="A1:F1"/>
    </sheetView>
  </sheetViews>
  <sheetFormatPr defaultColWidth="9.140625" defaultRowHeight="12.75" x14ac:dyDescent="0.2"/>
  <cols>
    <col min="1" max="1" width="3" style="4" bestFit="1" customWidth="1"/>
    <col min="2" max="2" width="24.85546875" style="4" customWidth="1"/>
    <col min="3" max="3" width="22.7109375" style="4" customWidth="1"/>
    <col min="4" max="4" width="18.28515625" style="4" bestFit="1" customWidth="1"/>
    <col min="5" max="5" width="23.7109375" style="4" customWidth="1"/>
    <col min="6" max="6" width="11.7109375" style="4" customWidth="1"/>
    <col min="7" max="7" width="16.5703125" style="4" customWidth="1"/>
    <col min="8" max="9" width="20.7109375" style="4" customWidth="1"/>
    <col min="10" max="10" width="14.85546875" style="4" customWidth="1"/>
    <col min="11" max="11" width="21.28515625" style="10" customWidth="1"/>
    <col min="12" max="14" width="17.28515625" style="10" customWidth="1"/>
    <col min="15" max="15" width="17.28515625" style="4" customWidth="1"/>
    <col min="16" max="16" width="21.140625" style="4" customWidth="1"/>
    <col min="17" max="19" width="19.28515625" style="4" customWidth="1"/>
    <col min="20" max="20" width="19.28515625" style="10" customWidth="1"/>
    <col min="21" max="21" width="16.28515625" style="4" bestFit="1" customWidth="1"/>
    <col min="22" max="22" width="16.5703125" style="4" bestFit="1" customWidth="1"/>
    <col min="23" max="34" width="16.5703125" style="4" customWidth="1"/>
    <col min="35" max="35" width="21.28515625" style="4" customWidth="1"/>
    <col min="36" max="39" width="20.7109375" style="4" customWidth="1"/>
    <col min="40" max="41" width="16.140625" style="4" customWidth="1"/>
    <col min="42" max="16384" width="9.140625" style="4"/>
  </cols>
  <sheetData>
    <row r="1" spans="1:235" ht="14.45" customHeight="1" thickBot="1" x14ac:dyDescent="0.25">
      <c r="A1" s="301" t="s">
        <v>79</v>
      </c>
      <c r="B1" s="302"/>
      <c r="C1" s="302"/>
      <c r="D1" s="302"/>
      <c r="E1" s="302"/>
      <c r="F1" s="303"/>
      <c r="IA1" s="15" t="s">
        <v>13</v>
      </c>
    </row>
    <row r="2" spans="1:235" x14ac:dyDescent="0.2">
      <c r="IA2" s="15" t="s">
        <v>14</v>
      </c>
    </row>
    <row r="3" spans="1:235" ht="13.5" thickBot="1" x14ac:dyDescent="0.25"/>
    <row r="4" spans="1:235" ht="13.5" thickBot="1" x14ac:dyDescent="0.25">
      <c r="C4" s="4" t="s">
        <v>12</v>
      </c>
      <c r="D4" s="346" t="s">
        <v>14</v>
      </c>
      <c r="E4" s="347"/>
      <c r="F4" s="10"/>
    </row>
    <row r="6" spans="1:235" x14ac:dyDescent="0.2">
      <c r="B6" s="348" t="str">
        <f>"Impact kwaliteitsprestaties in periode "&amp;MIN('Q%'!I15:I20)&amp;"-"&amp;'Q%'!E5-1&amp;" naar toegelaten inkomen in reguleringsperiode "&amp;'Q%'!E9&amp;"-"&amp;MAX('Q%'!E9:K9)</f>
        <v>Impact kwaliteitsprestaties in periode 2020-2023 naar toegelaten inkomen in reguleringsperiode 2025-2028</v>
      </c>
      <c r="C6" s="349"/>
      <c r="D6" s="349"/>
      <c r="E6" s="349"/>
      <c r="F6" s="350"/>
      <c r="H6" s="137" t="s">
        <v>52</v>
      </c>
      <c r="I6" s="139"/>
      <c r="K6" s="137" t="s">
        <v>142</v>
      </c>
      <c r="L6" s="175"/>
      <c r="M6" s="175"/>
      <c r="N6" s="176"/>
      <c r="P6" s="348" t="s">
        <v>139</v>
      </c>
      <c r="Q6" s="349"/>
      <c r="R6" s="350"/>
      <c r="S6" s="10"/>
      <c r="T6" s="137" t="s">
        <v>54</v>
      </c>
      <c r="U6" s="138"/>
      <c r="V6" s="138"/>
      <c r="W6" s="138"/>
      <c r="X6" s="138"/>
      <c r="Y6" s="138"/>
      <c r="Z6" s="138"/>
      <c r="AA6" s="138"/>
      <c r="AB6" s="138"/>
      <c r="AC6" s="138"/>
      <c r="AD6" s="138"/>
      <c r="AE6" s="138"/>
      <c r="AF6" s="138"/>
      <c r="AG6" s="139"/>
      <c r="AI6" s="137" t="s">
        <v>56</v>
      </c>
      <c r="AJ6" s="138"/>
      <c r="AK6" s="138"/>
      <c r="AL6" s="138"/>
      <c r="AM6" s="138"/>
      <c r="AN6" s="139"/>
    </row>
    <row r="7" spans="1:235" x14ac:dyDescent="0.2">
      <c r="D7" s="10"/>
      <c r="E7" s="10"/>
      <c r="F7" s="10"/>
    </row>
    <row r="8" spans="1:235" ht="19.899999999999999" customHeight="1" x14ac:dyDescent="0.2">
      <c r="T8" s="343" t="s">
        <v>55</v>
      </c>
      <c r="U8" s="344"/>
      <c r="V8" s="344"/>
      <c r="W8" s="344"/>
      <c r="X8" s="344"/>
      <c r="Y8" s="344"/>
      <c r="Z8" s="345"/>
      <c r="AA8" s="336" t="str">
        <f>"Marge tot floor"</f>
        <v>Marge tot floor</v>
      </c>
      <c r="AB8" s="337"/>
      <c r="AC8" s="337"/>
      <c r="AD8" s="337"/>
      <c r="AE8" s="337"/>
      <c r="AF8" s="337"/>
      <c r="AG8" s="338"/>
      <c r="AH8" s="16"/>
      <c r="AI8" s="17"/>
      <c r="AJ8" s="18"/>
      <c r="AK8" s="18"/>
      <c r="AL8" s="18"/>
      <c r="AM8" s="18"/>
    </row>
    <row r="9" spans="1:235" s="19" customFormat="1" ht="55.9" customHeight="1" x14ac:dyDescent="0.25">
      <c r="B9" s="1" t="s">
        <v>10</v>
      </c>
      <c r="C9" s="1" t="s">
        <v>144</v>
      </c>
      <c r="D9" s="1" t="str">
        <f>"Aantal actieve toegangspunten "&amp;D4&amp;" 1 jan."&amp;" "&amp;'Q%'!E5</f>
        <v>Aantal actieve toegangspunten aardgas 1 jan. 2024</v>
      </c>
      <c r="E9" s="1" t="str">
        <f>"Oorspronkelijk toegelaten inkomen endogene kosten "&amp;D4&amp;" "&amp;'Q%'!E9&amp;" (zonder q-factor)"</f>
        <v>Oorspronkelijk toegelaten inkomen endogene kosten aardgas 2025 (zonder q-factor)</v>
      </c>
      <c r="G9" s="289"/>
      <c r="H9" s="1" t="s">
        <v>124</v>
      </c>
      <c r="I9" s="1" t="s">
        <v>125</v>
      </c>
      <c r="J9" s="20"/>
      <c r="K9" s="1" t="s">
        <v>126</v>
      </c>
      <c r="L9" s="1" t="s">
        <v>127</v>
      </c>
      <c r="M9" s="1" t="s">
        <v>115</v>
      </c>
      <c r="N9" s="1" t="s">
        <v>125</v>
      </c>
      <c r="O9" s="22"/>
      <c r="P9" s="271" t="str">
        <f t="shared" ref="P9:P18" si="0">+E9</f>
        <v>Oorspronkelijk toegelaten inkomen endogene kosten aardgas 2025 (zonder q-factor)</v>
      </c>
      <c r="Q9" s="275" t="s">
        <v>53</v>
      </c>
      <c r="R9" s="1" t="s">
        <v>128</v>
      </c>
      <c r="S9" s="20"/>
      <c r="T9" s="271" t="s">
        <v>132</v>
      </c>
      <c r="U9" s="21" t="s">
        <v>130</v>
      </c>
      <c r="V9" s="21" t="str">
        <f t="shared" ref="V9:V18" si="1">+D9</f>
        <v>Aantal actieve toegangspunten aardgas 1 jan. 2024</v>
      </c>
      <c r="W9" s="21" t="s">
        <v>57</v>
      </c>
      <c r="X9" s="21" t="s">
        <v>143</v>
      </c>
      <c r="Y9" s="271" t="s">
        <v>175</v>
      </c>
      <c r="Z9" s="21" t="s">
        <v>131</v>
      </c>
      <c r="AA9" s="271" t="s">
        <v>133</v>
      </c>
      <c r="AB9" s="21" t="s">
        <v>134</v>
      </c>
      <c r="AC9" s="21" t="str">
        <f t="shared" ref="AC9:AC18" si="2">+V9</f>
        <v>Aantal actieve toegangspunten aardgas 1 jan. 2024</v>
      </c>
      <c r="AD9" s="21" t="s">
        <v>58</v>
      </c>
      <c r="AE9" s="21" t="s">
        <v>143</v>
      </c>
      <c r="AF9" s="271" t="s">
        <v>135</v>
      </c>
      <c r="AG9" s="21" t="s">
        <v>131</v>
      </c>
      <c r="AH9" s="22"/>
      <c r="AI9" s="1" t="str">
        <f>"Oorspronkelijk toegelaten inkomen niet-exogene kosten "&amp;D4</f>
        <v>Oorspronkelijk toegelaten inkomen niet-exogene kosten aardgas</v>
      </c>
      <c r="AJ9" s="1" t="str">
        <f>"Gecorrigeerd toegelaten inkomen niet-exogene kosten "&amp;D4</f>
        <v>Gecorrigeerd toegelaten inkomen niet-exogene kosten aardgas</v>
      </c>
      <c r="AK9" s="1" t="str">
        <f>"Effect kwaliteit dienstverlening op TI jaar "&amp;'Q%'!E9</f>
        <v>Effect kwaliteit dienstverlening op TI jaar 2025</v>
      </c>
      <c r="AL9" s="1" t="str">
        <f>"basisgedeelte endoge kosten jaar "&amp;'Q%'!E9</f>
        <v>basisgedeelte endoge kosten jaar 2025</v>
      </c>
      <c r="AM9" s="1" t="str">
        <f>"qi-waarde "&amp;'Q%'!$E$9&amp;"-"&amp;('Q%'!$E$9+'Q%'!$C$9-1)</f>
        <v>qi-waarde 2025-2028</v>
      </c>
      <c r="AN9" s="284" t="s">
        <v>15</v>
      </c>
    </row>
    <row r="10" spans="1:235" x14ac:dyDescent="0.2">
      <c r="A10" s="4">
        <v>1</v>
      </c>
      <c r="B10" s="270" t="str">
        <f>+Sorteren!M32</f>
        <v>Intergem</v>
      </c>
      <c r="C10" s="199">
        <f>+Sorteren!N32</f>
        <v>0</v>
      </c>
      <c r="D10" s="129">
        <f>VLOOKUP($B10,Data!$C$23:$J$31,8,FALSE)</f>
        <v>0</v>
      </c>
      <c r="E10" s="130">
        <f>VLOOKUP($B10,Data!$C$23:$K$31,9,FALSE)</f>
        <v>0</v>
      </c>
      <c r="F10" s="291"/>
      <c r="G10" s="290"/>
      <c r="H10" s="23" t="e">
        <f t="shared" ref="H10:H18" si="3">ROUND(-$E$22*D10/$D$19,2)</f>
        <v>#DIV/0!</v>
      </c>
      <c r="I10" s="23" t="e">
        <f t="shared" ref="I10:I18" si="4">+H10/D10</f>
        <v>#DIV/0!</v>
      </c>
      <c r="J10" s="2"/>
      <c r="K10" s="24" t="e">
        <f t="shared" ref="K10:K18" si="5">+C10*D10/$D$19</f>
        <v>#DIV/0!</v>
      </c>
      <c r="L10" s="194" t="e">
        <f t="shared" ref="L10:L18" si="6">+K10/$K$19</f>
        <v>#DIV/0!</v>
      </c>
      <c r="M10" s="25" t="e">
        <f t="shared" ref="M10:M18" si="7">+L10*$E$22</f>
        <v>#DIV/0!</v>
      </c>
      <c r="N10" s="26" t="e">
        <f t="shared" ref="N10:N18" si="8">+M10/D10</f>
        <v>#DIV/0!</v>
      </c>
      <c r="O10" s="30"/>
      <c r="P10" s="272">
        <f t="shared" si="0"/>
        <v>0</v>
      </c>
      <c r="Q10" s="272" t="e">
        <f t="shared" ref="Q10:Q18" si="9">+H10+M10</f>
        <v>#DIV/0!</v>
      </c>
      <c r="R10" s="224" t="e">
        <f>+Q10/P10</f>
        <v>#DIV/0!</v>
      </c>
      <c r="S10" s="33"/>
      <c r="T10" s="272" t="e">
        <f t="shared" ref="T10:T18" si="10">MAX((R10-capgas)*P10,0)</f>
        <v>#DIV/0!</v>
      </c>
      <c r="U10" s="27" t="e">
        <f t="shared" ref="U10:U18" si="11">MAX((capgas-R10)*P10,0)</f>
        <v>#DIV/0!</v>
      </c>
      <c r="V10" s="28">
        <f t="shared" si="1"/>
        <v>0</v>
      </c>
      <c r="W10" s="27" t="e">
        <f>+U10/V10</f>
        <v>#DIV/0!</v>
      </c>
      <c r="X10" s="29">
        <f t="shared" ref="X10:X18" si="12">+C10</f>
        <v>0</v>
      </c>
      <c r="Y10" s="127">
        <v>0</v>
      </c>
      <c r="Z10" s="224" t="e">
        <f t="shared" ref="Z10:Z18" si="13">+(P10+Q10-T10+Y10)/E10-1</f>
        <v>#DIV/0!</v>
      </c>
      <c r="AA10" s="272" t="e">
        <f t="shared" ref="AA10:AA18" si="14">MAX((-capgas-Z10)*E10,0)</f>
        <v>#DIV/0!</v>
      </c>
      <c r="AB10" s="27" t="e">
        <f t="shared" ref="AB10:AB18" si="15">IF(-capgas&lt;Z10,ROUND((Z10+capgas)*E10,2),0)</f>
        <v>#DIV/0!</v>
      </c>
      <c r="AC10" s="27">
        <f t="shared" si="2"/>
        <v>0</v>
      </c>
      <c r="AD10" s="27" t="e">
        <f>+AB10/AC10</f>
        <v>#DIV/0!</v>
      </c>
      <c r="AE10" s="29">
        <f t="shared" ref="AE10:AE18" si="16">+X10</f>
        <v>0</v>
      </c>
      <c r="AF10" s="127">
        <v>0</v>
      </c>
      <c r="AG10" s="282" t="e">
        <f t="shared" ref="AG10:AG18" si="17">+(P10+Q10-T10+Y10+AA10+AF10)/E10-1</f>
        <v>#DIV/0!</v>
      </c>
      <c r="AH10" s="30"/>
      <c r="AI10" s="27">
        <f t="shared" ref="AI10:AI18" si="18">+E10</f>
        <v>0</v>
      </c>
      <c r="AJ10" s="27" t="e">
        <f>+P10+Q10-T10+Y10+AA10+AF10</f>
        <v>#DIV/0!</v>
      </c>
      <c r="AK10" s="27" t="e">
        <f>+AJ10-AI10</f>
        <v>#DIV/0!</v>
      </c>
      <c r="AL10" s="288">
        <f>VLOOKUP($B10,Data!$C$23:$L$31,10,FALSE)</f>
        <v>0</v>
      </c>
      <c r="AM10" s="224" t="e">
        <f>ROUND(AK10/AL10,6)</f>
        <v>#DIV/0!</v>
      </c>
      <c r="AN10" s="285" t="e">
        <f t="shared" ref="AN10:AN18" si="19">ROUND((AJ10-AI10)/D10,2)</f>
        <v>#DIV/0!</v>
      </c>
    </row>
    <row r="11" spans="1:235" x14ac:dyDescent="0.2">
      <c r="A11" s="4">
        <v>2</v>
      </c>
      <c r="B11" s="120" t="str">
        <f>+Sorteren!M33</f>
        <v>Sibelgas</v>
      </c>
      <c r="C11" s="119">
        <f>+Sorteren!N33</f>
        <v>0</v>
      </c>
      <c r="D11" s="131">
        <f>VLOOKUP($B11,Data!$C$23:$J$31,8,FALSE)</f>
        <v>0</v>
      </c>
      <c r="E11" s="132">
        <f>VLOOKUP($B11,Data!$C$23:$K$31,9,FALSE)</f>
        <v>0</v>
      </c>
      <c r="F11" s="292"/>
      <c r="G11" s="290"/>
      <c r="H11" s="2" t="e">
        <f t="shared" si="3"/>
        <v>#DIV/0!</v>
      </c>
      <c r="I11" s="2" t="e">
        <f t="shared" si="4"/>
        <v>#DIV/0!</v>
      </c>
      <c r="J11" s="2"/>
      <c r="K11" s="31" t="e">
        <f t="shared" si="5"/>
        <v>#DIV/0!</v>
      </c>
      <c r="L11" s="195" t="e">
        <f t="shared" si="6"/>
        <v>#DIV/0!</v>
      </c>
      <c r="M11" s="32" t="e">
        <f t="shared" si="7"/>
        <v>#DIV/0!</v>
      </c>
      <c r="N11" s="5" t="e">
        <f t="shared" si="8"/>
        <v>#DIV/0!</v>
      </c>
      <c r="O11" s="30"/>
      <c r="P11" s="273">
        <f t="shared" si="0"/>
        <v>0</v>
      </c>
      <c r="Q11" s="273" t="e">
        <f t="shared" si="9"/>
        <v>#DIV/0!</v>
      </c>
      <c r="R11" s="225" t="e">
        <f t="shared" ref="R11:R18" si="20">+Q11/P11</f>
        <v>#DIV/0!</v>
      </c>
      <c r="S11" s="33"/>
      <c r="T11" s="273" t="e">
        <f t="shared" si="10"/>
        <v>#DIV/0!</v>
      </c>
      <c r="U11" s="30" t="e">
        <f t="shared" si="11"/>
        <v>#DIV/0!</v>
      </c>
      <c r="V11" s="34">
        <f t="shared" si="1"/>
        <v>0</v>
      </c>
      <c r="W11" s="30" t="e">
        <f t="shared" ref="W11:W18" si="21">+U11/V11</f>
        <v>#DIV/0!</v>
      </c>
      <c r="X11" s="35">
        <f t="shared" si="12"/>
        <v>0</v>
      </c>
      <c r="Y11" s="127">
        <v>0</v>
      </c>
      <c r="Z11" s="225" t="e">
        <f t="shared" si="13"/>
        <v>#DIV/0!</v>
      </c>
      <c r="AA11" s="273" t="e">
        <f t="shared" si="14"/>
        <v>#DIV/0!</v>
      </c>
      <c r="AB11" s="30" t="e">
        <f t="shared" si="15"/>
        <v>#DIV/0!</v>
      </c>
      <c r="AC11" s="30">
        <f t="shared" si="2"/>
        <v>0</v>
      </c>
      <c r="AD11" s="30" t="e">
        <f t="shared" ref="AD11:AD18" si="22">+AB11/AC11</f>
        <v>#DIV/0!</v>
      </c>
      <c r="AE11" s="35">
        <f t="shared" si="16"/>
        <v>0</v>
      </c>
      <c r="AF11" s="127">
        <v>0</v>
      </c>
      <c r="AG11" s="280" t="e">
        <f t="shared" si="17"/>
        <v>#DIV/0!</v>
      </c>
      <c r="AH11" s="30"/>
      <c r="AI11" s="30">
        <f t="shared" si="18"/>
        <v>0</v>
      </c>
      <c r="AJ11" s="30" t="e">
        <f t="shared" ref="AJ11:AJ18" si="23">+P11+Q11-T11+Y11+AA11+AF11</f>
        <v>#DIV/0!</v>
      </c>
      <c r="AK11" s="30" t="e">
        <f t="shared" ref="AK11:AK18" si="24">+AJ11-AI11</f>
        <v>#DIV/0!</v>
      </c>
      <c r="AL11" s="30">
        <f>VLOOKUP($B11,Data!$C$23:$L$31,10,FALSE)</f>
        <v>0</v>
      </c>
      <c r="AM11" s="225" t="e">
        <f t="shared" ref="AM11:AM18" si="25">ROUND(AK11/AL11,6)</f>
        <v>#DIV/0!</v>
      </c>
      <c r="AN11" s="286" t="e">
        <f t="shared" si="19"/>
        <v>#DIV/0!</v>
      </c>
    </row>
    <row r="12" spans="1:235" x14ac:dyDescent="0.2">
      <c r="A12" s="4">
        <v>3</v>
      </c>
      <c r="B12" s="120" t="str">
        <f>+Sorteren!M34</f>
        <v>Fluvius Limburg</v>
      </c>
      <c r="C12" s="119">
        <f>+Sorteren!N34</f>
        <v>0</v>
      </c>
      <c r="D12" s="131">
        <f>VLOOKUP($B12,Data!$C$23:$J$31,8,FALSE)</f>
        <v>0</v>
      </c>
      <c r="E12" s="132">
        <f>VLOOKUP($B12,Data!$C$23:$K$31,9,FALSE)</f>
        <v>0</v>
      </c>
      <c r="F12" s="292"/>
      <c r="G12" s="290"/>
      <c r="H12" s="2" t="e">
        <f t="shared" si="3"/>
        <v>#DIV/0!</v>
      </c>
      <c r="I12" s="2" t="e">
        <f t="shared" si="4"/>
        <v>#DIV/0!</v>
      </c>
      <c r="J12" s="2"/>
      <c r="K12" s="31" t="e">
        <f t="shared" si="5"/>
        <v>#DIV/0!</v>
      </c>
      <c r="L12" s="195" t="e">
        <f t="shared" si="6"/>
        <v>#DIV/0!</v>
      </c>
      <c r="M12" s="32" t="e">
        <f t="shared" si="7"/>
        <v>#DIV/0!</v>
      </c>
      <c r="N12" s="5" t="e">
        <f t="shared" si="8"/>
        <v>#DIV/0!</v>
      </c>
      <c r="O12" s="30"/>
      <c r="P12" s="273">
        <f t="shared" si="0"/>
        <v>0</v>
      </c>
      <c r="Q12" s="273" t="e">
        <f t="shared" si="9"/>
        <v>#DIV/0!</v>
      </c>
      <c r="R12" s="225" t="e">
        <f t="shared" si="20"/>
        <v>#DIV/0!</v>
      </c>
      <c r="S12" s="33"/>
      <c r="T12" s="273" t="e">
        <f t="shared" si="10"/>
        <v>#DIV/0!</v>
      </c>
      <c r="U12" s="30" t="e">
        <f t="shared" si="11"/>
        <v>#DIV/0!</v>
      </c>
      <c r="V12" s="34">
        <f t="shared" si="1"/>
        <v>0</v>
      </c>
      <c r="W12" s="30" t="e">
        <f t="shared" si="21"/>
        <v>#DIV/0!</v>
      </c>
      <c r="X12" s="35">
        <f t="shared" si="12"/>
        <v>0</v>
      </c>
      <c r="Y12" s="127">
        <v>0</v>
      </c>
      <c r="Z12" s="225" t="e">
        <f t="shared" si="13"/>
        <v>#DIV/0!</v>
      </c>
      <c r="AA12" s="273" t="e">
        <f t="shared" si="14"/>
        <v>#DIV/0!</v>
      </c>
      <c r="AB12" s="30" t="e">
        <f t="shared" si="15"/>
        <v>#DIV/0!</v>
      </c>
      <c r="AC12" s="30">
        <f t="shared" si="2"/>
        <v>0</v>
      </c>
      <c r="AD12" s="30" t="e">
        <f t="shared" si="22"/>
        <v>#DIV/0!</v>
      </c>
      <c r="AE12" s="35">
        <f t="shared" si="16"/>
        <v>0</v>
      </c>
      <c r="AF12" s="127">
        <v>0</v>
      </c>
      <c r="AG12" s="280" t="e">
        <f t="shared" si="17"/>
        <v>#DIV/0!</v>
      </c>
      <c r="AH12" s="30"/>
      <c r="AI12" s="30">
        <f t="shared" si="18"/>
        <v>0</v>
      </c>
      <c r="AJ12" s="30" t="e">
        <f t="shared" si="23"/>
        <v>#DIV/0!</v>
      </c>
      <c r="AK12" s="30" t="e">
        <f t="shared" si="24"/>
        <v>#DIV/0!</v>
      </c>
      <c r="AL12" s="30">
        <f>VLOOKUP($B12,Data!$C$23:$L$31,10,FALSE)</f>
        <v>0</v>
      </c>
      <c r="AM12" s="225" t="e">
        <f t="shared" si="25"/>
        <v>#DIV/0!</v>
      </c>
      <c r="AN12" s="286" t="e">
        <f t="shared" si="19"/>
        <v>#DIV/0!</v>
      </c>
    </row>
    <row r="13" spans="1:235" x14ac:dyDescent="0.2">
      <c r="A13" s="4">
        <v>4</v>
      </c>
      <c r="B13" s="120" t="str">
        <f>+Sorteren!M35</f>
        <v>Iveka</v>
      </c>
      <c r="C13" s="119">
        <f>+Sorteren!N35</f>
        <v>0</v>
      </c>
      <c r="D13" s="131">
        <f>VLOOKUP($B13,Data!$C$23:$J$31,8,FALSE)</f>
        <v>0</v>
      </c>
      <c r="E13" s="132">
        <f>VLOOKUP($B13,Data!$C$23:$K$31,9,FALSE)</f>
        <v>0</v>
      </c>
      <c r="F13" s="292"/>
      <c r="G13" s="290"/>
      <c r="H13" s="2" t="e">
        <f t="shared" si="3"/>
        <v>#DIV/0!</v>
      </c>
      <c r="I13" s="2" t="e">
        <f t="shared" si="4"/>
        <v>#DIV/0!</v>
      </c>
      <c r="J13" s="2"/>
      <c r="K13" s="31" t="e">
        <f t="shared" si="5"/>
        <v>#DIV/0!</v>
      </c>
      <c r="L13" s="195" t="e">
        <f t="shared" si="6"/>
        <v>#DIV/0!</v>
      </c>
      <c r="M13" s="32" t="e">
        <f t="shared" si="7"/>
        <v>#DIV/0!</v>
      </c>
      <c r="N13" s="5" t="e">
        <f t="shared" si="8"/>
        <v>#DIV/0!</v>
      </c>
      <c r="O13" s="30"/>
      <c r="P13" s="273">
        <f t="shared" si="0"/>
        <v>0</v>
      </c>
      <c r="Q13" s="273" t="e">
        <f t="shared" si="9"/>
        <v>#DIV/0!</v>
      </c>
      <c r="R13" s="225" t="e">
        <f t="shared" si="20"/>
        <v>#DIV/0!</v>
      </c>
      <c r="S13" s="33"/>
      <c r="T13" s="273" t="e">
        <f t="shared" si="10"/>
        <v>#DIV/0!</v>
      </c>
      <c r="U13" s="30" t="e">
        <f t="shared" si="11"/>
        <v>#DIV/0!</v>
      </c>
      <c r="V13" s="34">
        <f t="shared" si="1"/>
        <v>0</v>
      </c>
      <c r="W13" s="30" t="e">
        <f t="shared" si="21"/>
        <v>#DIV/0!</v>
      </c>
      <c r="X13" s="35">
        <f t="shared" si="12"/>
        <v>0</v>
      </c>
      <c r="Y13" s="127">
        <v>0</v>
      </c>
      <c r="Z13" s="225" t="e">
        <f t="shared" si="13"/>
        <v>#DIV/0!</v>
      </c>
      <c r="AA13" s="273" t="e">
        <f t="shared" si="14"/>
        <v>#DIV/0!</v>
      </c>
      <c r="AB13" s="30" t="e">
        <f t="shared" si="15"/>
        <v>#DIV/0!</v>
      </c>
      <c r="AC13" s="30">
        <f t="shared" si="2"/>
        <v>0</v>
      </c>
      <c r="AD13" s="30" t="e">
        <f t="shared" si="22"/>
        <v>#DIV/0!</v>
      </c>
      <c r="AE13" s="35">
        <f t="shared" si="16"/>
        <v>0</v>
      </c>
      <c r="AF13" s="127">
        <v>0</v>
      </c>
      <c r="AG13" s="280" t="e">
        <f t="shared" si="17"/>
        <v>#DIV/0!</v>
      </c>
      <c r="AH13" s="30"/>
      <c r="AI13" s="30">
        <f t="shared" si="18"/>
        <v>0</v>
      </c>
      <c r="AJ13" s="30" t="e">
        <f t="shared" si="23"/>
        <v>#DIV/0!</v>
      </c>
      <c r="AK13" s="30" t="e">
        <f t="shared" si="24"/>
        <v>#DIV/0!</v>
      </c>
      <c r="AL13" s="30">
        <f>VLOOKUP($B13,Data!$C$23:$L$31,10,FALSE)</f>
        <v>0</v>
      </c>
      <c r="AM13" s="225" t="e">
        <f t="shared" si="25"/>
        <v>#DIV/0!</v>
      </c>
      <c r="AN13" s="286" t="e">
        <f t="shared" si="19"/>
        <v>#DIV/0!</v>
      </c>
    </row>
    <row r="14" spans="1:235" x14ac:dyDescent="0.2">
      <c r="A14" s="4">
        <v>5</v>
      </c>
      <c r="B14" s="120" t="str">
        <f>+Sorteren!M36</f>
        <v>Imewo</v>
      </c>
      <c r="C14" s="119">
        <f>+Sorteren!N36</f>
        <v>0</v>
      </c>
      <c r="D14" s="131">
        <f>VLOOKUP($B14,Data!$C$23:$J$31,8,FALSE)</f>
        <v>0</v>
      </c>
      <c r="E14" s="132">
        <f>VLOOKUP($B14,Data!$C$23:$K$31,9,FALSE)</f>
        <v>0</v>
      </c>
      <c r="F14" s="292"/>
      <c r="G14" s="290"/>
      <c r="H14" s="2" t="e">
        <f t="shared" si="3"/>
        <v>#DIV/0!</v>
      </c>
      <c r="I14" s="2" t="e">
        <f t="shared" si="4"/>
        <v>#DIV/0!</v>
      </c>
      <c r="J14" s="2"/>
      <c r="K14" s="31" t="e">
        <f t="shared" si="5"/>
        <v>#DIV/0!</v>
      </c>
      <c r="L14" s="195" t="e">
        <f t="shared" si="6"/>
        <v>#DIV/0!</v>
      </c>
      <c r="M14" s="32" t="e">
        <f t="shared" si="7"/>
        <v>#DIV/0!</v>
      </c>
      <c r="N14" s="5" t="e">
        <f t="shared" si="8"/>
        <v>#DIV/0!</v>
      </c>
      <c r="O14" s="30"/>
      <c r="P14" s="273">
        <f t="shared" si="0"/>
        <v>0</v>
      </c>
      <c r="Q14" s="273" t="e">
        <f t="shared" si="9"/>
        <v>#DIV/0!</v>
      </c>
      <c r="R14" s="225" t="e">
        <f t="shared" si="20"/>
        <v>#DIV/0!</v>
      </c>
      <c r="S14" s="33"/>
      <c r="T14" s="273" t="e">
        <f t="shared" si="10"/>
        <v>#DIV/0!</v>
      </c>
      <c r="U14" s="30" t="e">
        <f t="shared" si="11"/>
        <v>#DIV/0!</v>
      </c>
      <c r="V14" s="34">
        <f t="shared" si="1"/>
        <v>0</v>
      </c>
      <c r="W14" s="30" t="e">
        <f t="shared" si="21"/>
        <v>#DIV/0!</v>
      </c>
      <c r="X14" s="35">
        <f t="shared" si="12"/>
        <v>0</v>
      </c>
      <c r="Y14" s="127">
        <v>0</v>
      </c>
      <c r="Z14" s="225" t="e">
        <f t="shared" si="13"/>
        <v>#DIV/0!</v>
      </c>
      <c r="AA14" s="273" t="e">
        <f t="shared" si="14"/>
        <v>#DIV/0!</v>
      </c>
      <c r="AB14" s="30" t="e">
        <f t="shared" si="15"/>
        <v>#DIV/0!</v>
      </c>
      <c r="AC14" s="30">
        <f t="shared" si="2"/>
        <v>0</v>
      </c>
      <c r="AD14" s="30" t="e">
        <f t="shared" si="22"/>
        <v>#DIV/0!</v>
      </c>
      <c r="AE14" s="35">
        <f t="shared" si="16"/>
        <v>0</v>
      </c>
      <c r="AF14" s="127">
        <v>0</v>
      </c>
      <c r="AG14" s="280" t="e">
        <f t="shared" si="17"/>
        <v>#DIV/0!</v>
      </c>
      <c r="AH14" s="30"/>
      <c r="AI14" s="30">
        <f t="shared" si="18"/>
        <v>0</v>
      </c>
      <c r="AJ14" s="30" t="e">
        <f t="shared" si="23"/>
        <v>#DIV/0!</v>
      </c>
      <c r="AK14" s="30" t="e">
        <f t="shared" si="24"/>
        <v>#DIV/0!</v>
      </c>
      <c r="AL14" s="30">
        <f>VLOOKUP($B14,Data!$C$23:$L$31,10,FALSE)</f>
        <v>0</v>
      </c>
      <c r="AM14" s="225" t="e">
        <f t="shared" si="25"/>
        <v>#DIV/0!</v>
      </c>
      <c r="AN14" s="286" t="e">
        <f t="shared" si="19"/>
        <v>#DIV/0!</v>
      </c>
      <c r="AP14" s="298"/>
      <c r="AQ14" s="7"/>
    </row>
    <row r="15" spans="1:235" x14ac:dyDescent="0.2">
      <c r="A15" s="4">
        <v>6</v>
      </c>
      <c r="B15" s="120" t="str">
        <f>+Sorteren!M37</f>
        <v>Iverlek</v>
      </c>
      <c r="C15" s="119">
        <f>+Sorteren!N37</f>
        <v>0</v>
      </c>
      <c r="D15" s="131">
        <f>VLOOKUP($B15,Data!$C$23:$J$31,8,FALSE)</f>
        <v>0</v>
      </c>
      <c r="E15" s="132">
        <f>VLOOKUP($B15,Data!$C$23:$K$31,9,FALSE)</f>
        <v>0</v>
      </c>
      <c r="F15" s="292"/>
      <c r="G15" s="290"/>
      <c r="H15" s="2" t="e">
        <f t="shared" si="3"/>
        <v>#DIV/0!</v>
      </c>
      <c r="I15" s="2" t="e">
        <f t="shared" si="4"/>
        <v>#DIV/0!</v>
      </c>
      <c r="J15" s="2"/>
      <c r="K15" s="31" t="e">
        <f t="shared" si="5"/>
        <v>#DIV/0!</v>
      </c>
      <c r="L15" s="195" t="e">
        <f t="shared" si="6"/>
        <v>#DIV/0!</v>
      </c>
      <c r="M15" s="32" t="e">
        <f t="shared" si="7"/>
        <v>#DIV/0!</v>
      </c>
      <c r="N15" s="5" t="e">
        <f t="shared" si="8"/>
        <v>#DIV/0!</v>
      </c>
      <c r="O15" s="30"/>
      <c r="P15" s="273">
        <f t="shared" si="0"/>
        <v>0</v>
      </c>
      <c r="Q15" s="273" t="e">
        <f t="shared" si="9"/>
        <v>#DIV/0!</v>
      </c>
      <c r="R15" s="225" t="e">
        <f t="shared" si="20"/>
        <v>#DIV/0!</v>
      </c>
      <c r="S15" s="33"/>
      <c r="T15" s="273" t="e">
        <f t="shared" si="10"/>
        <v>#DIV/0!</v>
      </c>
      <c r="U15" s="30" t="e">
        <f t="shared" si="11"/>
        <v>#DIV/0!</v>
      </c>
      <c r="V15" s="34">
        <f t="shared" si="1"/>
        <v>0</v>
      </c>
      <c r="W15" s="30" t="e">
        <f t="shared" si="21"/>
        <v>#DIV/0!</v>
      </c>
      <c r="X15" s="35">
        <f t="shared" si="12"/>
        <v>0</v>
      </c>
      <c r="Y15" s="127">
        <v>0</v>
      </c>
      <c r="Z15" s="225" t="e">
        <f t="shared" si="13"/>
        <v>#DIV/0!</v>
      </c>
      <c r="AA15" s="273" t="e">
        <f t="shared" si="14"/>
        <v>#DIV/0!</v>
      </c>
      <c r="AB15" s="30" t="e">
        <f t="shared" si="15"/>
        <v>#DIV/0!</v>
      </c>
      <c r="AC15" s="30">
        <f t="shared" si="2"/>
        <v>0</v>
      </c>
      <c r="AD15" s="30" t="e">
        <f t="shared" si="22"/>
        <v>#DIV/0!</v>
      </c>
      <c r="AE15" s="35">
        <f t="shared" si="16"/>
        <v>0</v>
      </c>
      <c r="AF15" s="127">
        <v>0</v>
      </c>
      <c r="AG15" s="280" t="e">
        <f t="shared" si="17"/>
        <v>#DIV/0!</v>
      </c>
      <c r="AH15" s="30"/>
      <c r="AI15" s="30">
        <f t="shared" si="18"/>
        <v>0</v>
      </c>
      <c r="AJ15" s="30" t="e">
        <f t="shared" si="23"/>
        <v>#DIV/0!</v>
      </c>
      <c r="AK15" s="30" t="e">
        <f t="shared" si="24"/>
        <v>#DIV/0!</v>
      </c>
      <c r="AL15" s="30">
        <f>VLOOKUP($B15,Data!$C$23:$L$31,10,FALSE)</f>
        <v>0</v>
      </c>
      <c r="AM15" s="225" t="e">
        <f t="shared" si="25"/>
        <v>#DIV/0!</v>
      </c>
      <c r="AN15" s="286" t="e">
        <f t="shared" si="19"/>
        <v>#DIV/0!</v>
      </c>
    </row>
    <row r="16" spans="1:235" x14ac:dyDescent="0.2">
      <c r="A16" s="4">
        <v>7</v>
      </c>
      <c r="B16" s="120" t="str">
        <f>+Sorteren!M38</f>
        <v>Fluvius West</v>
      </c>
      <c r="C16" s="119">
        <f>+Sorteren!N38</f>
        <v>0</v>
      </c>
      <c r="D16" s="131">
        <f>VLOOKUP($B16,Data!$C$23:$J$31,8,FALSE)</f>
        <v>0</v>
      </c>
      <c r="E16" s="132">
        <f>VLOOKUP($B16,Data!$C$23:$K$31,9,FALSE)</f>
        <v>0</v>
      </c>
      <c r="F16" s="292"/>
      <c r="G16" s="290"/>
      <c r="H16" s="2" t="e">
        <f t="shared" si="3"/>
        <v>#DIV/0!</v>
      </c>
      <c r="I16" s="2" t="e">
        <f t="shared" si="4"/>
        <v>#DIV/0!</v>
      </c>
      <c r="J16" s="2"/>
      <c r="K16" s="31" t="e">
        <f t="shared" si="5"/>
        <v>#DIV/0!</v>
      </c>
      <c r="L16" s="195" t="e">
        <f t="shared" si="6"/>
        <v>#DIV/0!</v>
      </c>
      <c r="M16" s="32" t="e">
        <f t="shared" si="7"/>
        <v>#DIV/0!</v>
      </c>
      <c r="N16" s="5" t="e">
        <f t="shared" si="8"/>
        <v>#DIV/0!</v>
      </c>
      <c r="O16" s="30"/>
      <c r="P16" s="273">
        <f t="shared" si="0"/>
        <v>0</v>
      </c>
      <c r="Q16" s="273" t="e">
        <f t="shared" si="9"/>
        <v>#DIV/0!</v>
      </c>
      <c r="R16" s="225" t="e">
        <f t="shared" si="20"/>
        <v>#DIV/0!</v>
      </c>
      <c r="S16" s="33"/>
      <c r="T16" s="273" t="e">
        <f t="shared" si="10"/>
        <v>#DIV/0!</v>
      </c>
      <c r="U16" s="30" t="e">
        <f t="shared" si="11"/>
        <v>#DIV/0!</v>
      </c>
      <c r="V16" s="34">
        <f t="shared" si="1"/>
        <v>0</v>
      </c>
      <c r="W16" s="30" t="e">
        <f t="shared" si="21"/>
        <v>#DIV/0!</v>
      </c>
      <c r="X16" s="35">
        <f t="shared" si="12"/>
        <v>0</v>
      </c>
      <c r="Y16" s="127">
        <v>0</v>
      </c>
      <c r="Z16" s="225" t="e">
        <f t="shared" si="13"/>
        <v>#DIV/0!</v>
      </c>
      <c r="AA16" s="273" t="e">
        <f t="shared" si="14"/>
        <v>#DIV/0!</v>
      </c>
      <c r="AB16" s="30" t="e">
        <f t="shared" si="15"/>
        <v>#DIV/0!</v>
      </c>
      <c r="AC16" s="30">
        <f t="shared" si="2"/>
        <v>0</v>
      </c>
      <c r="AD16" s="30" t="e">
        <f t="shared" si="22"/>
        <v>#DIV/0!</v>
      </c>
      <c r="AE16" s="35">
        <f t="shared" si="16"/>
        <v>0</v>
      </c>
      <c r="AF16" s="127">
        <v>0</v>
      </c>
      <c r="AG16" s="280" t="e">
        <f t="shared" si="17"/>
        <v>#DIV/0!</v>
      </c>
      <c r="AH16" s="30"/>
      <c r="AI16" s="30">
        <f t="shared" si="18"/>
        <v>0</v>
      </c>
      <c r="AJ16" s="30" t="e">
        <f t="shared" si="23"/>
        <v>#DIV/0!</v>
      </c>
      <c r="AK16" s="30" t="e">
        <f t="shared" si="24"/>
        <v>#DIV/0!</v>
      </c>
      <c r="AL16" s="30">
        <f>VLOOKUP($B16,Data!$C$23:$L$31,10,FALSE)</f>
        <v>0</v>
      </c>
      <c r="AM16" s="225" t="e">
        <f t="shared" si="25"/>
        <v>#DIV/0!</v>
      </c>
      <c r="AN16" s="286" t="e">
        <f t="shared" si="19"/>
        <v>#DIV/0!</v>
      </c>
    </row>
    <row r="17" spans="1:65" x14ac:dyDescent="0.2">
      <c r="A17" s="4">
        <v>8</v>
      </c>
      <c r="B17" s="120" t="str">
        <f>+Sorteren!M39</f>
        <v>Fluvius Antwerpen</v>
      </c>
      <c r="C17" s="119">
        <f>+Sorteren!N39</f>
        <v>0</v>
      </c>
      <c r="D17" s="131">
        <f>VLOOKUP($B17,Data!$C$23:$J$31,8,FALSE)</f>
        <v>0</v>
      </c>
      <c r="E17" s="132">
        <f>VLOOKUP($B17,Data!$C$23:$K$31,9,FALSE)</f>
        <v>0</v>
      </c>
      <c r="F17" s="292"/>
      <c r="G17" s="290"/>
      <c r="H17" s="2" t="e">
        <f t="shared" si="3"/>
        <v>#DIV/0!</v>
      </c>
      <c r="I17" s="2" t="e">
        <f t="shared" si="4"/>
        <v>#DIV/0!</v>
      </c>
      <c r="J17" s="2"/>
      <c r="K17" s="31" t="e">
        <f t="shared" si="5"/>
        <v>#DIV/0!</v>
      </c>
      <c r="L17" s="195" t="e">
        <f t="shared" si="6"/>
        <v>#DIV/0!</v>
      </c>
      <c r="M17" s="32" t="e">
        <f t="shared" si="7"/>
        <v>#DIV/0!</v>
      </c>
      <c r="N17" s="5" t="e">
        <f t="shared" si="8"/>
        <v>#DIV/0!</v>
      </c>
      <c r="O17" s="30"/>
      <c r="P17" s="273">
        <f t="shared" si="0"/>
        <v>0</v>
      </c>
      <c r="Q17" s="273" t="e">
        <f t="shared" si="9"/>
        <v>#DIV/0!</v>
      </c>
      <c r="R17" s="225" t="e">
        <f t="shared" si="20"/>
        <v>#DIV/0!</v>
      </c>
      <c r="S17" s="33"/>
      <c r="T17" s="273" t="e">
        <f t="shared" si="10"/>
        <v>#DIV/0!</v>
      </c>
      <c r="U17" s="30" t="e">
        <f t="shared" si="11"/>
        <v>#DIV/0!</v>
      </c>
      <c r="V17" s="34">
        <f t="shared" si="1"/>
        <v>0</v>
      </c>
      <c r="W17" s="30" t="e">
        <f t="shared" si="21"/>
        <v>#DIV/0!</v>
      </c>
      <c r="X17" s="35">
        <f t="shared" si="12"/>
        <v>0</v>
      </c>
      <c r="Y17" s="127">
        <v>0</v>
      </c>
      <c r="Z17" s="225" t="e">
        <f t="shared" si="13"/>
        <v>#DIV/0!</v>
      </c>
      <c r="AA17" s="273" t="e">
        <f t="shared" si="14"/>
        <v>#DIV/0!</v>
      </c>
      <c r="AB17" s="30" t="e">
        <f t="shared" si="15"/>
        <v>#DIV/0!</v>
      </c>
      <c r="AC17" s="30">
        <f t="shared" si="2"/>
        <v>0</v>
      </c>
      <c r="AD17" s="30" t="e">
        <f t="shared" si="22"/>
        <v>#DIV/0!</v>
      </c>
      <c r="AE17" s="35">
        <f t="shared" si="16"/>
        <v>0</v>
      </c>
      <c r="AF17" s="127">
        <v>0</v>
      </c>
      <c r="AG17" s="280" t="e">
        <f t="shared" si="17"/>
        <v>#DIV/0!</v>
      </c>
      <c r="AH17" s="30"/>
      <c r="AI17" s="30">
        <f t="shared" si="18"/>
        <v>0</v>
      </c>
      <c r="AJ17" s="30" t="e">
        <f t="shared" si="23"/>
        <v>#DIV/0!</v>
      </c>
      <c r="AK17" s="30" t="e">
        <f t="shared" si="24"/>
        <v>#DIV/0!</v>
      </c>
      <c r="AL17" s="30">
        <f>VLOOKUP($B17,Data!$C$23:$L$31,10,FALSE)</f>
        <v>0</v>
      </c>
      <c r="AM17" s="225" t="e">
        <f t="shared" si="25"/>
        <v>#DIV/0!</v>
      </c>
      <c r="AN17" s="286" t="e">
        <f t="shared" si="19"/>
        <v>#DIV/0!</v>
      </c>
    </row>
    <row r="18" spans="1:65" x14ac:dyDescent="0.2">
      <c r="A18" s="4">
        <v>9</v>
      </c>
      <c r="B18" s="121" t="str">
        <f>+Sorteren!M40</f>
        <v>Gaselwest</v>
      </c>
      <c r="C18" s="226">
        <f>+Sorteren!N40</f>
        <v>0</v>
      </c>
      <c r="D18" s="133">
        <f>VLOOKUP($B18,Data!$C$23:$J$31,8,FALSE)</f>
        <v>0</v>
      </c>
      <c r="E18" s="134">
        <f>VLOOKUP($B18,Data!$C$23:$K$31,9,FALSE)</f>
        <v>0</v>
      </c>
      <c r="F18" s="292"/>
      <c r="G18" s="290"/>
      <c r="H18" s="2" t="e">
        <f t="shared" si="3"/>
        <v>#DIV/0!</v>
      </c>
      <c r="I18" s="3" t="e">
        <f t="shared" si="4"/>
        <v>#DIV/0!</v>
      </c>
      <c r="J18" s="2"/>
      <c r="K18" s="36" t="e">
        <f t="shared" si="5"/>
        <v>#DIV/0!</v>
      </c>
      <c r="L18" s="196" t="e">
        <f t="shared" si="6"/>
        <v>#DIV/0!</v>
      </c>
      <c r="M18" s="37" t="e">
        <f t="shared" si="7"/>
        <v>#DIV/0!</v>
      </c>
      <c r="N18" s="6" t="e">
        <f t="shared" si="8"/>
        <v>#DIV/0!</v>
      </c>
      <c r="O18" s="30"/>
      <c r="P18" s="274">
        <f t="shared" si="0"/>
        <v>0</v>
      </c>
      <c r="Q18" s="274" t="e">
        <f t="shared" si="9"/>
        <v>#DIV/0!</v>
      </c>
      <c r="R18" s="170" t="e">
        <f t="shared" si="20"/>
        <v>#DIV/0!</v>
      </c>
      <c r="S18" s="33"/>
      <c r="T18" s="274" t="e">
        <f t="shared" si="10"/>
        <v>#DIV/0!</v>
      </c>
      <c r="U18" s="38" t="e">
        <f t="shared" si="11"/>
        <v>#DIV/0!</v>
      </c>
      <c r="V18" s="39">
        <f t="shared" si="1"/>
        <v>0</v>
      </c>
      <c r="W18" s="38" t="e">
        <f t="shared" si="21"/>
        <v>#DIV/0!</v>
      </c>
      <c r="X18" s="40">
        <f t="shared" si="12"/>
        <v>0</v>
      </c>
      <c r="Y18" s="127">
        <v>0</v>
      </c>
      <c r="Z18" s="170" t="e">
        <f t="shared" si="13"/>
        <v>#DIV/0!</v>
      </c>
      <c r="AA18" s="274" t="e">
        <f t="shared" si="14"/>
        <v>#DIV/0!</v>
      </c>
      <c r="AB18" s="38" t="e">
        <f t="shared" si="15"/>
        <v>#DIV/0!</v>
      </c>
      <c r="AC18" s="38">
        <f t="shared" si="2"/>
        <v>0</v>
      </c>
      <c r="AD18" s="38" t="e">
        <f t="shared" si="22"/>
        <v>#DIV/0!</v>
      </c>
      <c r="AE18" s="40">
        <f t="shared" si="16"/>
        <v>0</v>
      </c>
      <c r="AF18" s="127">
        <v>0</v>
      </c>
      <c r="AG18" s="281" t="e">
        <f t="shared" si="17"/>
        <v>#DIV/0!</v>
      </c>
      <c r="AH18" s="30"/>
      <c r="AI18" s="38">
        <f t="shared" si="18"/>
        <v>0</v>
      </c>
      <c r="AJ18" s="38" t="e">
        <f t="shared" si="23"/>
        <v>#DIV/0!</v>
      </c>
      <c r="AK18" s="38" t="e">
        <f t="shared" si="24"/>
        <v>#DIV/0!</v>
      </c>
      <c r="AL18" s="38">
        <f>VLOOKUP($B18,Data!$C$23:$L$31,10,FALSE)</f>
        <v>0</v>
      </c>
      <c r="AM18" s="170" t="e">
        <f t="shared" si="25"/>
        <v>#DIV/0!</v>
      </c>
      <c r="AN18" s="287" t="e">
        <f t="shared" si="19"/>
        <v>#DIV/0!</v>
      </c>
    </row>
    <row r="19" spans="1:65" s="41" customFormat="1" x14ac:dyDescent="0.2">
      <c r="B19" s="42" t="s">
        <v>11</v>
      </c>
      <c r="C19" s="42"/>
      <c r="D19" s="43">
        <f>SUM(D10:D18)</f>
        <v>0</v>
      </c>
      <c r="E19" s="44">
        <f>SUM(E10:E18)</f>
        <v>0</v>
      </c>
      <c r="F19" s="44"/>
      <c r="G19" s="8"/>
      <c r="H19" s="165" t="e">
        <f>SUM(H10:H18)</f>
        <v>#DIV/0!</v>
      </c>
      <c r="I19" s="8"/>
      <c r="J19" s="8"/>
      <c r="K19" s="36" t="e">
        <f>SUM(K10:K18)</f>
        <v>#DIV/0!</v>
      </c>
      <c r="L19" s="222" t="e">
        <f>SUM(L10:L18)</f>
        <v>#DIV/0!</v>
      </c>
      <c r="M19" s="37" t="e">
        <f>SUM(M10:M18)</f>
        <v>#DIV/0!</v>
      </c>
      <c r="O19" s="167"/>
      <c r="Q19" s="167" t="e">
        <f>SUM(Q10:Q18)</f>
        <v>#DIV/0!</v>
      </c>
      <c r="R19" s="42"/>
      <c r="S19" s="42"/>
      <c r="T19" s="167" t="e">
        <f>SUM(T10:T18)</f>
        <v>#DIV/0!</v>
      </c>
      <c r="U19" s="167"/>
      <c r="V19" s="167"/>
      <c r="W19" s="167"/>
      <c r="Y19" s="167">
        <f>SUM(Y10:Y18)</f>
        <v>0</v>
      </c>
      <c r="Z19" s="167"/>
      <c r="AA19" s="167" t="e">
        <f>SUM(AA10:AA18)</f>
        <v>#DIV/0!</v>
      </c>
      <c r="AB19" s="167"/>
      <c r="AC19" s="167"/>
      <c r="AD19" s="167"/>
      <c r="AF19" s="44">
        <f>SUM(AF10:AF18)</f>
        <v>0</v>
      </c>
      <c r="AG19" s="167"/>
      <c r="AH19" s="167"/>
      <c r="AI19" s="166">
        <f>SUM(AI10:AI18)</f>
        <v>0</v>
      </c>
      <c r="AJ19" s="168" t="e">
        <f>SUM(AJ10:AJ18)</f>
        <v>#DIV/0!</v>
      </c>
      <c r="AK19" s="168" t="e">
        <f>SUM(AK10:AK18)</f>
        <v>#DIV/0!</v>
      </c>
      <c r="AL19" s="168">
        <f>SUM(AL10:AL18)</f>
        <v>0</v>
      </c>
      <c r="AM19" s="167"/>
      <c r="AO19" s="4"/>
      <c r="AP19" s="4"/>
      <c r="AQ19" s="4"/>
      <c r="AR19" s="4"/>
      <c r="AS19" s="4"/>
      <c r="AT19" s="4"/>
      <c r="AU19" s="4"/>
      <c r="AV19" s="4"/>
      <c r="AW19" s="4"/>
      <c r="AX19" s="4"/>
      <c r="AY19" s="4"/>
      <c r="AZ19" s="4"/>
      <c r="BA19" s="4"/>
      <c r="BB19" s="4"/>
      <c r="BC19" s="4"/>
      <c r="BD19" s="4"/>
      <c r="BE19" s="4"/>
      <c r="BF19" s="4"/>
      <c r="BG19" s="4"/>
      <c r="BH19" s="4"/>
      <c r="BI19" s="4"/>
      <c r="BJ19" s="4"/>
      <c r="BK19" s="4"/>
      <c r="BL19" s="4"/>
      <c r="BM19" s="4"/>
    </row>
    <row r="20" spans="1:65" x14ac:dyDescent="0.2">
      <c r="B20" s="8"/>
      <c r="C20" s="45"/>
      <c r="N20" s="4"/>
      <c r="O20" s="167"/>
      <c r="R20" s="10"/>
      <c r="S20" s="10"/>
      <c r="T20" s="4"/>
      <c r="X20" s="8"/>
      <c r="Y20" s="7" t="e">
        <f>SUM(Y10:Y18)-T19</f>
        <v>#DIV/0!</v>
      </c>
      <c r="Z20" s="7"/>
      <c r="AE20" s="8"/>
      <c r="AF20" s="11" t="e">
        <f>+AF19+AA19</f>
        <v>#DIV/0!</v>
      </c>
      <c r="AG20" s="167"/>
      <c r="AH20" s="167"/>
      <c r="AI20" s="167"/>
      <c r="AJ20" s="167"/>
      <c r="AK20" s="167"/>
      <c r="AL20" s="167"/>
      <c r="AM20" s="169"/>
      <c r="AN20" s="41"/>
    </row>
    <row r="21" spans="1:65" x14ac:dyDescent="0.2">
      <c r="D21" s="8" t="s">
        <v>114</v>
      </c>
      <c r="E21" s="215">
        <f>+'Q%'!P27</f>
        <v>4.6999999999999999E-4</v>
      </c>
      <c r="K21" s="8"/>
      <c r="L21" s="8"/>
      <c r="M21" s="7"/>
      <c r="N21" s="4"/>
      <c r="O21" s="41"/>
      <c r="Q21" s="8" t="s">
        <v>141</v>
      </c>
      <c r="R21" s="276">
        <f>+capgas</f>
        <v>6.3000000000000003E-4</v>
      </c>
      <c r="S21" s="220"/>
      <c r="T21" s="9"/>
      <c r="Y21" s="8" t="s">
        <v>140</v>
      </c>
      <c r="Z21" s="276">
        <f>-capgas</f>
        <v>-6.3000000000000003E-4</v>
      </c>
      <c r="AF21" s="41"/>
      <c r="AG21" s="171">
        <f>capgas</f>
        <v>6.3000000000000003E-4</v>
      </c>
      <c r="AH21" s="41"/>
      <c r="AI21" s="41"/>
      <c r="AJ21" s="41"/>
      <c r="AK21" s="8"/>
      <c r="AL21" s="8"/>
      <c r="AM21" s="219"/>
      <c r="AN21" s="41"/>
    </row>
    <row r="22" spans="1:65" x14ac:dyDescent="0.2">
      <c r="C22" s="45"/>
      <c r="D22" s="46" t="s">
        <v>51</v>
      </c>
      <c r="E22" s="193">
        <f>+E21*E19</f>
        <v>0</v>
      </c>
      <c r="K22" s="8"/>
      <c r="L22" s="8"/>
      <c r="M22" s="197"/>
      <c r="N22" s="4"/>
      <c r="R22" s="10"/>
      <c r="S22" s="10"/>
      <c r="T22" s="7"/>
    </row>
    <row r="23" spans="1:65" ht="12.75" customHeight="1" x14ac:dyDescent="0.2">
      <c r="B23" s="8"/>
      <c r="D23" s="47"/>
      <c r="E23" s="47"/>
      <c r="F23" s="47"/>
      <c r="K23" s="8"/>
      <c r="L23" s="8"/>
      <c r="M23" s="198"/>
      <c r="N23" s="4"/>
      <c r="O23" s="7"/>
      <c r="R23" s="10"/>
      <c r="S23" s="10"/>
      <c r="T23" s="351" t="s">
        <v>176</v>
      </c>
      <c r="U23" s="352"/>
      <c r="V23" s="352"/>
      <c r="W23" s="352"/>
      <c r="X23" s="352"/>
      <c r="Y23" s="352"/>
      <c r="Z23" s="353"/>
      <c r="AA23" s="351" t="s">
        <v>177</v>
      </c>
      <c r="AB23" s="352"/>
      <c r="AC23" s="352"/>
      <c r="AD23" s="352"/>
      <c r="AE23" s="352"/>
      <c r="AF23" s="352"/>
      <c r="AG23" s="353"/>
      <c r="AH23" s="7"/>
    </row>
    <row r="24" spans="1:65" ht="12.75" customHeight="1" x14ac:dyDescent="0.2">
      <c r="D24" s="8" t="s">
        <v>129</v>
      </c>
      <c r="E24" s="223">
        <f>+capgas</f>
        <v>6.3000000000000003E-4</v>
      </c>
      <c r="N24" s="4"/>
      <c r="R24" s="10"/>
      <c r="S24" s="10"/>
      <c r="T24" s="354"/>
      <c r="U24" s="355"/>
      <c r="V24" s="355"/>
      <c r="W24" s="355"/>
      <c r="X24" s="355"/>
      <c r="Y24" s="355"/>
      <c r="Z24" s="356"/>
      <c r="AA24" s="354"/>
      <c r="AB24" s="355"/>
      <c r="AC24" s="355"/>
      <c r="AD24" s="355"/>
      <c r="AE24" s="355"/>
      <c r="AF24" s="355"/>
      <c r="AG24" s="356"/>
    </row>
    <row r="25" spans="1:65" ht="12.75" customHeight="1" x14ac:dyDescent="0.2">
      <c r="N25" s="4"/>
      <c r="R25" s="10"/>
      <c r="S25" s="10"/>
      <c r="T25" s="354"/>
      <c r="U25" s="355"/>
      <c r="V25" s="355"/>
      <c r="W25" s="355"/>
      <c r="X25" s="355"/>
      <c r="Y25" s="355"/>
      <c r="Z25" s="356"/>
      <c r="AA25" s="354"/>
      <c r="AB25" s="355"/>
      <c r="AC25" s="355"/>
      <c r="AD25" s="355"/>
      <c r="AE25" s="355"/>
      <c r="AF25" s="355"/>
      <c r="AG25" s="356"/>
    </row>
    <row r="26" spans="1:65" ht="12.75" customHeight="1" x14ac:dyDescent="0.2">
      <c r="C26" s="45"/>
      <c r="D26" s="8"/>
      <c r="K26" s="4"/>
      <c r="L26" s="4"/>
      <c r="M26" s="4"/>
      <c r="N26" s="4"/>
      <c r="R26" s="10"/>
      <c r="S26" s="10"/>
      <c r="T26" s="354"/>
      <c r="U26" s="355"/>
      <c r="V26" s="355"/>
      <c r="W26" s="355"/>
      <c r="X26" s="355"/>
      <c r="Y26" s="355"/>
      <c r="Z26" s="356"/>
      <c r="AA26" s="354"/>
      <c r="AB26" s="355"/>
      <c r="AC26" s="355"/>
      <c r="AD26" s="355"/>
      <c r="AE26" s="355"/>
      <c r="AF26" s="355"/>
      <c r="AG26" s="356"/>
      <c r="AN26" s="9"/>
    </row>
    <row r="27" spans="1:65" ht="12.75" customHeight="1" x14ac:dyDescent="0.2">
      <c r="B27" s="8"/>
      <c r="K27" s="4"/>
      <c r="L27" s="4"/>
      <c r="M27" s="4"/>
      <c r="N27" s="4"/>
      <c r="R27" s="10"/>
      <c r="S27" s="10"/>
      <c r="T27" s="354"/>
      <c r="U27" s="355"/>
      <c r="V27" s="355"/>
      <c r="W27" s="355"/>
      <c r="X27" s="355"/>
      <c r="Y27" s="355"/>
      <c r="Z27" s="356"/>
      <c r="AA27" s="354"/>
      <c r="AB27" s="355"/>
      <c r="AC27" s="355"/>
      <c r="AD27" s="355"/>
      <c r="AE27" s="355"/>
      <c r="AF27" s="355"/>
      <c r="AG27" s="356"/>
      <c r="AN27" s="9"/>
    </row>
    <row r="28" spans="1:65" ht="12.75" customHeight="1" x14ac:dyDescent="0.2">
      <c r="N28" s="4"/>
      <c r="R28" s="10"/>
      <c r="S28" s="10"/>
      <c r="T28" s="354"/>
      <c r="U28" s="355"/>
      <c r="V28" s="355"/>
      <c r="W28" s="355"/>
      <c r="X28" s="355"/>
      <c r="Y28" s="355"/>
      <c r="Z28" s="356"/>
      <c r="AA28" s="354"/>
      <c r="AB28" s="355"/>
      <c r="AC28" s="355"/>
      <c r="AD28" s="355"/>
      <c r="AE28" s="355"/>
      <c r="AF28" s="355"/>
      <c r="AG28" s="356"/>
      <c r="AH28" s="14"/>
      <c r="AN28" s="9"/>
    </row>
    <row r="29" spans="1:65" ht="12.75" customHeight="1" x14ac:dyDescent="0.2">
      <c r="C29" s="221"/>
      <c r="N29" s="4"/>
      <c r="R29" s="10"/>
      <c r="S29" s="10"/>
      <c r="T29" s="357"/>
      <c r="U29" s="358"/>
      <c r="V29" s="358"/>
      <c r="W29" s="358"/>
      <c r="X29" s="358"/>
      <c r="Y29" s="358"/>
      <c r="Z29" s="359"/>
      <c r="AA29" s="357"/>
      <c r="AB29" s="358"/>
      <c r="AC29" s="358"/>
      <c r="AD29" s="358"/>
      <c r="AE29" s="358"/>
      <c r="AF29" s="358"/>
      <c r="AG29" s="359"/>
      <c r="AN29" s="9"/>
    </row>
    <row r="30" spans="1:65" x14ac:dyDescent="0.2">
      <c r="N30" s="4"/>
      <c r="O30" s="14"/>
      <c r="R30" s="10"/>
      <c r="S30" s="10"/>
      <c r="T30" s="4"/>
      <c r="AN30" s="9"/>
    </row>
    <row r="31" spans="1:65" x14ac:dyDescent="0.2">
      <c r="N31" s="4"/>
      <c r="R31" s="10"/>
      <c r="S31" s="10"/>
      <c r="T31" s="4"/>
      <c r="AN31" s="9"/>
    </row>
    <row r="32" spans="1:65" x14ac:dyDescent="0.2">
      <c r="N32" s="4"/>
      <c r="R32" s="10"/>
      <c r="S32" s="10"/>
      <c r="T32" s="4"/>
      <c r="AN32" s="9"/>
    </row>
    <row r="33" spans="14:40" x14ac:dyDescent="0.2">
      <c r="N33" s="4"/>
      <c r="R33" s="10"/>
      <c r="S33" s="10"/>
      <c r="T33" s="4"/>
      <c r="AN33" s="9"/>
    </row>
    <row r="34" spans="14:40" x14ac:dyDescent="0.2">
      <c r="N34" s="4"/>
      <c r="R34" s="10"/>
      <c r="S34" s="10"/>
      <c r="T34" s="4"/>
      <c r="AN34" s="9"/>
    </row>
    <row r="35" spans="14:40" x14ac:dyDescent="0.2">
      <c r="N35" s="4"/>
      <c r="R35" s="10"/>
      <c r="S35" s="10"/>
      <c r="T35" s="4"/>
      <c r="AN35" s="9"/>
    </row>
    <row r="36" spans="14:40" x14ac:dyDescent="0.2">
      <c r="N36" s="4"/>
      <c r="R36" s="10"/>
      <c r="S36" s="10"/>
      <c r="T36" s="4"/>
      <c r="AN36" s="9"/>
    </row>
    <row r="37" spans="14:40" x14ac:dyDescent="0.2">
      <c r="N37" s="4"/>
      <c r="R37" s="10"/>
      <c r="S37" s="10"/>
      <c r="T37" s="4"/>
    </row>
    <row r="38" spans="14:40" x14ac:dyDescent="0.2">
      <c r="N38" s="4"/>
      <c r="R38" s="10"/>
      <c r="S38" s="10"/>
      <c r="T38" s="4"/>
    </row>
    <row r="39" spans="14:40" x14ac:dyDescent="0.2">
      <c r="N39" s="4"/>
      <c r="R39" s="10"/>
      <c r="S39" s="10"/>
      <c r="T39" s="4"/>
    </row>
    <row r="40" spans="14:40" x14ac:dyDescent="0.2">
      <c r="R40" s="10"/>
      <c r="S40" s="10"/>
      <c r="T40" s="4"/>
    </row>
    <row r="41" spans="14:40" x14ac:dyDescent="0.2">
      <c r="R41" s="10"/>
      <c r="S41" s="10"/>
      <c r="T41" s="4"/>
    </row>
    <row r="42" spans="14:40" x14ac:dyDescent="0.2">
      <c r="R42" s="10"/>
      <c r="S42" s="10"/>
      <c r="T42" s="4"/>
    </row>
    <row r="43" spans="14:40" x14ac:dyDescent="0.2">
      <c r="R43" s="10"/>
      <c r="S43" s="10"/>
      <c r="T43" s="4"/>
    </row>
    <row r="44" spans="14:40" x14ac:dyDescent="0.2">
      <c r="R44" s="10"/>
      <c r="S44" s="10"/>
      <c r="T44" s="4"/>
    </row>
    <row r="45" spans="14:40" x14ac:dyDescent="0.2">
      <c r="R45" s="10"/>
      <c r="S45" s="10"/>
      <c r="T45" s="4"/>
    </row>
    <row r="46" spans="14:40" x14ac:dyDescent="0.2">
      <c r="R46" s="10"/>
      <c r="S46" s="10"/>
      <c r="T46" s="4"/>
    </row>
  </sheetData>
  <mergeCells count="8">
    <mergeCell ref="T23:Z29"/>
    <mergeCell ref="AA8:AG8"/>
    <mergeCell ref="AA23:AG29"/>
    <mergeCell ref="A1:F1"/>
    <mergeCell ref="D4:E4"/>
    <mergeCell ref="P6:R6"/>
    <mergeCell ref="T8:Z8"/>
    <mergeCell ref="B6:F6"/>
  </mergeCells>
  <conditionalFormatting sqref="R10:S18">
    <cfRule type="cellIs" dxfId="1" priority="3" stopIfTrue="1" operator="notBetween">
      <formula>$T$9</formula>
      <formula>-$T$9</formula>
    </cfRule>
  </conditionalFormatting>
  <conditionalFormatting sqref="Z10:Z18">
    <cfRule type="cellIs" dxfId="0" priority="1" stopIfTrue="1" operator="lessThan">
      <formula>#REF!</formula>
    </cfRule>
  </conditionalFormatting>
  <dataValidations count="3">
    <dataValidation type="decimal" operator="lessThanOrEqual" allowBlank="1" showInputMessage="1" showErrorMessage="1" errorTitle="Positieve waarden" error="Gelieve een waarde groter dan of gelijk aan nul in te vullen." sqref="O10:O18 AH10:AH18" xr:uid="{00000000-0002-0000-0B00-000000000000}">
      <formula1>0</formula1>
    </dataValidation>
    <dataValidation type="list" allowBlank="1" showInputMessage="1" showErrorMessage="1" sqref="F4" xr:uid="{00000000-0002-0000-0B00-000001000000}">
      <formula1>$IA$1:$IA$2</formula1>
    </dataValidation>
    <dataValidation operator="lessThanOrEqual" allowBlank="1" showInputMessage="1" showErrorMessage="1" errorTitle="Positieve waarden" error="Gelieve een waarde groter dan of gelijk aan nul in te vullen." sqref="AG10:AG18" xr:uid="{00000000-0002-0000-0B00-000002000000}"/>
  </dataValidations>
  <pageMargins left="0.7" right="0.7" top="0.75" bottom="0.75" header="0.3" footer="0.3"/>
  <pageSetup paperSize="8" scale="57" orientation="landscape" r:id="rId1"/>
  <colBreaks count="1" manualBreakCount="1">
    <brk id="26" max="1048575" man="1"/>
  </colBreaks>
  <ignoredErrors>
    <ignoredError sqref="AD10:AD1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theme="3" tint="0.79998168889431442"/>
  </sheetPr>
  <dimension ref="A1:W34"/>
  <sheetViews>
    <sheetView zoomScaleNormal="100" workbookViewId="0">
      <pane xSplit="1" ySplit="14" topLeftCell="B15" activePane="bottomRight" state="frozen"/>
      <selection pane="topRight" activeCell="B1" sqref="B1"/>
      <selection pane="bottomLeft" activeCell="A10" sqref="A10"/>
      <selection pane="bottomRight" activeCell="E5" sqref="E5"/>
    </sheetView>
  </sheetViews>
  <sheetFormatPr defaultColWidth="27.42578125" defaultRowHeight="12.75" x14ac:dyDescent="0.2"/>
  <cols>
    <col min="1" max="1" width="7.7109375" style="4" customWidth="1"/>
    <col min="2" max="2" width="52.140625" style="14" customWidth="1"/>
    <col min="3" max="4" width="9.7109375" style="4" customWidth="1"/>
    <col min="5" max="8" width="14.7109375" style="4" customWidth="1"/>
    <col min="9" max="10" width="15.7109375" style="4" customWidth="1"/>
    <col min="11" max="11" width="14.7109375" style="4" customWidth="1"/>
    <col min="12" max="12" width="26.7109375" style="4" customWidth="1"/>
    <col min="13" max="13" width="9.7109375" style="4" customWidth="1"/>
    <col min="14" max="14" width="15.7109375" style="4" customWidth="1"/>
    <col min="15" max="15" width="5" style="4" customWidth="1"/>
    <col min="16" max="16" width="15.7109375" style="4" customWidth="1"/>
    <col min="17" max="16384" width="27.42578125" style="4"/>
  </cols>
  <sheetData>
    <row r="1" spans="1:23" ht="14.45" customHeight="1" thickBot="1" x14ac:dyDescent="0.25">
      <c r="A1" s="301" t="s">
        <v>85</v>
      </c>
      <c r="B1" s="302"/>
      <c r="C1" s="302"/>
      <c r="D1" s="302"/>
      <c r="E1" s="302"/>
      <c r="F1" s="302"/>
      <c r="G1" s="302"/>
      <c r="H1" s="302"/>
      <c r="I1" s="302"/>
      <c r="J1" s="302"/>
      <c r="K1" s="302"/>
      <c r="L1" s="302"/>
      <c r="M1" s="303"/>
    </row>
    <row r="3" spans="1:23" x14ac:dyDescent="0.2">
      <c r="A3" s="149"/>
      <c r="B3" s="4" t="s">
        <v>91</v>
      </c>
    </row>
    <row r="4" spans="1:23" ht="13.5" thickBot="1" x14ac:dyDescent="0.25">
      <c r="B4" s="4"/>
    </row>
    <row r="5" spans="1:23" ht="13.5" thickBot="1" x14ac:dyDescent="0.25">
      <c r="B5" s="4"/>
      <c r="D5" s="8" t="s">
        <v>100</v>
      </c>
      <c r="E5" s="177">
        <v>2024</v>
      </c>
    </row>
    <row r="6" spans="1:23" x14ac:dyDescent="0.2">
      <c r="B6" s="4"/>
    </row>
    <row r="7" spans="1:23" x14ac:dyDescent="0.2">
      <c r="B7" s="4"/>
    </row>
    <row r="8" spans="1:23" ht="13.5" thickBot="1" x14ac:dyDescent="0.25">
      <c r="C8" s="10"/>
      <c r="E8" s="10" t="s">
        <v>81</v>
      </c>
      <c r="F8" s="10" t="s">
        <v>80</v>
      </c>
      <c r="G8" s="10" t="s">
        <v>82</v>
      </c>
      <c r="H8" s="10" t="s">
        <v>83</v>
      </c>
      <c r="I8" s="10" t="s">
        <v>84</v>
      </c>
      <c r="J8" s="10" t="s">
        <v>101</v>
      </c>
      <c r="K8" s="10" t="s">
        <v>102</v>
      </c>
      <c r="L8" s="10"/>
    </row>
    <row r="9" spans="1:23" ht="13.5" thickBot="1" x14ac:dyDescent="0.25">
      <c r="B9" s="8" t="s">
        <v>92</v>
      </c>
      <c r="C9" s="178">
        <v>4</v>
      </c>
      <c r="D9" s="4" t="s">
        <v>75</v>
      </c>
      <c r="E9" s="179">
        <f>+E5+1</f>
        <v>2025</v>
      </c>
      <c r="F9" s="180">
        <f>IF($C9&gt;1,$E5+2,"")</f>
        <v>2026</v>
      </c>
      <c r="G9" s="180">
        <f>IF($C9&gt;2,$E5+3,"")</f>
        <v>2027</v>
      </c>
      <c r="H9" s="180">
        <f>IF($C9&gt;3,$E5+4,"")</f>
        <v>2028</v>
      </c>
      <c r="I9" s="180" t="str">
        <f>IF($C9&gt;4,$E5+5,"")</f>
        <v/>
      </c>
      <c r="J9" s="180" t="str">
        <f>IF($C9&gt;5,$E5+6,"")</f>
        <v/>
      </c>
      <c r="K9" s="181" t="str">
        <f>IF($C9&gt;6,$E5+7,"")</f>
        <v/>
      </c>
      <c r="L9" s="182"/>
      <c r="N9" s="10"/>
      <c r="O9" s="10"/>
      <c r="P9" s="10"/>
      <c r="Q9" s="10"/>
      <c r="R9" s="10"/>
      <c r="W9" s="10"/>
    </row>
    <row r="10" spans="1:23" ht="13.5" thickBot="1" x14ac:dyDescent="0.25"/>
    <row r="11" spans="1:23" s="143" customFormat="1" ht="13.9" customHeight="1" x14ac:dyDescent="0.2">
      <c r="A11" s="304" t="s">
        <v>59</v>
      </c>
      <c r="B11" s="304" t="s">
        <v>60</v>
      </c>
      <c r="C11" s="304" t="s">
        <v>61</v>
      </c>
      <c r="D11" s="304"/>
      <c r="E11" s="305" t="s">
        <v>149</v>
      </c>
      <c r="F11" s="305"/>
      <c r="G11" s="305"/>
      <c r="H11" s="304" t="s">
        <v>103</v>
      </c>
      <c r="I11" s="305" t="str">
        <f>"Het aantal jaren waarvoor de distributienet-beheerders op dit kwaliteitsaspect beoordeeld worden"</f>
        <v>Het aantal jaren waarvoor de distributienet-beheerders op dit kwaliteitsaspect beoordeeld worden</v>
      </c>
      <c r="J11" s="305"/>
      <c r="K11" s="305"/>
      <c r="L11" s="304" t="s">
        <v>104</v>
      </c>
      <c r="N11" s="306" t="s">
        <v>156</v>
      </c>
      <c r="P11" s="306" t="s">
        <v>157</v>
      </c>
    </row>
    <row r="12" spans="1:23" s="143" customFormat="1" ht="14.45" customHeight="1" x14ac:dyDescent="0.2">
      <c r="A12" s="304"/>
      <c r="B12" s="304"/>
      <c r="C12" s="304"/>
      <c r="D12" s="304"/>
      <c r="E12" s="305"/>
      <c r="F12" s="305"/>
      <c r="G12" s="305"/>
      <c r="H12" s="304"/>
      <c r="I12" s="305"/>
      <c r="J12" s="305"/>
      <c r="K12" s="305"/>
      <c r="L12" s="304"/>
      <c r="N12" s="307"/>
      <c r="P12" s="307"/>
    </row>
    <row r="13" spans="1:23" s="143" customFormat="1" ht="22.15" customHeight="1" x14ac:dyDescent="0.2">
      <c r="A13" s="304"/>
      <c r="B13" s="304"/>
      <c r="C13" s="304"/>
      <c r="D13" s="304"/>
      <c r="E13" s="305"/>
      <c r="F13" s="305"/>
      <c r="G13" s="305"/>
      <c r="H13" s="304"/>
      <c r="I13" s="305" t="s">
        <v>105</v>
      </c>
      <c r="J13" s="305"/>
      <c r="K13" s="240"/>
      <c r="L13" s="304"/>
      <c r="N13" s="307"/>
      <c r="P13" s="307"/>
    </row>
    <row r="14" spans="1:23" s="143" customFormat="1" ht="61.15" customHeight="1" x14ac:dyDescent="0.2">
      <c r="A14" s="304"/>
      <c r="B14" s="304"/>
      <c r="C14" s="304"/>
      <c r="D14" s="304"/>
      <c r="E14" s="183" t="s">
        <v>154</v>
      </c>
      <c r="F14" s="183" t="s">
        <v>153</v>
      </c>
      <c r="G14" s="183" t="s">
        <v>155</v>
      </c>
      <c r="H14" s="304"/>
      <c r="I14" s="183" t="s">
        <v>106</v>
      </c>
      <c r="J14" s="183" t="s">
        <v>107</v>
      </c>
      <c r="K14" s="240"/>
      <c r="L14" s="304"/>
      <c r="N14" s="308"/>
      <c r="P14" s="308"/>
    </row>
    <row r="15" spans="1:23" ht="16.899999999999999" customHeight="1" x14ac:dyDescent="0.2">
      <c r="A15" s="200" t="s">
        <v>43</v>
      </c>
      <c r="B15" s="13" t="s">
        <v>62</v>
      </c>
      <c r="C15" s="200" t="s">
        <v>63</v>
      </c>
      <c r="D15" s="309" t="s">
        <v>64</v>
      </c>
      <c r="E15" s="300">
        <v>400</v>
      </c>
      <c r="F15" s="238">
        <v>0.38500000000000001</v>
      </c>
      <c r="G15" s="237">
        <f>+F15*E15</f>
        <v>154</v>
      </c>
      <c r="H15" s="213">
        <v>3</v>
      </c>
      <c r="I15" s="178">
        <v>2020</v>
      </c>
      <c r="J15" s="178">
        <v>2023</v>
      </c>
      <c r="K15" s="189">
        <f>+J15-I15+1</f>
        <v>4</v>
      </c>
      <c r="L15" s="241">
        <f>IF(K15&lt;H15,0,K15*G15)</f>
        <v>616</v>
      </c>
      <c r="N15" s="184">
        <f t="shared" ref="N15:N20" si="0">+L15</f>
        <v>616</v>
      </c>
      <c r="O15" s="185"/>
      <c r="P15" s="310" t="s">
        <v>64</v>
      </c>
    </row>
    <row r="16" spans="1:23" ht="16.899999999999999" customHeight="1" x14ac:dyDescent="0.2">
      <c r="A16" s="200" t="s">
        <v>44</v>
      </c>
      <c r="B16" s="13" t="s">
        <v>65</v>
      </c>
      <c r="C16" s="200" t="s">
        <v>63</v>
      </c>
      <c r="D16" s="309"/>
      <c r="E16" s="300"/>
      <c r="F16" s="238">
        <v>0.315</v>
      </c>
      <c r="G16" s="237">
        <f>+F16*E15</f>
        <v>126</v>
      </c>
      <c r="H16" s="213">
        <v>3</v>
      </c>
      <c r="I16" s="178">
        <v>2020</v>
      </c>
      <c r="J16" s="178">
        <v>2023</v>
      </c>
      <c r="K16" s="189">
        <f t="shared" ref="K16:K20" si="1">+J16-I16+1</f>
        <v>4</v>
      </c>
      <c r="L16" s="241">
        <f t="shared" ref="L16:L19" si="2">IF(K16&lt;H16,0,K16*G16)</f>
        <v>504</v>
      </c>
      <c r="N16" s="184">
        <f t="shared" si="0"/>
        <v>504</v>
      </c>
      <c r="O16" s="185"/>
      <c r="P16" s="311"/>
    </row>
    <row r="17" spans="1:16" ht="16.899999999999999" customHeight="1" x14ac:dyDescent="0.2">
      <c r="A17" s="200" t="s">
        <v>45</v>
      </c>
      <c r="B17" s="13" t="s">
        <v>66</v>
      </c>
      <c r="C17" s="200" t="s">
        <v>63</v>
      </c>
      <c r="D17" s="309"/>
      <c r="E17" s="300"/>
      <c r="F17" s="238">
        <v>0.16500000000000001</v>
      </c>
      <c r="G17" s="237">
        <f>+F17*E15</f>
        <v>66</v>
      </c>
      <c r="H17" s="213">
        <v>3</v>
      </c>
      <c r="I17" s="178">
        <v>2020</v>
      </c>
      <c r="J17" s="178">
        <v>2023</v>
      </c>
      <c r="K17" s="189">
        <f t="shared" si="1"/>
        <v>4</v>
      </c>
      <c r="L17" s="241">
        <f t="shared" si="2"/>
        <v>264</v>
      </c>
      <c r="N17" s="184">
        <f t="shared" si="0"/>
        <v>264</v>
      </c>
      <c r="O17" s="185"/>
      <c r="P17" s="311"/>
    </row>
    <row r="18" spans="1:16" ht="16.899999999999999" customHeight="1" x14ac:dyDescent="0.2">
      <c r="A18" s="200" t="s">
        <v>46</v>
      </c>
      <c r="B18" s="13" t="s">
        <v>67</v>
      </c>
      <c r="C18" s="200" t="s">
        <v>63</v>
      </c>
      <c r="D18" s="309"/>
      <c r="E18" s="300"/>
      <c r="F18" s="238">
        <f>1-F17-F16-F15</f>
        <v>0.13500000000000001</v>
      </c>
      <c r="G18" s="237">
        <f>+F18*E15</f>
        <v>54</v>
      </c>
      <c r="H18" s="213">
        <v>3</v>
      </c>
      <c r="I18" s="178">
        <v>2020</v>
      </c>
      <c r="J18" s="178">
        <v>2023</v>
      </c>
      <c r="K18" s="189">
        <f t="shared" si="1"/>
        <v>4</v>
      </c>
      <c r="L18" s="241">
        <f t="shared" si="2"/>
        <v>216</v>
      </c>
      <c r="N18" s="184">
        <f t="shared" si="0"/>
        <v>216</v>
      </c>
      <c r="O18" s="185"/>
      <c r="P18" s="312"/>
    </row>
    <row r="19" spans="1:16" ht="60.6" customHeight="1" x14ac:dyDescent="0.2">
      <c r="A19" s="200" t="s">
        <v>47</v>
      </c>
      <c r="B19" s="235" t="s">
        <v>73</v>
      </c>
      <c r="C19" s="200" t="s">
        <v>63</v>
      </c>
      <c r="D19" s="200" t="s">
        <v>68</v>
      </c>
      <c r="E19" s="300">
        <v>25</v>
      </c>
      <c r="F19" s="236">
        <v>0.8</v>
      </c>
      <c r="G19" s="237">
        <f>+F19*E19</f>
        <v>20</v>
      </c>
      <c r="H19" s="213">
        <v>2</v>
      </c>
      <c r="I19" s="178">
        <v>2020</v>
      </c>
      <c r="J19" s="178">
        <v>2023</v>
      </c>
      <c r="K19" s="189">
        <f t="shared" si="1"/>
        <v>4</v>
      </c>
      <c r="L19" s="241">
        <f t="shared" si="2"/>
        <v>80</v>
      </c>
      <c r="M19" s="10"/>
      <c r="N19" s="232">
        <f t="shared" si="0"/>
        <v>80</v>
      </c>
      <c r="O19" s="186"/>
      <c r="P19" s="232">
        <f>+L19</f>
        <v>80</v>
      </c>
    </row>
    <row r="20" spans="1:16" s="51" customFormat="1" ht="69" customHeight="1" thickBot="1" x14ac:dyDescent="0.3">
      <c r="A20" s="200" t="s">
        <v>48</v>
      </c>
      <c r="B20" s="235" t="s">
        <v>74</v>
      </c>
      <c r="C20" s="200" t="s">
        <v>63</v>
      </c>
      <c r="D20" s="200" t="s">
        <v>68</v>
      </c>
      <c r="E20" s="300"/>
      <c r="F20" s="236">
        <f>1-F19</f>
        <v>0.19999999999999996</v>
      </c>
      <c r="G20" s="237">
        <f>+F20*E19</f>
        <v>4.9999999999999991</v>
      </c>
      <c r="H20" s="213">
        <v>2</v>
      </c>
      <c r="I20" s="178">
        <v>2020</v>
      </c>
      <c r="J20" s="178">
        <v>2023</v>
      </c>
      <c r="K20" s="189">
        <f t="shared" si="1"/>
        <v>4</v>
      </c>
      <c r="L20" s="241">
        <f>IF(K20&lt;H20,0,K20*G20)</f>
        <v>19.999999999999996</v>
      </c>
      <c r="N20" s="242">
        <f t="shared" si="0"/>
        <v>19.999999999999996</v>
      </c>
      <c r="O20" s="187"/>
      <c r="P20" s="242">
        <f>+L20</f>
        <v>19.999999999999996</v>
      </c>
    </row>
    <row r="21" spans="1:16" x14ac:dyDescent="0.2">
      <c r="A21" s="48"/>
      <c r="B21" s="49"/>
      <c r="C21" s="48"/>
      <c r="D21" s="48"/>
      <c r="E21" s="144"/>
      <c r="F21" s="50"/>
      <c r="G21" s="48"/>
      <c r="H21" s="48"/>
      <c r="I21" s="48"/>
      <c r="J21" s="48"/>
      <c r="K21" s="51"/>
      <c r="L21" s="239"/>
      <c r="N21" s="188"/>
      <c r="O21" s="185"/>
      <c r="P21" s="188"/>
    </row>
    <row r="22" spans="1:16" x14ac:dyDescent="0.2">
      <c r="D22" s="8" t="s">
        <v>108</v>
      </c>
      <c r="E22" s="52">
        <f>+E15+E19</f>
        <v>425</v>
      </c>
      <c r="L22" s="53"/>
      <c r="M22" s="8" t="s">
        <v>152</v>
      </c>
      <c r="N22" s="189">
        <f>SUM(N15:N20)</f>
        <v>1700</v>
      </c>
      <c r="O22" s="185"/>
      <c r="P22" s="189">
        <f>SUM(P19:P20)</f>
        <v>100</v>
      </c>
    </row>
    <row r="23" spans="1:16" x14ac:dyDescent="0.2">
      <c r="D23" s="8" t="s">
        <v>109</v>
      </c>
      <c r="E23" s="52">
        <f>+E19</f>
        <v>25</v>
      </c>
      <c r="M23" s="8" t="s">
        <v>158</v>
      </c>
      <c r="N23" s="190">
        <f>+E22</f>
        <v>425</v>
      </c>
      <c r="O23" s="185"/>
      <c r="P23" s="190">
        <f>+E23</f>
        <v>25</v>
      </c>
    </row>
    <row r="24" spans="1:16" x14ac:dyDescent="0.2">
      <c r="D24" s="8"/>
      <c r="E24" s="51"/>
      <c r="L24" s="53"/>
      <c r="M24" s="8" t="s">
        <v>160</v>
      </c>
      <c r="N24" s="191">
        <f>+ROUND(N22/N23,2)</f>
        <v>4</v>
      </c>
      <c r="O24" s="171"/>
      <c r="P24" s="191">
        <f>+P22/P23</f>
        <v>4</v>
      </c>
    </row>
    <row r="25" spans="1:16" ht="14.45" customHeight="1" x14ac:dyDescent="0.2">
      <c r="D25" s="8" t="s">
        <v>150</v>
      </c>
      <c r="M25" s="8" t="s">
        <v>159</v>
      </c>
      <c r="N25" s="227">
        <f>+N24/C9</f>
        <v>1</v>
      </c>
      <c r="P25" s="227">
        <f>+P24/C9</f>
        <v>1</v>
      </c>
    </row>
    <row r="26" spans="1:16" ht="13.5" thickBot="1" x14ac:dyDescent="0.25">
      <c r="D26" s="8" t="s">
        <v>93</v>
      </c>
      <c r="E26" s="172">
        <f>1.125%*(425/600)</f>
        <v>7.9687500000000001E-3</v>
      </c>
    </row>
    <row r="27" spans="1:16" ht="13.5" thickBot="1" x14ac:dyDescent="0.25">
      <c r="D27" s="8" t="s">
        <v>94</v>
      </c>
      <c r="E27" s="172">
        <f>+E26*E23/E22</f>
        <v>4.6874999999999998E-4</v>
      </c>
      <c r="K27" s="243"/>
      <c r="L27" s="244"/>
      <c r="M27" s="245" t="s">
        <v>151</v>
      </c>
      <c r="N27" s="246">
        <f>ROUND(E26*N25,5)</f>
        <v>7.9699999999999997E-3</v>
      </c>
      <c r="O27" s="247"/>
      <c r="P27" s="248">
        <f>ROUND(E27*P25,5)</f>
        <v>4.6999999999999999E-4</v>
      </c>
    </row>
    <row r="28" spans="1:16" ht="13.5" thickBot="1" x14ac:dyDescent="0.25">
      <c r="E28" s="171"/>
    </row>
    <row r="29" spans="1:16" ht="13.5" thickBot="1" x14ac:dyDescent="0.25">
      <c r="B29" s="54"/>
      <c r="C29" s="12"/>
      <c r="D29" s="8" t="s">
        <v>110</v>
      </c>
      <c r="E29" s="171"/>
      <c r="K29" s="243"/>
      <c r="L29" s="56"/>
      <c r="M29" s="245" t="s">
        <v>113</v>
      </c>
      <c r="N29" s="246">
        <f>+ROUND(N25*E30,5)</f>
        <v>1.0630000000000001E-2</v>
      </c>
      <c r="O29" s="56"/>
      <c r="P29" s="248">
        <f>+ROUND(P25*E31,5)</f>
        <v>6.3000000000000003E-4</v>
      </c>
    </row>
    <row r="30" spans="1:16" x14ac:dyDescent="0.2">
      <c r="B30" s="54"/>
      <c r="C30" s="12"/>
      <c r="D30" s="8" t="s">
        <v>111</v>
      </c>
      <c r="E30" s="172">
        <f>1.5%*(0.708333333333333)</f>
        <v>1.0624999999999996E-2</v>
      </c>
    </row>
    <row r="31" spans="1:16" x14ac:dyDescent="0.2">
      <c r="B31" s="54"/>
      <c r="C31" s="12"/>
      <c r="D31" s="8" t="s">
        <v>112</v>
      </c>
      <c r="E31" s="172">
        <f>+E30*E23/E22</f>
        <v>6.2499999999999969E-4</v>
      </c>
    </row>
    <row r="32" spans="1:16" x14ac:dyDescent="0.2">
      <c r="D32" s="192"/>
      <c r="E32" s="171"/>
    </row>
    <row r="33" spans="2:5" x14ac:dyDescent="0.2">
      <c r="D33" s="8"/>
      <c r="E33" s="173"/>
    </row>
    <row r="34" spans="2:5" x14ac:dyDescent="0.2">
      <c r="B34" s="54"/>
      <c r="C34" s="12"/>
      <c r="D34" s="8"/>
      <c r="E34" s="173"/>
    </row>
  </sheetData>
  <mergeCells count="15">
    <mergeCell ref="N11:N14"/>
    <mergeCell ref="P11:P14"/>
    <mergeCell ref="I13:J13"/>
    <mergeCell ref="D15:D18"/>
    <mergeCell ref="E15:E18"/>
    <mergeCell ref="P15:P18"/>
    <mergeCell ref="E19:E20"/>
    <mergeCell ref="A1:M1"/>
    <mergeCell ref="A11:A14"/>
    <mergeCell ref="B11:B14"/>
    <mergeCell ref="C11:D14"/>
    <mergeCell ref="E11:G13"/>
    <mergeCell ref="H11:H14"/>
    <mergeCell ref="I11:K12"/>
    <mergeCell ref="L11:L14"/>
  </mergeCells>
  <conditionalFormatting sqref="E5">
    <cfRule type="cellIs" dxfId="4" priority="1" stopIfTrue="1" operator="greaterThan">
      <formula>0</formula>
    </cfRule>
  </conditionalFormatting>
  <dataValidations disablePrompts="1" count="1">
    <dataValidation type="whole" allowBlank="1" showInputMessage="1" showErrorMessage="1" error="Het aantal jaar kan de duur van de beoordelingsperiode niet overschrijden." sqref="K21" xr:uid="{00000000-0002-0000-0100-000000000000}">
      <formula1>0</formula1>
      <formula2>#REF!</formula2>
    </dataValidation>
  </dataValidations>
  <pageMargins left="0.7" right="0.7" top="0.75" bottom="0.75" header="0.3" footer="0.3"/>
  <pageSetup paperSize="8"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3" tint="0.79998168889431442"/>
  </sheetPr>
  <dimension ref="B1:L32"/>
  <sheetViews>
    <sheetView topLeftCell="C1" zoomScaleNormal="100" workbookViewId="0">
      <selection activeCell="K28" sqref="K28"/>
    </sheetView>
  </sheetViews>
  <sheetFormatPr defaultColWidth="31" defaultRowHeight="15" x14ac:dyDescent="0.25"/>
  <cols>
    <col min="1" max="1" width="3" style="124" customWidth="1"/>
    <col min="2" max="2" width="21.140625" style="124" customWidth="1"/>
    <col min="3" max="3" width="23.140625" style="251" customWidth="1"/>
    <col min="4" max="9" width="19.42578125" style="124" customWidth="1"/>
    <col min="10" max="10" width="22.42578125" style="124" customWidth="1"/>
    <col min="11" max="12" width="42.140625" style="124" customWidth="1"/>
    <col min="13" max="16384" width="31" style="124"/>
  </cols>
  <sheetData>
    <row r="1" spans="2:12" ht="35.25" customHeight="1" thickBot="1" x14ac:dyDescent="0.3">
      <c r="B1" s="316" t="s">
        <v>98</v>
      </c>
      <c r="C1" s="317"/>
      <c r="D1" s="317"/>
      <c r="E1" s="317"/>
      <c r="F1" s="318"/>
      <c r="G1" s="214"/>
      <c r="H1" s="125"/>
    </row>
    <row r="3" spans="2:12" x14ac:dyDescent="0.25">
      <c r="D3" s="122"/>
      <c r="E3" s="4" t="s">
        <v>71</v>
      </c>
    </row>
    <row r="4" spans="2:12" x14ac:dyDescent="0.25">
      <c r="B4" s="125"/>
      <c r="D4" s="90"/>
      <c r="E4" s="4" t="s">
        <v>95</v>
      </c>
    </row>
    <row r="5" spans="2:12" x14ac:dyDescent="0.25">
      <c r="B5" s="125"/>
      <c r="D5" s="125"/>
      <c r="E5" s="90"/>
      <c r="F5" s="4"/>
      <c r="G5" s="4"/>
      <c r="H5" s="4"/>
    </row>
    <row r="6" spans="2:12" x14ac:dyDescent="0.25">
      <c r="E6" s="4"/>
      <c r="F6" s="4"/>
      <c r="G6" s="4"/>
      <c r="H6" s="4"/>
    </row>
    <row r="7" spans="2:12" s="126" customFormat="1" ht="75" customHeight="1" x14ac:dyDescent="0.25">
      <c r="B7" s="319" t="s">
        <v>10</v>
      </c>
      <c r="C7" s="233" t="s">
        <v>161</v>
      </c>
      <c r="D7" s="313" t="s">
        <v>76</v>
      </c>
      <c r="E7" s="314"/>
      <c r="F7" s="314"/>
      <c r="G7" s="314"/>
      <c r="H7" s="314"/>
      <c r="I7" s="315"/>
      <c r="J7" s="135" t="str">
        <f>"Aantal actieve toegangspunten elektriciteit op 1 januari "&amp;'Q%'!E5</f>
        <v>Aantal actieve toegangspunten elektriciteit op 1 januari 2024</v>
      </c>
      <c r="K7" s="136" t="str">
        <f>"Totaal oorspronkelijk toegelaten inkomen endogene kosten (zonder kwaliteitsprestatie-invloed) voor het eerste jaar van de volgende reguleringsperiode "&amp;'Q%'!$E$5+1</f>
        <v>Totaal oorspronkelijk toegelaten inkomen endogene kosten (zonder kwaliteitsprestatie-invloed) voor het eerste jaar van de volgende reguleringsperiode 2025</v>
      </c>
      <c r="L7" s="136" t="str">
        <f>"Oorspronkelijk toegelaten inkomen endogene kosten basisgedeelte (zonder kwaliteitsprestatie-invloed) voor het eerste jaar van de volgende reguleringsperiode "&amp;'Q%'!$E$5+1</f>
        <v>Oorspronkelijk toegelaten inkomen endogene kosten basisgedeelte (zonder kwaliteitsprestatie-invloed) voor het eerste jaar van de volgende reguleringsperiode 2025</v>
      </c>
    </row>
    <row r="8" spans="2:12" s="126" customFormat="1" x14ac:dyDescent="0.25">
      <c r="B8" s="320"/>
      <c r="C8" s="234"/>
      <c r="D8" s="249">
        <f>DATE(MIN('Q%'!I15:I20),7,1)</f>
        <v>44013</v>
      </c>
      <c r="E8" s="249">
        <f>IF(2&lt;=MAX('Q%'!$K$15:$K$20),DATE(YEAR(D8)+1,7,1),"")</f>
        <v>44378</v>
      </c>
      <c r="F8" s="249">
        <f>IF(3&lt;=MAX('Q%'!$K$15:$K$20),DATE(YEAR(E8)+1,7,1),"")</f>
        <v>44743</v>
      </c>
      <c r="G8" s="249">
        <f>IF(4&lt;=MAX('Q%'!$K$15:$K$20),DATE(YEAR(F8)+1,7,1),"")</f>
        <v>45108</v>
      </c>
      <c r="H8" s="249" t="str">
        <f>IF(5&lt;=MAX('Q%'!$K$15:$K$20),DATE(YEAR(G8)+1,7,1),"")</f>
        <v/>
      </c>
      <c r="I8" s="249" t="str">
        <f>IF(6&lt;=MAX('Q%'!$K$15:$K$20),DATE(YEAR(H8)+1,7,1),"")</f>
        <v/>
      </c>
      <c r="J8" s="249">
        <f>DATE('Q%'!E5,1,1)</f>
        <v>45292</v>
      </c>
      <c r="K8" s="1">
        <f>+'Q%'!$E$5+1</f>
        <v>2025</v>
      </c>
      <c r="L8" s="1">
        <f>+'Q%'!$E$5+1</f>
        <v>2025</v>
      </c>
    </row>
    <row r="9" spans="2:12" x14ac:dyDescent="0.25">
      <c r="B9" s="123" t="s">
        <v>0</v>
      </c>
      <c r="C9" s="252" t="s">
        <v>168</v>
      </c>
      <c r="D9" s="122"/>
      <c r="E9" s="122"/>
      <c r="F9" s="122"/>
      <c r="G9" s="122"/>
      <c r="H9" s="122"/>
      <c r="I9" s="122"/>
      <c r="J9" s="122">
        <f>CEILING(G9*1.02,1)</f>
        <v>0</v>
      </c>
      <c r="K9" s="127"/>
      <c r="L9" s="127"/>
    </row>
    <row r="10" spans="2:12" x14ac:dyDescent="0.25">
      <c r="B10" s="123" t="s">
        <v>1</v>
      </c>
      <c r="C10" s="252" t="s">
        <v>162</v>
      </c>
      <c r="D10" s="122"/>
      <c r="E10" s="122"/>
      <c r="F10" s="122"/>
      <c r="G10" s="122"/>
      <c r="H10" s="122"/>
      <c r="I10" s="122"/>
      <c r="J10" s="122">
        <f t="shared" ref="J10:J18" si="0">CEILING(G10*1.02,1)</f>
        <v>0</v>
      </c>
      <c r="K10" s="127"/>
      <c r="L10" s="127"/>
    </row>
    <row r="11" spans="2:12" x14ac:dyDescent="0.25">
      <c r="B11" s="123" t="s">
        <v>2</v>
      </c>
      <c r="C11" s="252" t="s">
        <v>163</v>
      </c>
      <c r="D11" s="122"/>
      <c r="E11" s="122"/>
      <c r="F11" s="122"/>
      <c r="G11" s="122"/>
      <c r="H11" s="122"/>
      <c r="I11" s="122"/>
      <c r="J11" s="122">
        <f t="shared" si="0"/>
        <v>0</v>
      </c>
      <c r="K11" s="127"/>
      <c r="L11" s="127"/>
    </row>
    <row r="12" spans="2:12" x14ac:dyDescent="0.25">
      <c r="B12" s="123" t="s">
        <v>3</v>
      </c>
      <c r="C12" s="252" t="s">
        <v>164</v>
      </c>
      <c r="D12" s="122"/>
      <c r="E12" s="122"/>
      <c r="F12" s="122"/>
      <c r="G12" s="122"/>
      <c r="H12" s="122"/>
      <c r="I12" s="122"/>
      <c r="J12" s="122">
        <f t="shared" si="0"/>
        <v>0</v>
      </c>
      <c r="K12" s="127"/>
      <c r="L12" s="127"/>
    </row>
    <row r="13" spans="2:12" x14ac:dyDescent="0.25">
      <c r="B13" s="123" t="s">
        <v>4</v>
      </c>
      <c r="C13" s="252" t="s">
        <v>167</v>
      </c>
      <c r="D13" s="122"/>
      <c r="E13" s="122"/>
      <c r="F13" s="122"/>
      <c r="G13" s="122"/>
      <c r="H13" s="122"/>
      <c r="I13" s="122"/>
      <c r="J13" s="122">
        <f t="shared" si="0"/>
        <v>0</v>
      </c>
      <c r="K13" s="127"/>
      <c r="L13" s="127"/>
    </row>
    <row r="14" spans="2:12" x14ac:dyDescent="0.25">
      <c r="B14" s="123" t="s">
        <v>5</v>
      </c>
      <c r="C14" s="252" t="s">
        <v>166</v>
      </c>
      <c r="D14" s="122"/>
      <c r="E14" s="122"/>
      <c r="F14" s="122"/>
      <c r="G14" s="122"/>
      <c r="H14" s="122"/>
      <c r="I14" s="122"/>
      <c r="J14" s="122">
        <f t="shared" si="0"/>
        <v>0</v>
      </c>
      <c r="K14" s="127"/>
      <c r="L14" s="127"/>
    </row>
    <row r="15" spans="2:12" x14ac:dyDescent="0.25">
      <c r="B15" s="123" t="s">
        <v>6</v>
      </c>
      <c r="C15" s="252" t="s">
        <v>169</v>
      </c>
      <c r="D15" s="122"/>
      <c r="E15" s="122"/>
      <c r="F15" s="122"/>
      <c r="G15" s="122"/>
      <c r="H15" s="122"/>
      <c r="I15" s="122"/>
      <c r="J15" s="122">
        <f t="shared" si="0"/>
        <v>0</v>
      </c>
      <c r="K15" s="127"/>
      <c r="L15" s="127"/>
    </row>
    <row r="16" spans="2:12" x14ac:dyDescent="0.25">
      <c r="B16" s="123" t="s">
        <v>7</v>
      </c>
      <c r="C16" s="252" t="s">
        <v>165</v>
      </c>
      <c r="D16" s="122"/>
      <c r="E16" s="122"/>
      <c r="F16" s="122"/>
      <c r="G16" s="122"/>
      <c r="H16" s="122"/>
      <c r="I16" s="122"/>
      <c r="J16" s="122">
        <f t="shared" si="0"/>
        <v>0</v>
      </c>
      <c r="K16" s="127"/>
      <c r="L16" s="127"/>
    </row>
    <row r="17" spans="2:12" x14ac:dyDescent="0.25">
      <c r="B17" s="123" t="s">
        <v>8</v>
      </c>
      <c r="C17" s="252" t="s">
        <v>170</v>
      </c>
      <c r="D17" s="122"/>
      <c r="E17" s="122"/>
      <c r="F17" s="122"/>
      <c r="G17" s="122"/>
      <c r="H17" s="122"/>
      <c r="I17" s="122"/>
      <c r="J17" s="122">
        <f t="shared" si="0"/>
        <v>0</v>
      </c>
      <c r="K17" s="127"/>
      <c r="L17" s="127"/>
    </row>
    <row r="18" spans="2:12" x14ac:dyDescent="0.25">
      <c r="B18" s="123" t="s">
        <v>9</v>
      </c>
      <c r="C18" s="252" t="s">
        <v>171</v>
      </c>
      <c r="D18" s="122"/>
      <c r="E18" s="122"/>
      <c r="F18" s="122"/>
      <c r="G18" s="122"/>
      <c r="H18" s="122"/>
      <c r="I18" s="122"/>
      <c r="J18" s="122">
        <f t="shared" si="0"/>
        <v>0</v>
      </c>
      <c r="K18" s="127"/>
      <c r="L18" s="127"/>
    </row>
    <row r="19" spans="2:12" x14ac:dyDescent="0.25">
      <c r="B19" s="128"/>
      <c r="C19" s="51"/>
      <c r="D19" s="163">
        <f>SUM(D9:D18)</f>
        <v>0</v>
      </c>
      <c r="E19" s="163">
        <f>SUM(E9:E18)</f>
        <v>0</v>
      </c>
      <c r="F19" s="163">
        <f>SUM(F9:F18)</f>
        <v>0</v>
      </c>
      <c r="G19" s="163"/>
      <c r="H19" s="163">
        <f>SUM(H9:H18)</f>
        <v>0</v>
      </c>
      <c r="I19" s="163">
        <f>SUM(I9:I18)</f>
        <v>0</v>
      </c>
      <c r="J19" s="163">
        <f>SUM(J9:J18)</f>
        <v>0</v>
      </c>
      <c r="K19" s="164">
        <f>SUM(K9:K18)</f>
        <v>0</v>
      </c>
      <c r="L19" s="164">
        <f>SUM(L9:L18)</f>
        <v>0</v>
      </c>
    </row>
    <row r="21" spans="2:12" ht="75" customHeight="1" x14ac:dyDescent="0.25">
      <c r="B21" s="319" t="s">
        <v>10</v>
      </c>
      <c r="C21" s="233"/>
      <c r="D21" s="313" t="s">
        <v>77</v>
      </c>
      <c r="E21" s="314"/>
      <c r="F21" s="314"/>
      <c r="G21" s="314"/>
      <c r="H21" s="314"/>
      <c r="I21" s="315"/>
      <c r="J21" s="135" t="str">
        <f>"Aantal actieve toegangspunten aardgas op 1 januari "&amp;'Q%'!E5</f>
        <v>Aantal actieve toegangspunten aardgas op 1 januari 2024</v>
      </c>
      <c r="K21" s="136" t="str">
        <f>+K7</f>
        <v>Totaal oorspronkelijk toegelaten inkomen endogene kosten (zonder kwaliteitsprestatie-invloed) voor het eerste jaar van de volgende reguleringsperiode 2025</v>
      </c>
      <c r="L21" s="136" t="str">
        <f>+L7</f>
        <v>Oorspronkelijk toegelaten inkomen endogene kosten basisgedeelte (zonder kwaliteitsprestatie-invloed) voor het eerste jaar van de volgende reguleringsperiode 2025</v>
      </c>
    </row>
    <row r="22" spans="2:12" x14ac:dyDescent="0.25">
      <c r="B22" s="320"/>
      <c r="C22" s="234"/>
      <c r="D22" s="249">
        <f>DATE(MIN('Q%'!I15:I20),7,1)</f>
        <v>44013</v>
      </c>
      <c r="E22" s="249">
        <f>IF(2&lt;=MAX('Q%'!$K$15:$K$20),DATE(YEAR(D22)+1,7,1),"")</f>
        <v>44378</v>
      </c>
      <c r="F22" s="249">
        <f>IF(3&lt;=MAX('Q%'!$K$15:$K$20),DATE(YEAR(E22)+1,7,1),"")</f>
        <v>44743</v>
      </c>
      <c r="G22" s="249">
        <f>IF(4&lt;=MAX('Q%'!$K$15:$K$20),DATE(YEAR(F22)+1,7,1),"")</f>
        <v>45108</v>
      </c>
      <c r="H22" s="249" t="str">
        <f>IF(5&lt;=MAX('Q%'!$K$15:$K$20),DATE(YEAR(G22)+1,7,1),"")</f>
        <v/>
      </c>
      <c r="I22" s="249" t="str">
        <f>IF(6&lt;=MAX('Q%'!$K$15:$K$20),DATE(YEAR(H22)+1,7,1),"")</f>
        <v/>
      </c>
      <c r="J22" s="250">
        <f>+J8</f>
        <v>45292</v>
      </c>
      <c r="K22" s="1">
        <f>+'Q%'!$E$5+1</f>
        <v>2025</v>
      </c>
      <c r="L22" s="1">
        <f>+'Q%'!$E$5+1</f>
        <v>2025</v>
      </c>
    </row>
    <row r="23" spans="2:12" x14ac:dyDescent="0.25">
      <c r="B23" s="123" t="s">
        <v>0</v>
      </c>
      <c r="C23" s="252" t="s">
        <v>168</v>
      </c>
      <c r="D23" s="122"/>
      <c r="E23" s="122"/>
      <c r="F23" s="122"/>
      <c r="G23" s="122"/>
      <c r="H23" s="122"/>
      <c r="I23" s="122"/>
      <c r="J23" s="122"/>
      <c r="K23" s="127"/>
      <c r="L23" s="127"/>
    </row>
    <row r="24" spans="2:12" x14ac:dyDescent="0.25">
      <c r="B24" s="123" t="s">
        <v>1</v>
      </c>
      <c r="C24" s="252" t="s">
        <v>162</v>
      </c>
      <c r="D24" s="122"/>
      <c r="E24" s="122"/>
      <c r="F24" s="122"/>
      <c r="G24" s="122"/>
      <c r="H24" s="122"/>
      <c r="I24" s="122"/>
      <c r="J24" s="122"/>
      <c r="K24" s="127"/>
      <c r="L24" s="127"/>
    </row>
    <row r="25" spans="2:12" x14ac:dyDescent="0.25">
      <c r="B25" s="123" t="s">
        <v>2</v>
      </c>
      <c r="C25" s="252" t="s">
        <v>163</v>
      </c>
      <c r="D25" s="122"/>
      <c r="E25" s="122"/>
      <c r="F25" s="122"/>
      <c r="G25" s="122"/>
      <c r="H25" s="122"/>
      <c r="I25" s="122"/>
      <c r="J25" s="122"/>
      <c r="K25" s="127"/>
      <c r="L25" s="127"/>
    </row>
    <row r="26" spans="2:12" x14ac:dyDescent="0.25">
      <c r="B26" s="123" t="s">
        <v>3</v>
      </c>
      <c r="C26" s="252" t="s">
        <v>164</v>
      </c>
      <c r="D26" s="122"/>
      <c r="E26" s="122"/>
      <c r="F26" s="122"/>
      <c r="G26" s="122"/>
      <c r="H26" s="122"/>
      <c r="I26" s="122"/>
      <c r="J26" s="122"/>
      <c r="K26" s="127"/>
      <c r="L26" s="127"/>
    </row>
    <row r="27" spans="2:12" x14ac:dyDescent="0.25">
      <c r="B27" s="123" t="s">
        <v>4</v>
      </c>
      <c r="C27" s="252" t="s">
        <v>167</v>
      </c>
      <c r="D27" s="122"/>
      <c r="E27" s="122"/>
      <c r="F27" s="122"/>
      <c r="G27" s="122"/>
      <c r="H27" s="122"/>
      <c r="I27" s="122"/>
      <c r="J27" s="122"/>
      <c r="K27" s="127"/>
      <c r="L27" s="127"/>
    </row>
    <row r="28" spans="2:12" x14ac:dyDescent="0.25">
      <c r="B28" s="123" t="s">
        <v>5</v>
      </c>
      <c r="C28" s="252" t="s">
        <v>166</v>
      </c>
      <c r="D28" s="122"/>
      <c r="E28" s="122"/>
      <c r="F28" s="122"/>
      <c r="G28" s="122"/>
      <c r="H28" s="122"/>
      <c r="I28" s="122"/>
      <c r="J28" s="122"/>
      <c r="K28" s="127"/>
      <c r="L28" s="127"/>
    </row>
    <row r="29" spans="2:12" x14ac:dyDescent="0.25">
      <c r="B29" s="123" t="s">
        <v>6</v>
      </c>
      <c r="C29" s="252" t="s">
        <v>169</v>
      </c>
      <c r="D29" s="122"/>
      <c r="E29" s="122"/>
      <c r="F29" s="122"/>
      <c r="G29" s="122"/>
      <c r="H29" s="122"/>
      <c r="I29" s="122"/>
      <c r="J29" s="122"/>
      <c r="K29" s="127"/>
      <c r="L29" s="127"/>
    </row>
    <row r="30" spans="2:12" x14ac:dyDescent="0.25">
      <c r="B30" s="123" t="s">
        <v>7</v>
      </c>
      <c r="C30" s="252" t="s">
        <v>165</v>
      </c>
      <c r="D30" s="122"/>
      <c r="E30" s="122"/>
      <c r="F30" s="122"/>
      <c r="G30" s="122"/>
      <c r="H30" s="122"/>
      <c r="I30" s="122"/>
      <c r="J30" s="122"/>
      <c r="K30" s="127"/>
      <c r="L30" s="127"/>
    </row>
    <row r="31" spans="2:12" x14ac:dyDescent="0.25">
      <c r="B31" s="123" t="s">
        <v>8</v>
      </c>
      <c r="C31" s="252" t="s">
        <v>171</v>
      </c>
      <c r="D31" s="122"/>
      <c r="E31" s="122"/>
      <c r="F31" s="122"/>
      <c r="G31" s="122"/>
      <c r="H31" s="122"/>
      <c r="I31" s="122"/>
      <c r="J31" s="122"/>
      <c r="K31" s="127"/>
      <c r="L31" s="127"/>
    </row>
    <row r="32" spans="2:12" x14ac:dyDescent="0.25">
      <c r="D32" s="163">
        <f>SUM(D23:D31)</f>
        <v>0</v>
      </c>
      <c r="E32" s="163">
        <f>SUM(E23:E31)</f>
        <v>0</v>
      </c>
      <c r="F32" s="163">
        <f>SUM(F23:F31)</f>
        <v>0</v>
      </c>
      <c r="G32" s="163"/>
      <c r="H32" s="163">
        <f>SUM(H23:H31)</f>
        <v>0</v>
      </c>
      <c r="I32" s="163">
        <f>SUM(I23:I31)</f>
        <v>0</v>
      </c>
      <c r="J32" s="163">
        <f>SUM(J23:J31)</f>
        <v>0</v>
      </c>
      <c r="K32" s="164">
        <f>SUM(K23:K31)</f>
        <v>0</v>
      </c>
      <c r="L32" s="164">
        <f>SUM(L23:L31)</f>
        <v>0</v>
      </c>
    </row>
  </sheetData>
  <mergeCells count="5">
    <mergeCell ref="D7:I7"/>
    <mergeCell ref="D21:I21"/>
    <mergeCell ref="B1:F1"/>
    <mergeCell ref="B7:B8"/>
    <mergeCell ref="B21:B22"/>
  </mergeCells>
  <dataValidations count="2">
    <dataValidation type="whole" operator="greaterThanOrEqual" allowBlank="1" showInputMessage="1" showErrorMessage="1" sqref="E9:J18 D23:J32 D9:D19 E19:K19" xr:uid="{00000000-0002-0000-0200-000000000000}">
      <formula1>0</formula1>
    </dataValidation>
    <dataValidation operator="greaterThanOrEqual" allowBlank="1" showInputMessage="1" showErrorMessage="1" sqref="L1:L1048576" xr:uid="{00000000-0002-0000-0200-000001000000}"/>
  </dataValidations>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rgb="FF92D050"/>
  </sheetPr>
  <dimension ref="A1:U22"/>
  <sheetViews>
    <sheetView zoomScale="90" zoomScaleNormal="90" workbookViewId="0">
      <selection activeCell="C8" sqref="C8:F17"/>
    </sheetView>
  </sheetViews>
  <sheetFormatPr defaultColWidth="9.140625" defaultRowHeight="12.75" x14ac:dyDescent="0.2"/>
  <cols>
    <col min="1" max="1" width="7" style="4" customWidth="1"/>
    <col min="2" max="2" width="32.85546875" style="4" customWidth="1"/>
    <col min="3" max="8" width="8.7109375" style="4" customWidth="1"/>
    <col min="9" max="11" width="14.7109375" style="4" customWidth="1"/>
    <col min="12" max="12" width="7.28515625" style="4" customWidth="1"/>
    <col min="13" max="15" width="15.42578125" style="4" customWidth="1"/>
    <col min="16" max="16" width="9.140625" style="4"/>
    <col min="17" max="17" width="10.28515625" style="4" bestFit="1" customWidth="1"/>
    <col min="18" max="16384" width="9.140625" style="4"/>
  </cols>
  <sheetData>
    <row r="1" spans="1:21" ht="13.5" thickBot="1" x14ac:dyDescent="0.25">
      <c r="A1" s="55" t="s">
        <v>17</v>
      </c>
      <c r="B1" s="57"/>
    </row>
    <row r="2" spans="1:21" x14ac:dyDescent="0.2">
      <c r="A2" s="41"/>
    </row>
    <row r="3" spans="1:21" x14ac:dyDescent="0.2">
      <c r="A3" s="41"/>
      <c r="C3" s="69"/>
      <c r="D3" s="4" t="s">
        <v>71</v>
      </c>
    </row>
    <row r="4" spans="1:21" x14ac:dyDescent="0.2">
      <c r="A4" s="41"/>
      <c r="D4" s="4" t="s">
        <v>95</v>
      </c>
    </row>
    <row r="5" spans="1:21" ht="13.5" thickBot="1" x14ac:dyDescent="0.25">
      <c r="A5" s="41"/>
    </row>
    <row r="6" spans="1:21" ht="15" customHeight="1" thickBot="1" x14ac:dyDescent="0.25">
      <c r="A6" s="41"/>
      <c r="M6" s="321" t="s">
        <v>16</v>
      </c>
      <c r="N6" s="322"/>
      <c r="O6" s="323"/>
    </row>
    <row r="7" spans="1:21" ht="25.5" x14ac:dyDescent="0.2">
      <c r="B7" s="142"/>
      <c r="C7" s="141">
        <f>IF('Q%'!$K$15&lt;3,"n.v.t.",'Q%'!$E$5-'Q%'!$K$15)</f>
        <v>2020</v>
      </c>
      <c r="D7" s="141">
        <f>IF('Q%'!$K$15&lt;3,"n.v.t.",'Q%'!$E$5-'Q%'!$K$15+1)</f>
        <v>2021</v>
      </c>
      <c r="E7" s="141">
        <f>IF('Q%'!$K$15&lt;3,"n.v.t.",'Q%'!$E$5-'Q%'!$K$15+2)</f>
        <v>2022</v>
      </c>
      <c r="F7" s="141">
        <f>IF('Q%'!$K$15&lt;=3,"n.v.t.",'Q%'!$E$5-'Q%'!$K$15+3)</f>
        <v>2023</v>
      </c>
      <c r="G7" s="141" t="str">
        <f>IF('Q%'!$K$15&lt;=4,"n.v.t.",'Q%'!$E$5-'Q%'!$K$15+4)</f>
        <v>n.v.t.</v>
      </c>
      <c r="H7" s="141" t="str">
        <f>IF('Q%'!$K$15&lt;=5,"n.v.t.",'Q%'!$E$5-'Q%'!$K$15+5)</f>
        <v>n.v.t.</v>
      </c>
      <c r="I7" s="141" t="s">
        <v>86</v>
      </c>
      <c r="J7" s="201" t="s">
        <v>116</v>
      </c>
      <c r="K7" s="207" t="s">
        <v>118</v>
      </c>
      <c r="L7" s="42"/>
      <c r="M7" s="204" t="s">
        <v>119</v>
      </c>
      <c r="N7" s="205" t="s">
        <v>120</v>
      </c>
      <c r="O7" s="204" t="s">
        <v>121</v>
      </c>
    </row>
    <row r="8" spans="1:21" x14ac:dyDescent="0.2">
      <c r="B8" s="253" t="str">
        <f>+Data!C9</f>
        <v>Gaselwest</v>
      </c>
      <c r="C8" s="69"/>
      <c r="D8" s="69"/>
      <c r="E8" s="69"/>
      <c r="F8" s="69"/>
      <c r="G8" s="69"/>
      <c r="H8" s="69"/>
      <c r="I8" s="82" t="e">
        <f t="shared" ref="I8:I17" si="0">AVERAGE(C8:H8)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2">
      <c r="B9" s="253" t="str">
        <f>+Data!C10</f>
        <v>Fluvius Antwerpen</v>
      </c>
      <c r="C9" s="69"/>
      <c r="D9" s="69"/>
      <c r="E9" s="69"/>
      <c r="F9" s="69"/>
      <c r="G9" s="69"/>
      <c r="H9" s="69"/>
      <c r="I9" s="82"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2">
      <c r="B10" s="253" t="str">
        <f>+Data!C11</f>
        <v>Fluvius Limburg</v>
      </c>
      <c r="C10" s="69"/>
      <c r="D10" s="69"/>
      <c r="E10" s="69"/>
      <c r="F10" s="69"/>
      <c r="G10" s="69"/>
      <c r="H10" s="69"/>
      <c r="I10" s="82"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2">
      <c r="B11" s="253" t="str">
        <f>+Data!C12</f>
        <v>Fluvius West</v>
      </c>
      <c r="C11" s="69"/>
      <c r="D11" s="69"/>
      <c r="E11" s="69"/>
      <c r="F11" s="69"/>
      <c r="G11" s="69"/>
      <c r="H11" s="69"/>
      <c r="I11" s="82"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2">
      <c r="B12" s="253" t="str">
        <f>+Data!C13</f>
        <v>Imewo</v>
      </c>
      <c r="C12" s="69"/>
      <c r="D12" s="69"/>
      <c r="E12" s="69"/>
      <c r="F12" s="69"/>
      <c r="G12" s="69"/>
      <c r="H12" s="69"/>
      <c r="I12" s="82"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2">
      <c r="B13" s="253" t="str">
        <f>+Data!C14</f>
        <v>Intergem</v>
      </c>
      <c r="C13" s="69"/>
      <c r="D13" s="69"/>
      <c r="E13" s="69"/>
      <c r="F13" s="69"/>
      <c r="G13" s="69"/>
      <c r="H13" s="69"/>
      <c r="I13" s="82"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2">
      <c r="B14" s="253" t="str">
        <f>+Data!C15</f>
        <v>Iveka</v>
      </c>
      <c r="C14" s="69"/>
      <c r="D14" s="69"/>
      <c r="E14" s="69"/>
      <c r="F14" s="69"/>
      <c r="G14" s="69"/>
      <c r="H14" s="69"/>
      <c r="I14" s="82"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2">
      <c r="B15" s="253" t="str">
        <f>+Data!C16</f>
        <v>Iverlek</v>
      </c>
      <c r="C15" s="69"/>
      <c r="D15" s="69"/>
      <c r="E15" s="69"/>
      <c r="F15" s="69"/>
      <c r="G15" s="69"/>
      <c r="H15" s="69"/>
      <c r="I15" s="82"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2">
      <c r="B16" s="253" t="str">
        <f>+Data!C17</f>
        <v>PBE</v>
      </c>
      <c r="C16" s="69"/>
      <c r="D16" s="69"/>
      <c r="E16" s="69"/>
      <c r="F16" s="69"/>
      <c r="G16" s="69"/>
      <c r="H16" s="69"/>
      <c r="I16" s="82"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25">
      <c r="B17" s="259" t="str">
        <f>+Data!C18</f>
        <v>Sibelgas</v>
      </c>
      <c r="C17" s="75"/>
      <c r="D17" s="75"/>
      <c r="E17" s="75"/>
      <c r="F17" s="75"/>
      <c r="G17" s="75"/>
      <c r="H17" s="75"/>
      <c r="I17" s="83"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25">
      <c r="B18" s="8"/>
      <c r="C18" s="8"/>
      <c r="D18" s="8"/>
      <c r="E18" s="8"/>
      <c r="F18" s="8"/>
      <c r="G18" s="254"/>
      <c r="H18" s="255" t="s">
        <v>117</v>
      </c>
      <c r="I18" s="256" t="e">
        <f>AVERAGE(I8:I17)</f>
        <v>#DIV/0!</v>
      </c>
      <c r="J18" s="257" t="s">
        <v>11</v>
      </c>
      <c r="K18" s="258" t="e">
        <f>SUM(K8:K17)</f>
        <v>#DIV/0!</v>
      </c>
      <c r="L18" s="8"/>
      <c r="M18" s="76" t="e">
        <f>SUM(M8:M17)</f>
        <v>#DIV/0!</v>
      </c>
      <c r="N18" s="76"/>
      <c r="O18" s="76" t="e">
        <f>SUM(O8:O17)</f>
        <v>#DIV/0!</v>
      </c>
      <c r="P18" s="77"/>
    </row>
    <row r="19" spans="2:21" x14ac:dyDescent="0.2">
      <c r="N19" s="48"/>
      <c r="O19" s="48"/>
      <c r="Q19" s="72"/>
    </row>
    <row r="20" spans="2:21" x14ac:dyDescent="0.2">
      <c r="C20" s="8"/>
      <c r="D20" s="8"/>
      <c r="H20" s="8"/>
      <c r="I20" s="42" t="s">
        <v>18</v>
      </c>
      <c r="J20" s="42"/>
      <c r="K20" s="78">
        <f>+'Q%'!N15</f>
        <v>616</v>
      </c>
    </row>
    <row r="22" spans="2:21" x14ac:dyDescent="0.2">
      <c r="E22" s="81"/>
      <c r="F22" s="81"/>
      <c r="H22" s="79"/>
    </row>
  </sheetData>
  <mergeCells count="1">
    <mergeCell ref="M6:O6"/>
  </mergeCells>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tabColor rgb="FF92D050"/>
  </sheetPr>
  <dimension ref="A1:U20"/>
  <sheetViews>
    <sheetView zoomScale="90" zoomScaleNormal="90" workbookViewId="0">
      <selection activeCell="C8" sqref="C8:F17"/>
    </sheetView>
  </sheetViews>
  <sheetFormatPr defaultColWidth="9.140625" defaultRowHeight="12.75" x14ac:dyDescent="0.2"/>
  <cols>
    <col min="1" max="1" width="9.140625" style="4"/>
    <col min="2" max="2" width="29.28515625" style="4" bestFit="1" customWidth="1"/>
    <col min="3" max="7" width="10.140625" style="4" customWidth="1"/>
    <col min="8" max="8" width="9.140625" style="4"/>
    <col min="9" max="9" width="11.7109375" style="4" bestFit="1" customWidth="1"/>
    <col min="10" max="13" width="11.7109375" style="4" customWidth="1"/>
    <col min="14" max="14" width="10.28515625" style="4" customWidth="1"/>
    <col min="15" max="15" width="12.28515625" style="4" customWidth="1"/>
    <col min="16" max="16" width="1.5703125" style="4" customWidth="1"/>
    <col min="17" max="17" width="20" style="4" customWidth="1"/>
    <col min="18" max="21" width="10.28515625" style="4" customWidth="1"/>
    <col min="22" max="22" width="5.42578125" style="4" bestFit="1" customWidth="1"/>
    <col min="23" max="24" width="9.140625" style="4"/>
    <col min="25" max="25" width="10.28515625" style="4" bestFit="1" customWidth="1"/>
    <col min="26" max="16384" width="9.140625" style="4"/>
  </cols>
  <sheetData>
    <row r="1" spans="1:21" ht="13.5" thickBot="1" x14ac:dyDescent="0.25">
      <c r="A1" s="55" t="s">
        <v>19</v>
      </c>
      <c r="B1" s="57"/>
    </row>
    <row r="2" spans="1:21" x14ac:dyDescent="0.2">
      <c r="A2" s="41"/>
    </row>
    <row r="3" spans="1:21" x14ac:dyDescent="0.2">
      <c r="A3" s="41"/>
      <c r="C3" s="174" t="s">
        <v>99</v>
      </c>
      <c r="D3" s="4" t="s">
        <v>71</v>
      </c>
    </row>
    <row r="4" spans="1:21" x14ac:dyDescent="0.2">
      <c r="A4" s="41"/>
      <c r="D4" s="4" t="s">
        <v>95</v>
      </c>
    </row>
    <row r="5" spans="1:21" ht="13.5" thickBot="1" x14ac:dyDescent="0.25">
      <c r="A5" s="41"/>
    </row>
    <row r="6" spans="1:21" ht="13.5" thickBot="1" x14ac:dyDescent="0.25">
      <c r="A6" s="41"/>
      <c r="M6" s="321" t="s">
        <v>16</v>
      </c>
      <c r="N6" s="322"/>
      <c r="O6" s="323"/>
    </row>
    <row r="7" spans="1:21" ht="38.25" x14ac:dyDescent="0.2">
      <c r="B7" s="67"/>
      <c r="C7" s="141">
        <f>IF('Q%'!$K$16&lt;3,"n.v.t.",'Q%'!$E$5-'Q%'!$K$16)</f>
        <v>2020</v>
      </c>
      <c r="D7" s="141">
        <f>IF('Q%'!$K$16&lt;3,"n.v.t.",'Q%'!$E$5-'Q%'!$K$16+1)</f>
        <v>2021</v>
      </c>
      <c r="E7" s="141">
        <f>IF('Q%'!$K$16&lt;3,"n.v.t.",'Q%'!$E$5-'Q%'!$K$16+2)</f>
        <v>2022</v>
      </c>
      <c r="F7" s="141">
        <f>IF('Q%'!$K$16&lt;=3,"n.v.t.",'Q%'!$E$5-'Q%'!$K$16+3)</f>
        <v>2023</v>
      </c>
      <c r="G7" s="141" t="str">
        <f>IF('Q%'!$K$16&lt;=4,"n.v.t.",'Q%'!$E$5-'Q%'!$K$16+4)</f>
        <v>n.v.t.</v>
      </c>
      <c r="H7" s="141" t="str">
        <f>IF('Q%'!$K$16&lt;=5,"n.v.t.",'Q%'!$E$5-'Q%'!$K$16+5)</f>
        <v>n.v.t.</v>
      </c>
      <c r="I7" s="141" t="s">
        <v>86</v>
      </c>
      <c r="J7" s="201" t="s">
        <v>116</v>
      </c>
      <c r="K7" s="207" t="s">
        <v>118</v>
      </c>
      <c r="L7" s="42"/>
      <c r="M7" s="204" t="s">
        <v>119</v>
      </c>
      <c r="N7" s="205" t="s">
        <v>120</v>
      </c>
      <c r="O7" s="204" t="s">
        <v>121</v>
      </c>
    </row>
    <row r="8" spans="1:21" x14ac:dyDescent="0.2">
      <c r="B8" s="253" t="str">
        <f>+Data!C9</f>
        <v>Gaselwest</v>
      </c>
      <c r="C8" s="86"/>
      <c r="D8" s="86"/>
      <c r="E8" s="86"/>
      <c r="F8" s="86"/>
      <c r="G8" s="86"/>
      <c r="H8" s="86"/>
      <c r="I8" s="208" t="e">
        <f t="shared" ref="I8:I17" si="0">AVERAGE(C8:H8)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2">
      <c r="B9" s="68" t="str">
        <f>+Data!C10</f>
        <v>Fluvius Antwerpen</v>
      </c>
      <c r="C9" s="86"/>
      <c r="D9" s="86"/>
      <c r="E9" s="86"/>
      <c r="F9" s="86"/>
      <c r="G9" s="86"/>
      <c r="H9" s="86"/>
      <c r="I9" s="208"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2">
      <c r="B10" s="68" t="str">
        <f>+Data!C11</f>
        <v>Fluvius Limburg</v>
      </c>
      <c r="C10" s="86"/>
      <c r="D10" s="86"/>
      <c r="E10" s="86"/>
      <c r="F10" s="86"/>
      <c r="G10" s="86"/>
      <c r="H10" s="86"/>
      <c r="I10" s="208"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2">
      <c r="B11" s="68" t="str">
        <f>+Data!C12</f>
        <v>Fluvius West</v>
      </c>
      <c r="C11" s="86"/>
      <c r="D11" s="86"/>
      <c r="E11" s="86"/>
      <c r="F11" s="86"/>
      <c r="G11" s="86"/>
      <c r="H11" s="86"/>
      <c r="I11" s="208"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2">
      <c r="B12" s="68" t="str">
        <f>+Data!C13</f>
        <v>Imewo</v>
      </c>
      <c r="C12" s="86"/>
      <c r="D12" s="86"/>
      <c r="E12" s="86"/>
      <c r="F12" s="86"/>
      <c r="G12" s="86"/>
      <c r="H12" s="86"/>
      <c r="I12" s="208"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2">
      <c r="B13" s="68" t="str">
        <f>+Data!C14</f>
        <v>Intergem</v>
      </c>
      <c r="C13" s="86"/>
      <c r="D13" s="86"/>
      <c r="E13" s="86"/>
      <c r="F13" s="86"/>
      <c r="G13" s="86"/>
      <c r="H13" s="86"/>
      <c r="I13" s="208"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2">
      <c r="B14" s="68" t="str">
        <f>+Data!C15</f>
        <v>Iveka</v>
      </c>
      <c r="C14" s="86"/>
      <c r="D14" s="86"/>
      <c r="E14" s="86"/>
      <c r="F14" s="86"/>
      <c r="G14" s="86"/>
      <c r="H14" s="86"/>
      <c r="I14" s="208"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2">
      <c r="B15" s="68" t="str">
        <f>+Data!C16</f>
        <v>Iverlek</v>
      </c>
      <c r="C15" s="86"/>
      <c r="D15" s="86"/>
      <c r="E15" s="86"/>
      <c r="F15" s="86"/>
      <c r="G15" s="86"/>
      <c r="H15" s="86"/>
      <c r="I15" s="208"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2">
      <c r="B16" s="68" t="str">
        <f>+Data!C17</f>
        <v>PBE</v>
      </c>
      <c r="C16" s="86"/>
      <c r="D16" s="86"/>
      <c r="E16" s="86"/>
      <c r="F16" s="86"/>
      <c r="G16" s="86"/>
      <c r="H16" s="86"/>
      <c r="I16" s="208"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25">
      <c r="B17" s="74" t="str">
        <f>+Data!C18</f>
        <v>Sibelgas</v>
      </c>
      <c r="C17" s="88"/>
      <c r="D17" s="88"/>
      <c r="E17" s="88"/>
      <c r="F17" s="88"/>
      <c r="G17" s="88"/>
      <c r="H17" s="88"/>
      <c r="I17" s="268"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25">
      <c r="G18" s="254"/>
      <c r="H18" s="255" t="s">
        <v>117</v>
      </c>
      <c r="I18" s="267" t="e">
        <f>AVERAGE(I8:I17)</f>
        <v>#DIV/0!</v>
      </c>
      <c r="J18" s="257" t="s">
        <v>11</v>
      </c>
      <c r="K18" s="258" t="e">
        <f>SUM(K8:K17)</f>
        <v>#DIV/0!</v>
      </c>
      <c r="L18" s="8"/>
      <c r="M18" s="76" t="e">
        <f>SUM(M8:M17)</f>
        <v>#DIV/0!</v>
      </c>
      <c r="N18" s="76"/>
      <c r="O18" s="76" t="e">
        <f>SUM(O8:O17)</f>
        <v>#DIV/0!</v>
      </c>
      <c r="P18" s="77"/>
    </row>
    <row r="19" spans="2:21" x14ac:dyDescent="0.2">
      <c r="N19" s="48"/>
      <c r="O19" s="48"/>
      <c r="Q19" s="72"/>
    </row>
    <row r="20" spans="2:21" x14ac:dyDescent="0.2">
      <c r="I20" s="42" t="s">
        <v>18</v>
      </c>
      <c r="J20" s="42"/>
      <c r="K20" s="78">
        <f>+'Q%'!N16</f>
        <v>504</v>
      </c>
    </row>
  </sheetData>
  <mergeCells count="1">
    <mergeCell ref="M6:O6"/>
  </mergeCell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0">
    <tabColor rgb="FF92D050"/>
  </sheetPr>
  <dimension ref="A1:U22"/>
  <sheetViews>
    <sheetView zoomScale="90" zoomScaleNormal="90" workbookViewId="0">
      <selection activeCell="C8" sqref="C8:F17"/>
    </sheetView>
  </sheetViews>
  <sheetFormatPr defaultColWidth="9.140625" defaultRowHeight="12.75" x14ac:dyDescent="0.2"/>
  <cols>
    <col min="1" max="1" width="9.140625" style="4"/>
    <col min="2" max="2" width="32.85546875" style="4" customWidth="1"/>
    <col min="3" max="8" width="8.7109375" style="4" customWidth="1"/>
    <col min="9" max="9" width="17.5703125" style="4" customWidth="1"/>
    <col min="10" max="10" width="11.28515625" style="4" customWidth="1"/>
    <col min="11" max="11" width="12.28515625" style="4" customWidth="1"/>
    <col min="12" max="12" width="9.28515625" style="4" customWidth="1"/>
    <col min="13" max="15" width="11.5703125" style="4" customWidth="1"/>
    <col min="16" max="16" width="5.42578125" style="4" bestFit="1" customWidth="1"/>
    <col min="17" max="18" width="9.140625" style="4"/>
    <col min="19" max="19" width="10.28515625" style="4" bestFit="1" customWidth="1"/>
    <col min="20" max="16384" width="9.140625" style="4"/>
  </cols>
  <sheetData>
    <row r="1" spans="1:21" ht="13.5" thickBot="1" x14ac:dyDescent="0.25">
      <c r="A1" s="55" t="s">
        <v>20</v>
      </c>
      <c r="B1" s="57"/>
    </row>
    <row r="2" spans="1:21" x14ac:dyDescent="0.2">
      <c r="A2" s="41"/>
    </row>
    <row r="3" spans="1:21" x14ac:dyDescent="0.2">
      <c r="A3" s="41"/>
      <c r="C3" s="66"/>
      <c r="D3" s="4" t="s">
        <v>71</v>
      </c>
    </row>
    <row r="4" spans="1:21" x14ac:dyDescent="0.2">
      <c r="A4" s="41"/>
      <c r="D4" s="4" t="s">
        <v>95</v>
      </c>
    </row>
    <row r="5" spans="1:21" ht="13.5" thickBot="1" x14ac:dyDescent="0.25">
      <c r="A5" s="41"/>
    </row>
    <row r="6" spans="1:21" ht="13.5" thickBot="1" x14ac:dyDescent="0.25">
      <c r="A6" s="41"/>
      <c r="M6" s="321" t="s">
        <v>16</v>
      </c>
      <c r="N6" s="322"/>
      <c r="O6" s="323"/>
    </row>
    <row r="7" spans="1:21" ht="38.25" x14ac:dyDescent="0.2">
      <c r="B7" s="67"/>
      <c r="C7" s="141">
        <f>IF('Q%'!$K$17&lt;3,"n.v.t.",'Q%'!$E$5-'Q%'!$K$17)</f>
        <v>2020</v>
      </c>
      <c r="D7" s="141">
        <f>IF('Q%'!$K$17&lt;3,"n.v.t.",'Q%'!$E$5-'Q%'!$K$17+1)</f>
        <v>2021</v>
      </c>
      <c r="E7" s="141">
        <f>IF('Q%'!$K$17&lt;3,"n.v.t.",'Q%'!$E$5-'Q%'!$K$17+2)</f>
        <v>2022</v>
      </c>
      <c r="F7" s="141">
        <f>IF('Q%'!$K$17&lt;=3,"n.v.t.",'Q%'!$E$5-'Q%'!$K$17+3)</f>
        <v>2023</v>
      </c>
      <c r="G7" s="141" t="str">
        <f>IF('Q%'!$K$17&lt;=4,"n.v.t.",'Q%'!$E$5-'Q%'!$K$17+4)</f>
        <v>n.v.t.</v>
      </c>
      <c r="H7" s="141" t="str">
        <f>IF('Q%'!$K$17&lt;=5,"n.v.t.",'Q%'!$E$5-'Q%'!$K$17+5)</f>
        <v>n.v.t.</v>
      </c>
      <c r="I7" s="141" t="s">
        <v>86</v>
      </c>
      <c r="J7" s="201" t="s">
        <v>116</v>
      </c>
      <c r="K7" s="207" t="s">
        <v>118</v>
      </c>
      <c r="L7" s="42"/>
      <c r="M7" s="204" t="s">
        <v>119</v>
      </c>
      <c r="N7" s="205" t="s">
        <v>120</v>
      </c>
      <c r="O7" s="204" t="s">
        <v>121</v>
      </c>
    </row>
    <row r="8" spans="1:21" x14ac:dyDescent="0.2">
      <c r="B8" s="253" t="str">
        <f>+Data!C9</f>
        <v>Gaselwest</v>
      </c>
      <c r="C8" s="69"/>
      <c r="D8" s="69"/>
      <c r="E8" s="69"/>
      <c r="F8" s="69"/>
      <c r="G8" s="69"/>
      <c r="H8" s="69"/>
      <c r="I8" s="82" t="e">
        <f t="shared" ref="I8:I17" si="0">AVERAGE(B8:H8)</f>
        <v>#DIV/0!</v>
      </c>
      <c r="J8" s="202" t="e">
        <f t="shared" ref="J8:J17" si="1">+I8/MAX($I$8:$I$17)</f>
        <v>#DIV/0!</v>
      </c>
      <c r="K8" s="84" t="e">
        <f>1/EXP(J8)</f>
        <v>#DIV/0!</v>
      </c>
      <c r="L8" s="8"/>
      <c r="M8" s="70" t="e">
        <f t="shared" ref="M8:M17" si="2">ROUND($K$20*K8/$K$18,2)</f>
        <v>#DIV/0!</v>
      </c>
      <c r="N8" s="206" t="e">
        <f t="shared" ref="N8:N17" si="3">IF(I8&lt;$I$18,"ja","nee")</f>
        <v>#DIV/0!</v>
      </c>
      <c r="O8" s="70" t="e">
        <f t="shared" ref="O8:O17" si="4">IF(N8="ja",SUMIF($N$8:$N$17,"ja",$M$8:$M$17)/COUNTIF($N$8:$N$17,"ja"),M8)</f>
        <v>#DIV/0!</v>
      </c>
      <c r="P8" s="71"/>
      <c r="Q8" s="72"/>
      <c r="R8" s="73"/>
      <c r="T8" s="72"/>
      <c r="U8" s="72"/>
    </row>
    <row r="9" spans="1:21" x14ac:dyDescent="0.2">
      <c r="B9" s="68" t="str">
        <f>+Data!C10</f>
        <v>Fluvius Antwerpen</v>
      </c>
      <c r="C9" s="69"/>
      <c r="D9" s="69"/>
      <c r="E9" s="69"/>
      <c r="F9" s="69"/>
      <c r="G9" s="69"/>
      <c r="H9" s="69"/>
      <c r="I9" s="82" t="e">
        <f t="shared" si="0"/>
        <v>#DIV/0!</v>
      </c>
      <c r="J9" s="202" t="e">
        <f t="shared" si="1"/>
        <v>#DIV/0!</v>
      </c>
      <c r="K9" s="84" t="e">
        <f t="shared" ref="K9:K17" si="5">1/EXP(J9)</f>
        <v>#DIV/0!</v>
      </c>
      <c r="L9" s="8"/>
      <c r="M9" s="70" t="e">
        <f t="shared" si="2"/>
        <v>#DIV/0!</v>
      </c>
      <c r="N9" s="206" t="e">
        <f t="shared" si="3"/>
        <v>#DIV/0!</v>
      </c>
      <c r="O9" s="70" t="e">
        <f t="shared" si="4"/>
        <v>#DIV/0!</v>
      </c>
      <c r="P9" s="71"/>
      <c r="Q9" s="72"/>
      <c r="R9" s="73"/>
      <c r="T9" s="72"/>
      <c r="U9" s="72"/>
    </row>
    <row r="10" spans="1:21" x14ac:dyDescent="0.2">
      <c r="B10" s="68" t="str">
        <f>+Data!C11</f>
        <v>Fluvius Limburg</v>
      </c>
      <c r="C10" s="69"/>
      <c r="D10" s="69"/>
      <c r="E10" s="69"/>
      <c r="F10" s="69"/>
      <c r="G10" s="69"/>
      <c r="H10" s="69"/>
      <c r="I10" s="82" t="e">
        <f t="shared" si="0"/>
        <v>#DIV/0!</v>
      </c>
      <c r="J10" s="202" t="e">
        <f t="shared" si="1"/>
        <v>#DIV/0!</v>
      </c>
      <c r="K10" s="84" t="e">
        <f t="shared" si="5"/>
        <v>#DIV/0!</v>
      </c>
      <c r="L10" s="8"/>
      <c r="M10" s="70" t="e">
        <f t="shared" si="2"/>
        <v>#DIV/0!</v>
      </c>
      <c r="N10" s="206" t="e">
        <f t="shared" si="3"/>
        <v>#DIV/0!</v>
      </c>
      <c r="O10" s="70" t="e">
        <f t="shared" si="4"/>
        <v>#DIV/0!</v>
      </c>
      <c r="P10" s="71"/>
      <c r="Q10" s="72"/>
      <c r="R10" s="73"/>
      <c r="T10" s="72"/>
      <c r="U10" s="72"/>
    </row>
    <row r="11" spans="1:21" x14ac:dyDescent="0.2">
      <c r="B11" s="68" t="str">
        <f>+Data!C12</f>
        <v>Fluvius West</v>
      </c>
      <c r="C11" s="69"/>
      <c r="D11" s="69"/>
      <c r="E11" s="69"/>
      <c r="F11" s="69"/>
      <c r="G11" s="69"/>
      <c r="H11" s="69"/>
      <c r="I11" s="82" t="e">
        <f t="shared" si="0"/>
        <v>#DIV/0!</v>
      </c>
      <c r="J11" s="202" t="e">
        <f t="shared" si="1"/>
        <v>#DIV/0!</v>
      </c>
      <c r="K11" s="84" t="e">
        <f t="shared" si="5"/>
        <v>#DIV/0!</v>
      </c>
      <c r="L11" s="8"/>
      <c r="M11" s="70" t="e">
        <f t="shared" si="2"/>
        <v>#DIV/0!</v>
      </c>
      <c r="N11" s="206" t="e">
        <f t="shared" si="3"/>
        <v>#DIV/0!</v>
      </c>
      <c r="O11" s="70" t="e">
        <f t="shared" si="4"/>
        <v>#DIV/0!</v>
      </c>
      <c r="P11" s="71"/>
      <c r="Q11" s="72"/>
      <c r="R11" s="73"/>
      <c r="T11" s="72"/>
      <c r="U11" s="72"/>
    </row>
    <row r="12" spans="1:21" x14ac:dyDescent="0.2">
      <c r="B12" s="68" t="str">
        <f>+Data!C13</f>
        <v>Imewo</v>
      </c>
      <c r="C12" s="69"/>
      <c r="D12" s="69"/>
      <c r="E12" s="69"/>
      <c r="F12" s="69"/>
      <c r="G12" s="69"/>
      <c r="H12" s="69"/>
      <c r="I12" s="82" t="e">
        <f t="shared" si="0"/>
        <v>#DIV/0!</v>
      </c>
      <c r="J12" s="202" t="e">
        <f t="shared" si="1"/>
        <v>#DIV/0!</v>
      </c>
      <c r="K12" s="84" t="e">
        <f t="shared" si="5"/>
        <v>#DIV/0!</v>
      </c>
      <c r="L12" s="8"/>
      <c r="M12" s="70" t="e">
        <f t="shared" si="2"/>
        <v>#DIV/0!</v>
      </c>
      <c r="N12" s="206" t="e">
        <f t="shared" si="3"/>
        <v>#DIV/0!</v>
      </c>
      <c r="O12" s="70" t="e">
        <f t="shared" si="4"/>
        <v>#DIV/0!</v>
      </c>
      <c r="P12" s="71"/>
      <c r="Q12" s="72"/>
      <c r="R12" s="73"/>
      <c r="T12" s="72"/>
      <c r="U12" s="72"/>
    </row>
    <row r="13" spans="1:21" x14ac:dyDescent="0.2">
      <c r="B13" s="68" t="str">
        <f>+Data!C14</f>
        <v>Intergem</v>
      </c>
      <c r="C13" s="69"/>
      <c r="D13" s="69"/>
      <c r="E13" s="69"/>
      <c r="F13" s="69"/>
      <c r="G13" s="69"/>
      <c r="H13" s="69"/>
      <c r="I13" s="82" t="e">
        <f t="shared" si="0"/>
        <v>#DIV/0!</v>
      </c>
      <c r="J13" s="202" t="e">
        <f t="shared" si="1"/>
        <v>#DIV/0!</v>
      </c>
      <c r="K13" s="84" t="e">
        <f t="shared" si="5"/>
        <v>#DIV/0!</v>
      </c>
      <c r="L13" s="8"/>
      <c r="M13" s="70" t="e">
        <f t="shared" si="2"/>
        <v>#DIV/0!</v>
      </c>
      <c r="N13" s="206" t="e">
        <f t="shared" si="3"/>
        <v>#DIV/0!</v>
      </c>
      <c r="O13" s="70" t="e">
        <f t="shared" si="4"/>
        <v>#DIV/0!</v>
      </c>
      <c r="P13" s="71"/>
      <c r="Q13" s="72"/>
      <c r="R13" s="73"/>
      <c r="T13" s="72"/>
      <c r="U13" s="72"/>
    </row>
    <row r="14" spans="1:21" x14ac:dyDescent="0.2">
      <c r="B14" s="68" t="str">
        <f>+Data!C15</f>
        <v>Iveka</v>
      </c>
      <c r="C14" s="69"/>
      <c r="D14" s="69"/>
      <c r="E14" s="69"/>
      <c r="F14" s="69"/>
      <c r="G14" s="69"/>
      <c r="H14" s="69"/>
      <c r="I14" s="82" t="e">
        <f t="shared" si="0"/>
        <v>#DIV/0!</v>
      </c>
      <c r="J14" s="202" t="e">
        <f t="shared" si="1"/>
        <v>#DIV/0!</v>
      </c>
      <c r="K14" s="84" t="e">
        <f t="shared" si="5"/>
        <v>#DIV/0!</v>
      </c>
      <c r="L14" s="8"/>
      <c r="M14" s="70" t="e">
        <f t="shared" si="2"/>
        <v>#DIV/0!</v>
      </c>
      <c r="N14" s="206" t="e">
        <f t="shared" si="3"/>
        <v>#DIV/0!</v>
      </c>
      <c r="O14" s="70" t="e">
        <f t="shared" si="4"/>
        <v>#DIV/0!</v>
      </c>
      <c r="P14" s="71"/>
      <c r="Q14" s="72"/>
      <c r="R14" s="73"/>
      <c r="T14" s="72"/>
      <c r="U14" s="72"/>
    </row>
    <row r="15" spans="1:21" x14ac:dyDescent="0.2">
      <c r="B15" s="68" t="str">
        <f>+Data!C16</f>
        <v>Iverlek</v>
      </c>
      <c r="C15" s="69"/>
      <c r="D15" s="69"/>
      <c r="E15" s="69"/>
      <c r="F15" s="69"/>
      <c r="G15" s="69"/>
      <c r="H15" s="69"/>
      <c r="I15" s="82" t="e">
        <f t="shared" si="0"/>
        <v>#DIV/0!</v>
      </c>
      <c r="J15" s="202" t="e">
        <f t="shared" si="1"/>
        <v>#DIV/0!</v>
      </c>
      <c r="K15" s="84" t="e">
        <f t="shared" si="5"/>
        <v>#DIV/0!</v>
      </c>
      <c r="L15" s="8"/>
      <c r="M15" s="70" t="e">
        <f t="shared" si="2"/>
        <v>#DIV/0!</v>
      </c>
      <c r="N15" s="206" t="e">
        <f t="shared" si="3"/>
        <v>#DIV/0!</v>
      </c>
      <c r="O15" s="70" t="e">
        <f t="shared" si="4"/>
        <v>#DIV/0!</v>
      </c>
      <c r="P15" s="71"/>
      <c r="Q15" s="72"/>
      <c r="R15" s="73"/>
      <c r="T15" s="72"/>
      <c r="U15" s="72"/>
    </row>
    <row r="16" spans="1:21" x14ac:dyDescent="0.2">
      <c r="B16" s="68" t="str">
        <f>+Data!C17</f>
        <v>PBE</v>
      </c>
      <c r="C16" s="69"/>
      <c r="D16" s="69"/>
      <c r="E16" s="69"/>
      <c r="F16" s="69"/>
      <c r="G16" s="69"/>
      <c r="H16" s="69"/>
      <c r="I16" s="82" t="e">
        <f t="shared" si="0"/>
        <v>#DIV/0!</v>
      </c>
      <c r="J16" s="202" t="e">
        <f t="shared" si="1"/>
        <v>#DIV/0!</v>
      </c>
      <c r="K16" s="84" t="e">
        <f t="shared" si="5"/>
        <v>#DIV/0!</v>
      </c>
      <c r="L16" s="8"/>
      <c r="M16" s="70" t="e">
        <f t="shared" si="2"/>
        <v>#DIV/0!</v>
      </c>
      <c r="N16" s="206" t="e">
        <f t="shared" si="3"/>
        <v>#DIV/0!</v>
      </c>
      <c r="O16" s="70" t="e">
        <f t="shared" si="4"/>
        <v>#DIV/0!</v>
      </c>
      <c r="P16" s="71"/>
      <c r="Q16" s="72"/>
      <c r="R16" s="73"/>
      <c r="T16" s="72"/>
      <c r="U16" s="72"/>
    </row>
    <row r="17" spans="2:21" ht="13.5" thickBot="1" x14ac:dyDescent="0.25">
      <c r="B17" s="74" t="str">
        <f>+Data!C18</f>
        <v>Sibelgas</v>
      </c>
      <c r="C17" s="75"/>
      <c r="D17" s="75"/>
      <c r="E17" s="75"/>
      <c r="F17" s="75"/>
      <c r="G17" s="75"/>
      <c r="H17" s="75"/>
      <c r="I17" s="83" t="e">
        <f t="shared" si="0"/>
        <v>#DIV/0!</v>
      </c>
      <c r="J17" s="203" t="e">
        <f t="shared" si="1"/>
        <v>#DIV/0!</v>
      </c>
      <c r="K17" s="85" t="e">
        <f t="shared" si="5"/>
        <v>#DIV/0!</v>
      </c>
      <c r="L17" s="8"/>
      <c r="M17" s="70" t="e">
        <f t="shared" si="2"/>
        <v>#DIV/0!</v>
      </c>
      <c r="N17" s="206" t="e">
        <f t="shared" si="3"/>
        <v>#DIV/0!</v>
      </c>
      <c r="O17" s="70" t="e">
        <f t="shared" si="4"/>
        <v>#DIV/0!</v>
      </c>
      <c r="P17" s="71"/>
      <c r="Q17" s="72"/>
      <c r="R17" s="73"/>
      <c r="T17" s="72"/>
      <c r="U17" s="72"/>
    </row>
    <row r="18" spans="2:21" ht="13.5" thickBot="1" x14ac:dyDescent="0.25">
      <c r="B18" s="8"/>
      <c r="C18" s="8"/>
      <c r="D18" s="8"/>
      <c r="E18" s="8"/>
      <c r="F18" s="8"/>
      <c r="G18" s="254"/>
      <c r="H18" s="255" t="s">
        <v>117</v>
      </c>
      <c r="I18" s="256" t="e">
        <f>AVERAGE(I8:I17)</f>
        <v>#DIV/0!</v>
      </c>
      <c r="J18" s="257" t="s">
        <v>11</v>
      </c>
      <c r="K18" s="258" t="e">
        <f>SUM(K8:K17)</f>
        <v>#DIV/0!</v>
      </c>
      <c r="L18" s="8"/>
      <c r="M18" s="76" t="e">
        <f>SUM(M8:M17)</f>
        <v>#DIV/0!</v>
      </c>
      <c r="N18" s="76"/>
      <c r="O18" s="76" t="e">
        <f>SUM(O8:O17)</f>
        <v>#DIV/0!</v>
      </c>
      <c r="P18" s="77"/>
    </row>
    <row r="19" spans="2:21" x14ac:dyDescent="0.2">
      <c r="N19" s="48"/>
      <c r="O19" s="48"/>
      <c r="Q19" s="72"/>
    </row>
    <row r="20" spans="2:21" x14ac:dyDescent="0.2">
      <c r="C20" s="8"/>
      <c r="D20" s="8"/>
      <c r="E20" s="8"/>
      <c r="F20" s="8"/>
      <c r="G20" s="8"/>
      <c r="H20" s="8"/>
      <c r="I20" s="42" t="s">
        <v>18</v>
      </c>
      <c r="J20" s="42"/>
      <c r="K20" s="78">
        <f>+'Q%'!N17</f>
        <v>264</v>
      </c>
    </row>
    <row r="22" spans="2:21" x14ac:dyDescent="0.2">
      <c r="J22" s="79"/>
    </row>
  </sheetData>
  <mergeCells count="1">
    <mergeCell ref="M6:O6"/>
  </mergeCells>
  <pageMargins left="0.7" right="0.7" top="0.75" bottom="0.75" header="0.3" footer="0.3"/>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tabColor rgb="FF92D050"/>
  </sheetPr>
  <dimension ref="A1:U20"/>
  <sheetViews>
    <sheetView zoomScale="90" zoomScaleNormal="90" workbookViewId="0">
      <selection activeCell="C8" sqref="C8:F17"/>
    </sheetView>
  </sheetViews>
  <sheetFormatPr defaultColWidth="9.140625" defaultRowHeight="12.75" x14ac:dyDescent="0.2"/>
  <cols>
    <col min="1" max="1" width="9.140625" style="4"/>
    <col min="2" max="2" width="29.28515625" style="4" bestFit="1" customWidth="1"/>
    <col min="3" max="8" width="10.28515625" style="4" customWidth="1"/>
    <col min="9" max="9" width="12.28515625" style="4" customWidth="1"/>
    <col min="10" max="13" width="11.7109375" style="4" customWidth="1"/>
    <col min="14" max="15" width="11.85546875" style="4" customWidth="1"/>
    <col min="16" max="16" width="5.42578125" style="4" bestFit="1" customWidth="1"/>
    <col min="17" max="17" width="19.42578125" style="4" bestFit="1" customWidth="1"/>
    <col min="18" max="18" width="9.140625" style="4"/>
    <col min="19" max="19" width="10.28515625" style="4" bestFit="1" customWidth="1"/>
    <col min="20" max="16384" width="9.140625" style="4"/>
  </cols>
  <sheetData>
    <row r="1" spans="1:21" ht="13.5" thickBot="1" x14ac:dyDescent="0.25">
      <c r="A1" s="55" t="s">
        <v>21</v>
      </c>
      <c r="B1" s="57"/>
    </row>
    <row r="2" spans="1:21" x14ac:dyDescent="0.2">
      <c r="A2" s="41"/>
    </row>
    <row r="3" spans="1:21" x14ac:dyDescent="0.2">
      <c r="A3" s="41"/>
      <c r="C3" s="174" t="s">
        <v>99</v>
      </c>
      <c r="D3" s="4" t="s">
        <v>71</v>
      </c>
    </row>
    <row r="4" spans="1:21" x14ac:dyDescent="0.2">
      <c r="A4" s="41"/>
      <c r="D4" s="4" t="s">
        <v>95</v>
      </c>
    </row>
    <row r="5" spans="1:21" ht="13.5" thickBot="1" x14ac:dyDescent="0.25">
      <c r="A5" s="41"/>
      <c r="H5" s="80">
        <v>4.1666666666666664E-2</v>
      </c>
    </row>
    <row r="6" spans="1:21" ht="13.5" thickBot="1" x14ac:dyDescent="0.25">
      <c r="A6" s="41"/>
      <c r="H6" s="80"/>
      <c r="M6" s="321" t="s">
        <v>16</v>
      </c>
      <c r="N6" s="322"/>
      <c r="O6" s="323"/>
    </row>
    <row r="7" spans="1:21" ht="38.25" x14ac:dyDescent="0.2">
      <c r="B7" s="67"/>
      <c r="C7" s="141">
        <f>IF('Q%'!$K$18&lt;3,"n.v.t.",'Q%'!$E$5-'Q%'!$K$18)</f>
        <v>2020</v>
      </c>
      <c r="D7" s="141">
        <f>IF('Q%'!$K$18&lt;3,"n.v.t.",'Q%'!$E$5-'Q%'!$K$18+1)</f>
        <v>2021</v>
      </c>
      <c r="E7" s="141">
        <f>IF('Q%'!$K$18&lt;3,"n.v.t.",'Q%'!$E$5-'Q%'!$K$18+2)</f>
        <v>2022</v>
      </c>
      <c r="F7" s="141">
        <f>IF('Q%'!$K$18&lt;=3,"n.v.t.",'Q%'!$E$5-'Q%'!$K$18+3)</f>
        <v>2023</v>
      </c>
      <c r="G7" s="141" t="str">
        <f>IF('Q%'!$K$18&lt;=4,"n.v.t.",'Q%'!$E$5-'Q%'!$K$18+4)</f>
        <v>n.v.t.</v>
      </c>
      <c r="H7" s="141" t="str">
        <f>IF('Q%'!$K$18&lt;=5,"n.v.t.",'Q%'!$E$5-'Q%'!$K$18+5)</f>
        <v>n.v.t.</v>
      </c>
      <c r="I7" s="141" t="s">
        <v>86</v>
      </c>
      <c r="J7" s="201" t="s">
        <v>116</v>
      </c>
      <c r="K7" s="207" t="s">
        <v>118</v>
      </c>
      <c r="L7" s="42"/>
      <c r="M7" s="204" t="s">
        <v>119</v>
      </c>
      <c r="N7" s="205" t="s">
        <v>120</v>
      </c>
      <c r="O7" s="204" t="s">
        <v>121</v>
      </c>
    </row>
    <row r="8" spans="1:21" x14ac:dyDescent="0.2">
      <c r="B8" s="260" t="str">
        <f>+Data!C9</f>
        <v>Gaselwest</v>
      </c>
      <c r="C8" s="86"/>
      <c r="D8" s="86"/>
      <c r="E8" s="86"/>
      <c r="F8" s="86"/>
      <c r="G8" s="86"/>
      <c r="H8" s="86"/>
      <c r="I8" s="87" t="e">
        <f>AVERAGE(C8:H8)</f>
        <v>#DIV/0!</v>
      </c>
      <c r="J8" s="202" t="e">
        <f t="shared" ref="J8:J17" si="0">+I8/MAX($I$8:$I$17)</f>
        <v>#DIV/0!</v>
      </c>
      <c r="K8" s="84" t="e">
        <f>1/EXP(J8)</f>
        <v>#DIV/0!</v>
      </c>
      <c r="L8" s="8"/>
      <c r="M8" s="70" t="e">
        <f t="shared" ref="M8:M17" si="1">ROUND($K$20*K8/$K$18,2)</f>
        <v>#DIV/0!</v>
      </c>
      <c r="N8" s="206" t="e">
        <f t="shared" ref="N8:N17" si="2">IF(I8&lt;$I$18,"ja","nee")</f>
        <v>#DIV/0!</v>
      </c>
      <c r="O8" s="70" t="e">
        <f t="shared" ref="O8:O17" si="3">IF(N8="ja",SUMIF($N$8:$N$17,"ja",$M$8:$M$17)/COUNTIF($N$8:$N$17,"ja"),M8)</f>
        <v>#DIV/0!</v>
      </c>
      <c r="P8" s="71"/>
      <c r="Q8" s="72"/>
      <c r="R8" s="73"/>
      <c r="T8" s="72"/>
      <c r="U8" s="72"/>
    </row>
    <row r="9" spans="1:21" x14ac:dyDescent="0.2">
      <c r="B9" s="260" t="str">
        <f>+Data!C10</f>
        <v>Fluvius Antwerpen</v>
      </c>
      <c r="C9" s="86"/>
      <c r="D9" s="86"/>
      <c r="E9" s="86"/>
      <c r="F9" s="86"/>
      <c r="G9" s="86"/>
      <c r="H9" s="86"/>
      <c r="I9" s="87" t="e">
        <f>AVERAGE(C9:H9)</f>
        <v>#DIV/0!</v>
      </c>
      <c r="J9" s="202" t="e">
        <f t="shared" si="0"/>
        <v>#DIV/0!</v>
      </c>
      <c r="K9" s="84" t="e">
        <f t="shared" ref="K9:K17" si="4">1/EXP(J9)</f>
        <v>#DIV/0!</v>
      </c>
      <c r="L9" s="8"/>
      <c r="M9" s="70" t="e">
        <f t="shared" si="1"/>
        <v>#DIV/0!</v>
      </c>
      <c r="N9" s="206" t="e">
        <f t="shared" si="2"/>
        <v>#DIV/0!</v>
      </c>
      <c r="O9" s="70" t="e">
        <f t="shared" si="3"/>
        <v>#DIV/0!</v>
      </c>
      <c r="P9" s="71"/>
      <c r="Q9" s="72"/>
      <c r="R9" s="73"/>
      <c r="T9" s="72"/>
      <c r="U9" s="72"/>
    </row>
    <row r="10" spans="1:21" x14ac:dyDescent="0.2">
      <c r="B10" s="260" t="str">
        <f>+Data!C11</f>
        <v>Fluvius Limburg</v>
      </c>
      <c r="C10" s="86"/>
      <c r="D10" s="86"/>
      <c r="E10" s="86"/>
      <c r="F10" s="86"/>
      <c r="G10" s="86"/>
      <c r="H10" s="86"/>
      <c r="I10" s="87" t="e">
        <f t="shared" ref="I10:I17" si="5">AVERAGE(C10:H10)</f>
        <v>#DIV/0!</v>
      </c>
      <c r="J10" s="202" t="e">
        <f t="shared" si="0"/>
        <v>#DIV/0!</v>
      </c>
      <c r="K10" s="84" t="e">
        <f t="shared" si="4"/>
        <v>#DIV/0!</v>
      </c>
      <c r="L10" s="8"/>
      <c r="M10" s="70" t="e">
        <f t="shared" si="1"/>
        <v>#DIV/0!</v>
      </c>
      <c r="N10" s="206" t="e">
        <f t="shared" si="2"/>
        <v>#DIV/0!</v>
      </c>
      <c r="O10" s="70" t="e">
        <f t="shared" si="3"/>
        <v>#DIV/0!</v>
      </c>
      <c r="P10" s="71"/>
      <c r="Q10" s="72"/>
      <c r="R10" s="73"/>
      <c r="T10" s="72"/>
      <c r="U10" s="72"/>
    </row>
    <row r="11" spans="1:21" x14ac:dyDescent="0.2">
      <c r="B11" s="260" t="str">
        <f>+Data!C12</f>
        <v>Fluvius West</v>
      </c>
      <c r="C11" s="86"/>
      <c r="D11" s="86"/>
      <c r="E11" s="86"/>
      <c r="F11" s="86"/>
      <c r="G11" s="86"/>
      <c r="H11" s="86"/>
      <c r="I11" s="87" t="e">
        <f t="shared" si="5"/>
        <v>#DIV/0!</v>
      </c>
      <c r="J11" s="202" t="e">
        <f t="shared" si="0"/>
        <v>#DIV/0!</v>
      </c>
      <c r="K11" s="84" t="e">
        <f t="shared" si="4"/>
        <v>#DIV/0!</v>
      </c>
      <c r="L11" s="8"/>
      <c r="M11" s="70" t="e">
        <f t="shared" si="1"/>
        <v>#DIV/0!</v>
      </c>
      <c r="N11" s="206" t="e">
        <f t="shared" si="2"/>
        <v>#DIV/0!</v>
      </c>
      <c r="O11" s="70" t="e">
        <f t="shared" si="3"/>
        <v>#DIV/0!</v>
      </c>
      <c r="P11" s="71"/>
      <c r="Q11" s="72"/>
      <c r="R11" s="73"/>
      <c r="T11" s="72"/>
      <c r="U11" s="72"/>
    </row>
    <row r="12" spans="1:21" x14ac:dyDescent="0.2">
      <c r="B12" s="260" t="str">
        <f>+Data!C13</f>
        <v>Imewo</v>
      </c>
      <c r="C12" s="86"/>
      <c r="D12" s="86"/>
      <c r="E12" s="86"/>
      <c r="F12" s="86"/>
      <c r="G12" s="86"/>
      <c r="H12" s="86"/>
      <c r="I12" s="87" t="e">
        <f t="shared" si="5"/>
        <v>#DIV/0!</v>
      </c>
      <c r="J12" s="202" t="e">
        <f t="shared" si="0"/>
        <v>#DIV/0!</v>
      </c>
      <c r="K12" s="84" t="e">
        <f t="shared" si="4"/>
        <v>#DIV/0!</v>
      </c>
      <c r="L12" s="8"/>
      <c r="M12" s="70" t="e">
        <f t="shared" si="1"/>
        <v>#DIV/0!</v>
      </c>
      <c r="N12" s="206" t="e">
        <f t="shared" si="2"/>
        <v>#DIV/0!</v>
      </c>
      <c r="O12" s="70" t="e">
        <f t="shared" si="3"/>
        <v>#DIV/0!</v>
      </c>
      <c r="P12" s="71"/>
      <c r="Q12" s="72"/>
      <c r="R12" s="73"/>
      <c r="T12" s="72"/>
      <c r="U12" s="72"/>
    </row>
    <row r="13" spans="1:21" x14ac:dyDescent="0.2">
      <c r="B13" s="260" t="str">
        <f>+Data!C14</f>
        <v>Intergem</v>
      </c>
      <c r="C13" s="86"/>
      <c r="D13" s="86"/>
      <c r="E13" s="86"/>
      <c r="F13" s="86"/>
      <c r="G13" s="86"/>
      <c r="H13" s="86"/>
      <c r="I13" s="87" t="e">
        <f t="shared" si="5"/>
        <v>#DIV/0!</v>
      </c>
      <c r="J13" s="202" t="e">
        <f t="shared" si="0"/>
        <v>#DIV/0!</v>
      </c>
      <c r="K13" s="84" t="e">
        <f t="shared" si="4"/>
        <v>#DIV/0!</v>
      </c>
      <c r="L13" s="8"/>
      <c r="M13" s="70" t="e">
        <f t="shared" si="1"/>
        <v>#DIV/0!</v>
      </c>
      <c r="N13" s="206" t="e">
        <f t="shared" si="2"/>
        <v>#DIV/0!</v>
      </c>
      <c r="O13" s="70" t="e">
        <f t="shared" si="3"/>
        <v>#DIV/0!</v>
      </c>
      <c r="P13" s="71"/>
      <c r="Q13" s="72"/>
      <c r="R13" s="73"/>
      <c r="T13" s="72"/>
      <c r="U13" s="72"/>
    </row>
    <row r="14" spans="1:21" x14ac:dyDescent="0.2">
      <c r="B14" s="260" t="str">
        <f>+Data!C15</f>
        <v>Iveka</v>
      </c>
      <c r="C14" s="86"/>
      <c r="D14" s="86"/>
      <c r="E14" s="86"/>
      <c r="F14" s="86"/>
      <c r="G14" s="86"/>
      <c r="H14" s="86"/>
      <c r="I14" s="87" t="e">
        <f t="shared" si="5"/>
        <v>#DIV/0!</v>
      </c>
      <c r="J14" s="202" t="e">
        <f t="shared" si="0"/>
        <v>#DIV/0!</v>
      </c>
      <c r="K14" s="84" t="e">
        <f t="shared" si="4"/>
        <v>#DIV/0!</v>
      </c>
      <c r="L14" s="8"/>
      <c r="M14" s="70" t="e">
        <f t="shared" si="1"/>
        <v>#DIV/0!</v>
      </c>
      <c r="N14" s="206" t="e">
        <f t="shared" si="2"/>
        <v>#DIV/0!</v>
      </c>
      <c r="O14" s="70" t="e">
        <f t="shared" si="3"/>
        <v>#DIV/0!</v>
      </c>
      <c r="P14" s="71"/>
      <c r="Q14" s="72"/>
      <c r="R14" s="73"/>
      <c r="T14" s="72"/>
      <c r="U14" s="72"/>
    </row>
    <row r="15" spans="1:21" x14ac:dyDescent="0.2">
      <c r="B15" s="260" t="str">
        <f>+Data!C16</f>
        <v>Iverlek</v>
      </c>
      <c r="C15" s="86"/>
      <c r="D15" s="86"/>
      <c r="E15" s="86"/>
      <c r="F15" s="86"/>
      <c r="G15" s="86"/>
      <c r="H15" s="86"/>
      <c r="I15" s="87" t="e">
        <f t="shared" si="5"/>
        <v>#DIV/0!</v>
      </c>
      <c r="J15" s="202" t="e">
        <f t="shared" si="0"/>
        <v>#DIV/0!</v>
      </c>
      <c r="K15" s="84" t="e">
        <f t="shared" si="4"/>
        <v>#DIV/0!</v>
      </c>
      <c r="L15" s="8"/>
      <c r="M15" s="70" t="e">
        <f t="shared" si="1"/>
        <v>#DIV/0!</v>
      </c>
      <c r="N15" s="206" t="e">
        <f t="shared" si="2"/>
        <v>#DIV/0!</v>
      </c>
      <c r="O15" s="70" t="e">
        <f t="shared" si="3"/>
        <v>#DIV/0!</v>
      </c>
      <c r="P15" s="71"/>
      <c r="Q15" s="72"/>
      <c r="R15" s="73"/>
      <c r="T15" s="72"/>
      <c r="U15" s="72"/>
    </row>
    <row r="16" spans="1:21" x14ac:dyDescent="0.2">
      <c r="B16" s="260" t="str">
        <f>+Data!C17</f>
        <v>PBE</v>
      </c>
      <c r="C16" s="86"/>
      <c r="D16" s="86"/>
      <c r="E16" s="86"/>
      <c r="F16" s="86"/>
      <c r="G16" s="86"/>
      <c r="H16" s="86"/>
      <c r="I16" s="87" t="e">
        <f t="shared" si="5"/>
        <v>#DIV/0!</v>
      </c>
      <c r="J16" s="202" t="e">
        <f t="shared" si="0"/>
        <v>#DIV/0!</v>
      </c>
      <c r="K16" s="84" t="e">
        <f t="shared" si="4"/>
        <v>#DIV/0!</v>
      </c>
      <c r="L16" s="8"/>
      <c r="M16" s="70" t="e">
        <f t="shared" si="1"/>
        <v>#DIV/0!</v>
      </c>
      <c r="N16" s="206" t="e">
        <f t="shared" si="2"/>
        <v>#DIV/0!</v>
      </c>
      <c r="O16" s="70" t="e">
        <f t="shared" si="3"/>
        <v>#DIV/0!</v>
      </c>
      <c r="P16" s="71"/>
      <c r="Q16" s="72"/>
      <c r="R16" s="73"/>
      <c r="T16" s="72"/>
      <c r="U16" s="72"/>
    </row>
    <row r="17" spans="2:21" ht="13.5" thickBot="1" x14ac:dyDescent="0.25">
      <c r="B17" s="261" t="str">
        <f>+Data!C18</f>
        <v>Sibelgas</v>
      </c>
      <c r="C17" s="88"/>
      <c r="D17" s="88"/>
      <c r="E17" s="88"/>
      <c r="F17" s="88"/>
      <c r="G17" s="88"/>
      <c r="H17" s="88"/>
      <c r="I17" s="89" t="e">
        <f t="shared" si="5"/>
        <v>#DIV/0!</v>
      </c>
      <c r="J17" s="203" t="e">
        <f t="shared" si="0"/>
        <v>#DIV/0!</v>
      </c>
      <c r="K17" s="85" t="e">
        <f t="shared" si="4"/>
        <v>#DIV/0!</v>
      </c>
      <c r="L17" s="8"/>
      <c r="M17" s="70" t="e">
        <f t="shared" si="1"/>
        <v>#DIV/0!</v>
      </c>
      <c r="N17" s="206" t="e">
        <f t="shared" si="2"/>
        <v>#DIV/0!</v>
      </c>
      <c r="O17" s="70" t="e">
        <f t="shared" si="3"/>
        <v>#DIV/0!</v>
      </c>
      <c r="P17" s="71"/>
      <c r="Q17" s="72"/>
      <c r="R17" s="73"/>
      <c r="T17" s="72"/>
      <c r="U17" s="72"/>
    </row>
    <row r="18" spans="2:21" ht="13.5" thickBot="1" x14ac:dyDescent="0.25">
      <c r="G18" s="254"/>
      <c r="H18" s="255" t="s">
        <v>117</v>
      </c>
      <c r="I18" s="267" t="e">
        <f>AVERAGE(I8:I17)</f>
        <v>#DIV/0!</v>
      </c>
      <c r="J18" s="257" t="s">
        <v>11</v>
      </c>
      <c r="K18" s="258" t="e">
        <f>SUM(K8:K17)</f>
        <v>#DIV/0!</v>
      </c>
      <c r="L18" s="8"/>
      <c r="M18" s="76" t="e">
        <f>SUM(M8:M17)</f>
        <v>#DIV/0!</v>
      </c>
      <c r="N18" s="76"/>
      <c r="O18" s="76" t="e">
        <f>SUM(O8:O17)</f>
        <v>#DIV/0!</v>
      </c>
      <c r="P18" s="77"/>
    </row>
    <row r="19" spans="2:21" x14ac:dyDescent="0.2">
      <c r="N19" s="48"/>
      <c r="O19" s="48"/>
      <c r="Q19" s="72"/>
    </row>
    <row r="20" spans="2:21" x14ac:dyDescent="0.2">
      <c r="I20" s="42" t="s">
        <v>18</v>
      </c>
      <c r="J20" s="42"/>
      <c r="K20" s="78">
        <f>+'Q%'!N18</f>
        <v>216</v>
      </c>
    </row>
  </sheetData>
  <mergeCells count="1">
    <mergeCell ref="M6:O6"/>
  </mergeCells>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4">
    <tabColor rgb="FF92D050"/>
  </sheetPr>
  <dimension ref="A1:AE41"/>
  <sheetViews>
    <sheetView zoomScale="70" zoomScaleNormal="70" workbookViewId="0">
      <selection activeCell="L30" activeCellId="7" sqref="C11:D20 F11:G20 I11:J20 L11:M20 C30:D38 F30:G38 I30:J38 L30:M38"/>
    </sheetView>
  </sheetViews>
  <sheetFormatPr defaultColWidth="9.140625" defaultRowHeight="12.75" x14ac:dyDescent="0.2"/>
  <cols>
    <col min="1" max="1" width="9.140625" style="4"/>
    <col min="2" max="2" width="28.85546875" style="4" customWidth="1"/>
    <col min="3" max="3" width="20.28515625" style="14" customWidth="1"/>
    <col min="4" max="4" width="23.28515625" style="14" customWidth="1"/>
    <col min="5" max="6" width="20.28515625" style="14" customWidth="1"/>
    <col min="7" max="7" width="22.85546875" style="14" customWidth="1"/>
    <col min="8" max="9" width="20.28515625" style="14" customWidth="1"/>
    <col min="10" max="10" width="22.7109375" style="14" customWidth="1"/>
    <col min="11" max="12" width="20.28515625" style="14" customWidth="1"/>
    <col min="13" max="13" width="22.85546875" style="14" customWidth="1"/>
    <col min="14" max="18" width="20.28515625" style="14" customWidth="1"/>
    <col min="19" max="19" width="23.140625" style="14" customWidth="1"/>
    <col min="20" max="28" width="20.28515625" style="14" customWidth="1"/>
    <col min="29" max="16384" width="9.140625" style="4"/>
  </cols>
  <sheetData>
    <row r="1" spans="1:28" ht="13.5" thickBot="1" x14ac:dyDescent="0.25">
      <c r="A1" s="55" t="s">
        <v>23</v>
      </c>
      <c r="B1" s="56"/>
      <c r="C1" s="91"/>
    </row>
    <row r="3" spans="1:28" ht="12.75" customHeight="1" x14ac:dyDescent="0.2">
      <c r="A3" s="41"/>
      <c r="C3" s="92"/>
      <c r="D3" s="329" t="s">
        <v>72</v>
      </c>
      <c r="E3" s="330"/>
      <c r="F3" s="330"/>
    </row>
    <row r="4" spans="1:28" x14ac:dyDescent="0.2">
      <c r="A4" s="41"/>
      <c r="D4" s="331" t="s">
        <v>96</v>
      </c>
      <c r="E4" s="331"/>
      <c r="F4" s="331"/>
    </row>
    <row r="5" spans="1:28" x14ac:dyDescent="0.2">
      <c r="D5" s="332" t="s">
        <v>97</v>
      </c>
      <c r="E5" s="331"/>
      <c r="F5" s="331"/>
    </row>
    <row r="7" spans="1:28" s="58" customFormat="1" x14ac:dyDescent="0.2">
      <c r="B7" s="59" t="s">
        <v>24</v>
      </c>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28" ht="13.5" thickBot="1" x14ac:dyDescent="0.25"/>
    <row r="9" spans="1:28" ht="13.5" thickBot="1" x14ac:dyDescent="0.25">
      <c r="B9" s="324"/>
      <c r="C9" s="326">
        <f>IF('Q%'!$K$19&lt;2,"n.v.t.",'Q%'!$E$5-'Q%'!$K$19)</f>
        <v>2020</v>
      </c>
      <c r="D9" s="327"/>
      <c r="E9" s="328"/>
      <c r="F9" s="326">
        <f>IF('Q%'!$K$19&lt;2,"n.v.t.",'Q%'!$E$5-'Q%'!$K$19+1)</f>
        <v>2021</v>
      </c>
      <c r="G9" s="327"/>
      <c r="H9" s="328"/>
      <c r="I9" s="326">
        <f>IF('Q%'!$K$19&lt;=2,"n.v.t.",'Q%'!$E$5-'Q%'!$K$19+2)</f>
        <v>2022</v>
      </c>
      <c r="J9" s="327"/>
      <c r="K9" s="328"/>
      <c r="L9" s="326">
        <f>IF('Q%'!$K$19&lt;=3,"n.v.t.",'Q%'!$E$5-'Q%'!$K$19+3)</f>
        <v>2023</v>
      </c>
      <c r="M9" s="327"/>
      <c r="N9" s="328"/>
      <c r="O9" s="326" t="str">
        <f>IF('Q%'!$K$19&lt;=4,"n.v.t.",'Q%'!$E$5-'Q%'!$K$19+4)</f>
        <v>n.v.t.</v>
      </c>
      <c r="P9" s="327"/>
      <c r="Q9" s="328"/>
      <c r="R9" s="326" t="str">
        <f>IF('Q%'!$K$19&lt;=5,"n.v.t.",'Q%'!$E$5-'Q%'!$K$19+5)</f>
        <v>n.v.t.</v>
      </c>
      <c r="S9" s="327"/>
      <c r="T9" s="328"/>
    </row>
    <row r="10" spans="1:28" ht="103.15" customHeight="1" thickBot="1" x14ac:dyDescent="0.25">
      <c r="B10" s="325"/>
      <c r="C10" s="159" t="s">
        <v>122</v>
      </c>
      <c r="D10" s="160" t="s">
        <v>25</v>
      </c>
      <c r="E10" s="161" t="s">
        <v>26</v>
      </c>
      <c r="F10" s="159" t="s">
        <v>122</v>
      </c>
      <c r="G10" s="160" t="s">
        <v>25</v>
      </c>
      <c r="H10" s="161" t="s">
        <v>26</v>
      </c>
      <c r="I10" s="159" t="s">
        <v>122</v>
      </c>
      <c r="J10" s="160" t="s">
        <v>25</v>
      </c>
      <c r="K10" s="161" t="s">
        <v>26</v>
      </c>
      <c r="L10" s="159" t="s">
        <v>122</v>
      </c>
      <c r="M10" s="160" t="s">
        <v>25</v>
      </c>
      <c r="N10" s="161" t="s">
        <v>26</v>
      </c>
      <c r="O10" s="159" t="s">
        <v>122</v>
      </c>
      <c r="P10" s="160" t="s">
        <v>25</v>
      </c>
      <c r="Q10" s="161" t="s">
        <v>26</v>
      </c>
      <c r="R10" s="159" t="s">
        <v>122</v>
      </c>
      <c r="S10" s="160" t="s">
        <v>25</v>
      </c>
      <c r="T10" s="161" t="s">
        <v>26</v>
      </c>
      <c r="V10" s="152" t="s">
        <v>27</v>
      </c>
      <c r="W10" s="48"/>
      <c r="Y10" s="152" t="s">
        <v>27</v>
      </c>
      <c r="Z10" s="152" t="s">
        <v>28</v>
      </c>
      <c r="AA10" s="152" t="s">
        <v>22</v>
      </c>
      <c r="AB10" s="152" t="s">
        <v>16</v>
      </c>
    </row>
    <row r="11" spans="1:28" x14ac:dyDescent="0.2">
      <c r="B11" s="262" t="str">
        <f>+Data!C9</f>
        <v>Gaselwest</v>
      </c>
      <c r="C11" s="154"/>
      <c r="D11" s="155"/>
      <c r="E11" s="156" t="str">
        <f t="shared" ref="E11:E20" si="0">IF(ISBLANK(C11),"",+C11/D11)</f>
        <v/>
      </c>
      <c r="F11" s="154"/>
      <c r="G11" s="155"/>
      <c r="H11" s="156" t="str">
        <f t="shared" ref="H11:H20" si="1">IF(ISBLANK(F11),"",+F11/G11)</f>
        <v/>
      </c>
      <c r="I11" s="154"/>
      <c r="J11" s="155"/>
      <c r="K11" s="156" t="str">
        <f t="shared" ref="K11:K20" si="2">IF(ISBLANK(I11),"",+I11/J11)</f>
        <v/>
      </c>
      <c r="L11" s="154"/>
      <c r="M11" s="155"/>
      <c r="N11" s="156" t="str">
        <f t="shared" ref="N11:N20" si="3">IF(ISBLANK(L11),"",+L11/M11)</f>
        <v/>
      </c>
      <c r="O11" s="158"/>
      <c r="P11" s="155"/>
      <c r="Q11" s="156" t="str">
        <f t="shared" ref="Q11:Q20" si="4">IF(ISBLANK(O11),"",+O11/P11)</f>
        <v/>
      </c>
      <c r="R11" s="158"/>
      <c r="S11" s="155"/>
      <c r="T11" s="156" t="str">
        <f t="shared" ref="T11:T20" si="5">IF(ISBLANK(R11),"",+R11/S11)</f>
        <v/>
      </c>
      <c r="V11" s="153" t="e">
        <f>+AVERAGE(E11,H11,K11,N11,Q11,T11)</f>
        <v>#DIV/0!</v>
      </c>
      <c r="W11" s="114"/>
      <c r="X11" s="117" t="str">
        <f>+B11</f>
        <v>Gaselwest</v>
      </c>
      <c r="Y11" s="153" t="e">
        <f>+V11</f>
        <v>#DIV/0!</v>
      </c>
      <c r="Z11" s="150" t="e">
        <f t="shared" ref="Z11:Z20" si="6">+Y11/$V$21</f>
        <v>#DIV/0!</v>
      </c>
      <c r="AA11" s="150" t="e">
        <f>1-(Z11*0.6)</f>
        <v>#DIV/0!</v>
      </c>
      <c r="AB11" s="151" t="e">
        <f t="shared" ref="AB11:AB20" si="7">ROUND(AA11*$AA$23/$AA$21,2)</f>
        <v>#DIV/0!</v>
      </c>
    </row>
    <row r="12" spans="1:28" x14ac:dyDescent="0.2">
      <c r="B12" s="263" t="str">
        <f>+Data!C10</f>
        <v>Fluvius Antwerpen</v>
      </c>
      <c r="C12" s="94"/>
      <c r="D12" s="155"/>
      <c r="E12" s="96" t="str">
        <f t="shared" si="0"/>
        <v/>
      </c>
      <c r="F12" s="94"/>
      <c r="G12" s="95"/>
      <c r="H12" s="96" t="str">
        <f t="shared" si="1"/>
        <v/>
      </c>
      <c r="I12" s="94"/>
      <c r="J12" s="95"/>
      <c r="K12" s="96" t="str">
        <f t="shared" si="2"/>
        <v/>
      </c>
      <c r="L12" s="94"/>
      <c r="M12" s="95"/>
      <c r="N12" s="96" t="str">
        <f t="shared" si="3"/>
        <v/>
      </c>
      <c r="O12" s="98"/>
      <c r="P12" s="95"/>
      <c r="Q12" s="96" t="str">
        <f t="shared" si="4"/>
        <v/>
      </c>
      <c r="R12" s="98"/>
      <c r="S12" s="95"/>
      <c r="T12" s="96" t="str">
        <f t="shared" si="5"/>
        <v/>
      </c>
      <c r="V12" s="101" t="e">
        <f t="shared" ref="V12:V20" si="8">+AVERAGE(E12,H12,K12,N12,Q12,T12)</f>
        <v>#DIV/0!</v>
      </c>
      <c r="W12" s="115"/>
      <c r="X12" s="118" t="str">
        <f t="shared" ref="X12:X20" si="9">+B12</f>
        <v>Fluvius Antwerpen</v>
      </c>
      <c r="Y12" s="101" t="e">
        <f t="shared" ref="Y12:Y20" si="10">+V12</f>
        <v>#DIV/0!</v>
      </c>
      <c r="Z12" s="99" t="e">
        <f t="shared" si="6"/>
        <v>#DIV/0!</v>
      </c>
      <c r="AA12" s="99" t="e">
        <f t="shared" ref="AA12:AA20" si="11">1-(Z12*0.6)</f>
        <v>#DIV/0!</v>
      </c>
      <c r="AB12" s="100" t="e">
        <f t="shared" si="7"/>
        <v>#DIV/0!</v>
      </c>
    </row>
    <row r="13" spans="1:28" x14ac:dyDescent="0.2">
      <c r="B13" s="263" t="str">
        <f>+Data!C11</f>
        <v>Fluvius Limburg</v>
      </c>
      <c r="C13" s="94"/>
      <c r="D13" s="155"/>
      <c r="E13" s="96" t="str">
        <f t="shared" si="0"/>
        <v/>
      </c>
      <c r="F13" s="94"/>
      <c r="G13" s="95"/>
      <c r="H13" s="96" t="str">
        <f t="shared" si="1"/>
        <v/>
      </c>
      <c r="I13" s="94"/>
      <c r="J13" s="95"/>
      <c r="K13" s="96" t="str">
        <f t="shared" si="2"/>
        <v/>
      </c>
      <c r="L13" s="94"/>
      <c r="M13" s="95"/>
      <c r="N13" s="96" t="str">
        <f t="shared" si="3"/>
        <v/>
      </c>
      <c r="O13" s="98"/>
      <c r="P13" s="95"/>
      <c r="Q13" s="96" t="str">
        <f t="shared" si="4"/>
        <v/>
      </c>
      <c r="R13" s="98"/>
      <c r="S13" s="95"/>
      <c r="T13" s="96" t="str">
        <f t="shared" si="5"/>
        <v/>
      </c>
      <c r="V13" s="101" t="e">
        <f t="shared" si="8"/>
        <v>#DIV/0!</v>
      </c>
      <c r="W13" s="115"/>
      <c r="X13" s="118" t="str">
        <f t="shared" si="9"/>
        <v>Fluvius Limburg</v>
      </c>
      <c r="Y13" s="101" t="e">
        <f t="shared" si="10"/>
        <v>#DIV/0!</v>
      </c>
      <c r="Z13" s="99" t="e">
        <f t="shared" si="6"/>
        <v>#DIV/0!</v>
      </c>
      <c r="AA13" s="99" t="e">
        <f t="shared" si="11"/>
        <v>#DIV/0!</v>
      </c>
      <c r="AB13" s="100" t="e">
        <f t="shared" si="7"/>
        <v>#DIV/0!</v>
      </c>
    </row>
    <row r="14" spans="1:28" x14ac:dyDescent="0.2">
      <c r="B14" s="263" t="str">
        <f>+Data!C12</f>
        <v>Fluvius West</v>
      </c>
      <c r="C14" s="94"/>
      <c r="D14" s="155"/>
      <c r="E14" s="96" t="str">
        <f t="shared" si="0"/>
        <v/>
      </c>
      <c r="F14" s="94"/>
      <c r="G14" s="95"/>
      <c r="H14" s="96" t="str">
        <f t="shared" si="1"/>
        <v/>
      </c>
      <c r="I14" s="94"/>
      <c r="J14" s="95"/>
      <c r="K14" s="96" t="str">
        <f t="shared" si="2"/>
        <v/>
      </c>
      <c r="L14" s="94"/>
      <c r="M14" s="95"/>
      <c r="N14" s="96" t="str">
        <f t="shared" si="3"/>
        <v/>
      </c>
      <c r="O14" s="98"/>
      <c r="P14" s="95"/>
      <c r="Q14" s="96" t="str">
        <f t="shared" si="4"/>
        <v/>
      </c>
      <c r="R14" s="98"/>
      <c r="S14" s="95"/>
      <c r="T14" s="96" t="str">
        <f t="shared" si="5"/>
        <v/>
      </c>
      <c r="V14" s="101" t="e">
        <f t="shared" si="8"/>
        <v>#DIV/0!</v>
      </c>
      <c r="W14" s="115"/>
      <c r="X14" s="118" t="str">
        <f t="shared" si="9"/>
        <v>Fluvius West</v>
      </c>
      <c r="Y14" s="101" t="e">
        <f t="shared" si="10"/>
        <v>#DIV/0!</v>
      </c>
      <c r="Z14" s="99" t="e">
        <f t="shared" si="6"/>
        <v>#DIV/0!</v>
      </c>
      <c r="AA14" s="99" t="e">
        <f t="shared" si="11"/>
        <v>#DIV/0!</v>
      </c>
      <c r="AB14" s="100" t="e">
        <f t="shared" si="7"/>
        <v>#DIV/0!</v>
      </c>
    </row>
    <row r="15" spans="1:28" x14ac:dyDescent="0.2">
      <c r="B15" s="263" t="str">
        <f>+Data!C13</f>
        <v>Imewo</v>
      </c>
      <c r="C15" s="94"/>
      <c r="D15" s="155"/>
      <c r="E15" s="96" t="str">
        <f t="shared" si="0"/>
        <v/>
      </c>
      <c r="F15" s="94"/>
      <c r="G15" s="95"/>
      <c r="H15" s="96" t="str">
        <f t="shared" si="1"/>
        <v/>
      </c>
      <c r="I15" s="94"/>
      <c r="J15" s="95"/>
      <c r="K15" s="96" t="str">
        <f t="shared" si="2"/>
        <v/>
      </c>
      <c r="L15" s="94"/>
      <c r="M15" s="95"/>
      <c r="N15" s="96" t="str">
        <f t="shared" si="3"/>
        <v/>
      </c>
      <c r="O15" s="98"/>
      <c r="P15" s="95"/>
      <c r="Q15" s="96" t="str">
        <f t="shared" si="4"/>
        <v/>
      </c>
      <c r="R15" s="98"/>
      <c r="S15" s="95"/>
      <c r="T15" s="96" t="str">
        <f t="shared" si="5"/>
        <v/>
      </c>
      <c r="V15" s="101" t="e">
        <f t="shared" si="8"/>
        <v>#DIV/0!</v>
      </c>
      <c r="W15" s="115"/>
      <c r="X15" s="118" t="str">
        <f t="shared" si="9"/>
        <v>Imewo</v>
      </c>
      <c r="Y15" s="101" t="e">
        <f t="shared" si="10"/>
        <v>#DIV/0!</v>
      </c>
      <c r="Z15" s="99" t="e">
        <f t="shared" si="6"/>
        <v>#DIV/0!</v>
      </c>
      <c r="AA15" s="99" t="e">
        <f t="shared" si="11"/>
        <v>#DIV/0!</v>
      </c>
      <c r="AB15" s="100" t="e">
        <f t="shared" si="7"/>
        <v>#DIV/0!</v>
      </c>
    </row>
    <row r="16" spans="1:28" x14ac:dyDescent="0.2">
      <c r="B16" s="263" t="str">
        <f>+Data!C14</f>
        <v>Intergem</v>
      </c>
      <c r="C16" s="94"/>
      <c r="D16" s="155"/>
      <c r="E16" s="96" t="str">
        <f t="shared" si="0"/>
        <v/>
      </c>
      <c r="F16" s="94"/>
      <c r="G16" s="95"/>
      <c r="H16" s="96" t="str">
        <f t="shared" si="1"/>
        <v/>
      </c>
      <c r="I16" s="94"/>
      <c r="J16" s="95"/>
      <c r="K16" s="96" t="str">
        <f t="shared" si="2"/>
        <v/>
      </c>
      <c r="L16" s="94"/>
      <c r="M16" s="95"/>
      <c r="N16" s="96" t="str">
        <f t="shared" si="3"/>
        <v/>
      </c>
      <c r="O16" s="98"/>
      <c r="P16" s="95"/>
      <c r="Q16" s="96" t="str">
        <f t="shared" si="4"/>
        <v/>
      </c>
      <c r="R16" s="98"/>
      <c r="S16" s="95"/>
      <c r="T16" s="96" t="str">
        <f t="shared" si="5"/>
        <v/>
      </c>
      <c r="V16" s="101" t="e">
        <f t="shared" si="8"/>
        <v>#DIV/0!</v>
      </c>
      <c r="W16" s="115"/>
      <c r="X16" s="118" t="str">
        <f t="shared" si="9"/>
        <v>Intergem</v>
      </c>
      <c r="Y16" s="101" t="e">
        <f t="shared" si="10"/>
        <v>#DIV/0!</v>
      </c>
      <c r="Z16" s="99" t="e">
        <f t="shared" si="6"/>
        <v>#DIV/0!</v>
      </c>
      <c r="AA16" s="99" t="e">
        <f t="shared" si="11"/>
        <v>#DIV/0!</v>
      </c>
      <c r="AB16" s="100" t="e">
        <f t="shared" si="7"/>
        <v>#DIV/0!</v>
      </c>
    </row>
    <row r="17" spans="2:31" x14ac:dyDescent="0.2">
      <c r="B17" s="263" t="str">
        <f>+Data!C15</f>
        <v>Iveka</v>
      </c>
      <c r="C17" s="94"/>
      <c r="D17" s="155"/>
      <c r="E17" s="96" t="str">
        <f t="shared" si="0"/>
        <v/>
      </c>
      <c r="F17" s="94"/>
      <c r="G17" s="95"/>
      <c r="H17" s="96" t="str">
        <f t="shared" si="1"/>
        <v/>
      </c>
      <c r="I17" s="94"/>
      <c r="J17" s="95"/>
      <c r="K17" s="96" t="str">
        <f t="shared" si="2"/>
        <v/>
      </c>
      <c r="L17" s="94"/>
      <c r="M17" s="95"/>
      <c r="N17" s="96" t="str">
        <f t="shared" si="3"/>
        <v/>
      </c>
      <c r="O17" s="98"/>
      <c r="P17" s="95"/>
      <c r="Q17" s="96" t="str">
        <f t="shared" si="4"/>
        <v/>
      </c>
      <c r="R17" s="98"/>
      <c r="S17" s="95"/>
      <c r="T17" s="96" t="str">
        <f t="shared" si="5"/>
        <v/>
      </c>
      <c r="V17" s="101" t="e">
        <f t="shared" si="8"/>
        <v>#DIV/0!</v>
      </c>
      <c r="W17" s="115"/>
      <c r="X17" s="118" t="str">
        <f t="shared" si="9"/>
        <v>Iveka</v>
      </c>
      <c r="Y17" s="101" t="e">
        <f t="shared" si="10"/>
        <v>#DIV/0!</v>
      </c>
      <c r="Z17" s="99" t="e">
        <f t="shared" si="6"/>
        <v>#DIV/0!</v>
      </c>
      <c r="AA17" s="99" t="e">
        <f t="shared" si="11"/>
        <v>#DIV/0!</v>
      </c>
      <c r="AB17" s="100" t="e">
        <f t="shared" si="7"/>
        <v>#DIV/0!</v>
      </c>
    </row>
    <row r="18" spans="2:31" x14ac:dyDescent="0.2">
      <c r="B18" s="263" t="str">
        <f>+Data!C16</f>
        <v>Iverlek</v>
      </c>
      <c r="C18" s="94"/>
      <c r="D18" s="155"/>
      <c r="E18" s="96" t="str">
        <f t="shared" si="0"/>
        <v/>
      </c>
      <c r="F18" s="94"/>
      <c r="G18" s="95"/>
      <c r="H18" s="96" t="str">
        <f t="shared" si="1"/>
        <v/>
      </c>
      <c r="I18" s="94"/>
      <c r="J18" s="95"/>
      <c r="K18" s="96" t="str">
        <f t="shared" si="2"/>
        <v/>
      </c>
      <c r="L18" s="94"/>
      <c r="M18" s="95"/>
      <c r="N18" s="96" t="str">
        <f t="shared" si="3"/>
        <v/>
      </c>
      <c r="O18" s="98"/>
      <c r="P18" s="95"/>
      <c r="Q18" s="96" t="str">
        <f t="shared" si="4"/>
        <v/>
      </c>
      <c r="R18" s="98"/>
      <c r="S18" s="95"/>
      <c r="T18" s="96" t="str">
        <f t="shared" si="5"/>
        <v/>
      </c>
      <c r="V18" s="101" t="e">
        <f t="shared" si="8"/>
        <v>#DIV/0!</v>
      </c>
      <c r="W18" s="115"/>
      <c r="X18" s="118" t="str">
        <f t="shared" si="9"/>
        <v>Iverlek</v>
      </c>
      <c r="Y18" s="101" t="e">
        <f t="shared" si="10"/>
        <v>#DIV/0!</v>
      </c>
      <c r="Z18" s="99" t="e">
        <f t="shared" si="6"/>
        <v>#DIV/0!</v>
      </c>
      <c r="AA18" s="99" t="e">
        <f t="shared" si="11"/>
        <v>#DIV/0!</v>
      </c>
      <c r="AB18" s="100" t="e">
        <f t="shared" si="7"/>
        <v>#DIV/0!</v>
      </c>
    </row>
    <row r="19" spans="2:31" x14ac:dyDescent="0.2">
      <c r="B19" s="263" t="str">
        <f>+Data!C17</f>
        <v>PBE</v>
      </c>
      <c r="C19" s="94"/>
      <c r="D19" s="155"/>
      <c r="E19" s="96" t="str">
        <f t="shared" si="0"/>
        <v/>
      </c>
      <c r="F19" s="94"/>
      <c r="G19" s="95"/>
      <c r="H19" s="96" t="str">
        <f t="shared" si="1"/>
        <v/>
      </c>
      <c r="I19" s="94"/>
      <c r="J19" s="95"/>
      <c r="K19" s="96" t="str">
        <f t="shared" si="2"/>
        <v/>
      </c>
      <c r="L19" s="94"/>
      <c r="M19" s="95"/>
      <c r="N19" s="96" t="str">
        <f t="shared" si="3"/>
        <v/>
      </c>
      <c r="O19" s="98"/>
      <c r="P19" s="95"/>
      <c r="Q19" s="96" t="str">
        <f t="shared" si="4"/>
        <v/>
      </c>
      <c r="R19" s="98"/>
      <c r="S19" s="95"/>
      <c r="T19" s="96" t="str">
        <f t="shared" si="5"/>
        <v/>
      </c>
      <c r="V19" s="101" t="e">
        <f t="shared" si="8"/>
        <v>#DIV/0!</v>
      </c>
      <c r="W19" s="115"/>
      <c r="X19" s="118" t="str">
        <f t="shared" si="9"/>
        <v>PBE</v>
      </c>
      <c r="Y19" s="101" t="e">
        <f t="shared" si="10"/>
        <v>#DIV/0!</v>
      </c>
      <c r="Z19" s="99" t="e">
        <f t="shared" si="6"/>
        <v>#DIV/0!</v>
      </c>
      <c r="AA19" s="99" t="e">
        <f t="shared" si="11"/>
        <v>#DIV/0!</v>
      </c>
      <c r="AB19" s="100" t="e">
        <f t="shared" si="7"/>
        <v>#DIV/0!</v>
      </c>
    </row>
    <row r="20" spans="2:31" ht="13.5" thickBot="1" x14ac:dyDescent="0.25">
      <c r="B20" s="264" t="str">
        <f>+Data!C18</f>
        <v>Sibelgas</v>
      </c>
      <c r="C20" s="102"/>
      <c r="D20" s="269"/>
      <c r="E20" s="104" t="str">
        <f t="shared" si="0"/>
        <v/>
      </c>
      <c r="F20" s="102"/>
      <c r="G20" s="103"/>
      <c r="H20" s="104" t="str">
        <f t="shared" si="1"/>
        <v/>
      </c>
      <c r="I20" s="102"/>
      <c r="J20" s="103"/>
      <c r="K20" s="104" t="str">
        <f t="shared" si="2"/>
        <v/>
      </c>
      <c r="L20" s="102"/>
      <c r="M20" s="103"/>
      <c r="N20" s="104" t="str">
        <f t="shared" si="3"/>
        <v/>
      </c>
      <c r="O20" s="106"/>
      <c r="P20" s="103"/>
      <c r="Q20" s="104" t="str">
        <f t="shared" si="4"/>
        <v/>
      </c>
      <c r="R20" s="106"/>
      <c r="S20" s="103"/>
      <c r="T20" s="104" t="str">
        <f t="shared" si="5"/>
        <v/>
      </c>
      <c r="V20" s="101" t="e">
        <f t="shared" si="8"/>
        <v>#DIV/0!</v>
      </c>
      <c r="W20" s="115"/>
      <c r="X20" s="118" t="str">
        <f t="shared" si="9"/>
        <v>Sibelgas</v>
      </c>
      <c r="Y20" s="101" t="e">
        <f t="shared" si="10"/>
        <v>#DIV/0!</v>
      </c>
      <c r="Z20" s="99" t="e">
        <f t="shared" si="6"/>
        <v>#DIV/0!</v>
      </c>
      <c r="AA20" s="99" t="e">
        <f t="shared" si="11"/>
        <v>#DIV/0!</v>
      </c>
      <c r="AB20" s="100" t="e">
        <f t="shared" si="7"/>
        <v>#DIV/0!</v>
      </c>
    </row>
    <row r="21" spans="2:31" ht="13.5" thickBot="1" x14ac:dyDescent="0.25">
      <c r="U21" s="107" t="s">
        <v>29</v>
      </c>
      <c r="V21" s="108" t="e">
        <f>MAX(V11:V20)</f>
        <v>#DIV/0!</v>
      </c>
      <c r="W21" s="116"/>
      <c r="X21" s="109"/>
      <c r="Y21" s="109"/>
      <c r="Z21" s="107" t="s">
        <v>11</v>
      </c>
      <c r="AA21" s="110" t="e">
        <f>SUM(AA11:AA20)</f>
        <v>#DIV/0!</v>
      </c>
      <c r="AB21" s="111" t="e">
        <f>SUM(AB11:AB20)</f>
        <v>#DIV/0!</v>
      </c>
      <c r="AC21" s="41"/>
      <c r="AD21" s="41"/>
      <c r="AE21" s="41"/>
    </row>
    <row r="22" spans="2:31" ht="13.5" thickBot="1" x14ac:dyDescent="0.25"/>
    <row r="23" spans="2:31" ht="15" customHeight="1" thickBot="1" x14ac:dyDescent="0.25">
      <c r="X23" s="301" t="s">
        <v>30</v>
      </c>
      <c r="Y23" s="302"/>
      <c r="Z23" s="302"/>
      <c r="AA23" s="112">
        <f>+'Q%'!N19</f>
        <v>80</v>
      </c>
    </row>
    <row r="26" spans="2:31" s="58" customFormat="1" x14ac:dyDescent="0.2">
      <c r="B26" s="59" t="s">
        <v>31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31" ht="13.5" thickBot="1" x14ac:dyDescent="0.25"/>
    <row r="28" spans="2:31" ht="13.5" thickBot="1" x14ac:dyDescent="0.25">
      <c r="B28" s="324"/>
      <c r="C28" s="326">
        <f>IF('Q%'!$K$19&lt;2,"n.v.t.",'Q%'!$E$5-'Q%'!$K$19)</f>
        <v>2020</v>
      </c>
      <c r="D28" s="327"/>
      <c r="E28" s="328"/>
      <c r="F28" s="326">
        <f>IF('Q%'!$K$19&lt;2,"n.v.t.",'Q%'!$E$5-'Q%'!$K$19+1)</f>
        <v>2021</v>
      </c>
      <c r="G28" s="327"/>
      <c r="H28" s="328"/>
      <c r="I28" s="326">
        <f>IF('Q%'!$K$19&lt;=2,"n.v.t.",'Q%'!$E$5-'Q%'!$K$19+2)</f>
        <v>2022</v>
      </c>
      <c r="J28" s="327"/>
      <c r="K28" s="328"/>
      <c r="L28" s="326">
        <f>IF('Q%'!$K$19&lt;=3,"n.v.t.",'Q%'!$E$5-'Q%'!$K$19+3)</f>
        <v>2023</v>
      </c>
      <c r="M28" s="327"/>
      <c r="N28" s="328"/>
      <c r="O28" s="326" t="str">
        <f>IF('Q%'!$K$19&lt;=4,"n.v.t.",'Q%'!$E$5-'Q%'!$K$19+4)</f>
        <v>n.v.t.</v>
      </c>
      <c r="P28" s="327"/>
      <c r="Q28" s="328"/>
      <c r="R28" s="326" t="str">
        <f>IF('Q%'!$K$19&lt;=5,"n.v.t.",'Q%'!$E$5-'Q%'!$K$19+5)</f>
        <v>n.v.t.</v>
      </c>
      <c r="S28" s="327"/>
      <c r="T28" s="328"/>
    </row>
    <row r="29" spans="2:31" ht="82.15" customHeight="1" thickBot="1" x14ac:dyDescent="0.25">
      <c r="B29" s="325"/>
      <c r="C29" s="159" t="s">
        <v>122</v>
      </c>
      <c r="D29" s="160" t="s">
        <v>25</v>
      </c>
      <c r="E29" s="161" t="s">
        <v>26</v>
      </c>
      <c r="F29" s="159" t="s">
        <v>122</v>
      </c>
      <c r="G29" s="160" t="s">
        <v>25</v>
      </c>
      <c r="H29" s="161" t="s">
        <v>26</v>
      </c>
      <c r="I29" s="159" t="s">
        <v>122</v>
      </c>
      <c r="J29" s="160" t="s">
        <v>25</v>
      </c>
      <c r="K29" s="161" t="s">
        <v>26</v>
      </c>
      <c r="L29" s="159" t="s">
        <v>122</v>
      </c>
      <c r="M29" s="160" t="s">
        <v>25</v>
      </c>
      <c r="N29" s="161" t="s">
        <v>26</v>
      </c>
      <c r="O29" s="159" t="s">
        <v>122</v>
      </c>
      <c r="P29" s="160" t="s">
        <v>25</v>
      </c>
      <c r="Q29" s="161" t="s">
        <v>26</v>
      </c>
      <c r="R29" s="159" t="s">
        <v>122</v>
      </c>
      <c r="S29" s="160" t="s">
        <v>25</v>
      </c>
      <c r="T29" s="161" t="s">
        <v>26</v>
      </c>
      <c r="V29" s="152" t="s">
        <v>27</v>
      </c>
      <c r="W29" s="48"/>
      <c r="Y29" s="152" t="s">
        <v>27</v>
      </c>
      <c r="Z29" s="152" t="s">
        <v>28</v>
      </c>
      <c r="AA29" s="152" t="s">
        <v>22</v>
      </c>
      <c r="AB29" s="152" t="s">
        <v>16</v>
      </c>
    </row>
    <row r="30" spans="2:31" x14ac:dyDescent="0.2">
      <c r="B30" s="262" t="str">
        <f>+Data!C23</f>
        <v>Gaselwest</v>
      </c>
      <c r="C30" s="154"/>
      <c r="D30" s="155"/>
      <c r="E30" s="156" t="str">
        <f t="shared" ref="E30:E38" si="12">IF(ISBLANK(C30),"",+C30/D30)</f>
        <v/>
      </c>
      <c r="F30" s="154"/>
      <c r="G30" s="155"/>
      <c r="H30" s="156" t="str">
        <f t="shared" ref="H30:H38" si="13">IF(ISBLANK(F30),"",+F30/G30)</f>
        <v/>
      </c>
      <c r="I30" s="154"/>
      <c r="J30" s="155"/>
      <c r="K30" s="156" t="str">
        <f t="shared" ref="K30:K38" si="14">IF(ISBLANK(I30),"",+I30/J30)</f>
        <v/>
      </c>
      <c r="L30" s="154"/>
      <c r="M30" s="155"/>
      <c r="N30" s="156" t="str">
        <f t="shared" ref="N30:N38" si="15">IF(ISBLANK(L30),"",+L30/M30)</f>
        <v/>
      </c>
      <c r="O30" s="209"/>
      <c r="P30" s="210"/>
      <c r="Q30" s="211" t="str">
        <f t="shared" ref="Q30:Q38" si="16">IF(ISBLANK(O30),"",+O30/P30)</f>
        <v/>
      </c>
      <c r="R30" s="158"/>
      <c r="S30" s="155"/>
      <c r="T30" s="156" t="str">
        <f t="shared" ref="T30:T38" si="17">IF(ISBLANK(R30),"",+R30/S30)</f>
        <v/>
      </c>
      <c r="V30" s="153" t="e">
        <f t="shared" ref="V30:V38" si="18">+AVERAGE(E30,H30,K30,N30,Q30,T30)</f>
        <v>#DIV/0!</v>
      </c>
      <c r="W30" s="114"/>
      <c r="X30" s="117" t="str">
        <f t="shared" ref="X30:X38" si="19">+B30</f>
        <v>Gaselwest</v>
      </c>
      <c r="Y30" s="153" t="e">
        <f>+V30</f>
        <v>#DIV/0!</v>
      </c>
      <c r="Z30" s="162" t="e">
        <f t="shared" ref="Z30:Z38" si="20">+Y30/$V$39</f>
        <v>#DIV/0!</v>
      </c>
      <c r="AA30" s="150" t="e">
        <f>1-(Z30*0.6)</f>
        <v>#DIV/0!</v>
      </c>
      <c r="AB30" s="151" t="e">
        <f t="shared" ref="AB30:AB38" si="21">ROUND(AA30*$AA$41/$AA$39,2)</f>
        <v>#DIV/0!</v>
      </c>
    </row>
    <row r="31" spans="2:31" x14ac:dyDescent="0.2">
      <c r="B31" s="263" t="str">
        <f>+Data!C24</f>
        <v>Fluvius Antwerpen</v>
      </c>
      <c r="C31" s="94"/>
      <c r="D31" s="95"/>
      <c r="E31" s="96" t="str">
        <f t="shared" si="12"/>
        <v/>
      </c>
      <c r="F31" s="94"/>
      <c r="G31" s="95"/>
      <c r="H31" s="96" t="str">
        <f t="shared" si="13"/>
        <v/>
      </c>
      <c r="I31" s="94"/>
      <c r="J31" s="95"/>
      <c r="K31" s="96" t="str">
        <f t="shared" si="14"/>
        <v/>
      </c>
      <c r="L31" s="94"/>
      <c r="M31" s="95"/>
      <c r="N31" s="96" t="str">
        <f t="shared" si="15"/>
        <v/>
      </c>
      <c r="O31" s="94"/>
      <c r="P31" s="95"/>
      <c r="Q31" s="96" t="str">
        <f t="shared" si="16"/>
        <v/>
      </c>
      <c r="R31" s="98"/>
      <c r="S31" s="95"/>
      <c r="T31" s="96" t="str">
        <f t="shared" si="17"/>
        <v/>
      </c>
      <c r="V31" s="101" t="e">
        <f t="shared" si="18"/>
        <v>#DIV/0!</v>
      </c>
      <c r="W31" s="115"/>
      <c r="X31" s="118" t="str">
        <f t="shared" si="19"/>
        <v>Fluvius Antwerpen</v>
      </c>
      <c r="Y31" s="101" t="e">
        <f t="shared" ref="Y31:Y38" si="22">+V31</f>
        <v>#DIV/0!</v>
      </c>
      <c r="Z31" s="113" t="e">
        <f t="shared" si="20"/>
        <v>#DIV/0!</v>
      </c>
      <c r="AA31" s="99" t="e">
        <f t="shared" ref="AA31:AA38" si="23">1-(Z31*0.6)</f>
        <v>#DIV/0!</v>
      </c>
      <c r="AB31" s="100" t="e">
        <f t="shared" si="21"/>
        <v>#DIV/0!</v>
      </c>
    </row>
    <row r="32" spans="2:31" x14ac:dyDescent="0.2">
      <c r="B32" s="263" t="str">
        <f>+Data!C25</f>
        <v>Fluvius Limburg</v>
      </c>
      <c r="C32" s="94"/>
      <c r="D32" s="95"/>
      <c r="E32" s="96" t="str">
        <f t="shared" si="12"/>
        <v/>
      </c>
      <c r="F32" s="94"/>
      <c r="G32" s="95"/>
      <c r="H32" s="96" t="str">
        <f t="shared" si="13"/>
        <v/>
      </c>
      <c r="I32" s="94"/>
      <c r="J32" s="95"/>
      <c r="K32" s="96" t="str">
        <f t="shared" si="14"/>
        <v/>
      </c>
      <c r="L32" s="94"/>
      <c r="M32" s="95"/>
      <c r="N32" s="96" t="str">
        <f t="shared" si="15"/>
        <v/>
      </c>
      <c r="O32" s="94"/>
      <c r="P32" s="95"/>
      <c r="Q32" s="96" t="str">
        <f t="shared" si="16"/>
        <v/>
      </c>
      <c r="R32" s="98"/>
      <c r="S32" s="95"/>
      <c r="T32" s="96" t="str">
        <f t="shared" si="17"/>
        <v/>
      </c>
      <c r="V32" s="101" t="e">
        <f t="shared" si="18"/>
        <v>#DIV/0!</v>
      </c>
      <c r="W32" s="115"/>
      <c r="X32" s="118" t="str">
        <f t="shared" si="19"/>
        <v>Fluvius Limburg</v>
      </c>
      <c r="Y32" s="101" t="e">
        <f t="shared" si="22"/>
        <v>#DIV/0!</v>
      </c>
      <c r="Z32" s="113" t="e">
        <f t="shared" si="20"/>
        <v>#DIV/0!</v>
      </c>
      <c r="AA32" s="99" t="e">
        <f t="shared" si="23"/>
        <v>#DIV/0!</v>
      </c>
      <c r="AB32" s="100" t="e">
        <f t="shared" si="21"/>
        <v>#DIV/0!</v>
      </c>
    </row>
    <row r="33" spans="2:31" x14ac:dyDescent="0.2">
      <c r="B33" s="263" t="str">
        <f>+Data!C26</f>
        <v>Fluvius West</v>
      </c>
      <c r="C33" s="94"/>
      <c r="D33" s="95"/>
      <c r="E33" s="96" t="str">
        <f t="shared" si="12"/>
        <v/>
      </c>
      <c r="F33" s="94"/>
      <c r="G33" s="95"/>
      <c r="H33" s="96" t="str">
        <f t="shared" si="13"/>
        <v/>
      </c>
      <c r="I33" s="94"/>
      <c r="J33" s="95"/>
      <c r="K33" s="96" t="str">
        <f t="shared" si="14"/>
        <v/>
      </c>
      <c r="L33" s="94"/>
      <c r="M33" s="95"/>
      <c r="N33" s="96" t="str">
        <f t="shared" si="15"/>
        <v/>
      </c>
      <c r="O33" s="94"/>
      <c r="P33" s="95"/>
      <c r="Q33" s="96" t="str">
        <f t="shared" si="16"/>
        <v/>
      </c>
      <c r="R33" s="98"/>
      <c r="S33" s="95"/>
      <c r="T33" s="96" t="str">
        <f t="shared" si="17"/>
        <v/>
      </c>
      <c r="V33" s="101" t="e">
        <f t="shared" si="18"/>
        <v>#DIV/0!</v>
      </c>
      <c r="W33" s="115"/>
      <c r="X33" s="118" t="str">
        <f t="shared" si="19"/>
        <v>Fluvius West</v>
      </c>
      <c r="Y33" s="101" t="e">
        <f t="shared" si="22"/>
        <v>#DIV/0!</v>
      </c>
      <c r="Z33" s="113" t="e">
        <f t="shared" si="20"/>
        <v>#DIV/0!</v>
      </c>
      <c r="AA33" s="99" t="e">
        <f t="shared" si="23"/>
        <v>#DIV/0!</v>
      </c>
      <c r="AB33" s="100" t="e">
        <f t="shared" si="21"/>
        <v>#DIV/0!</v>
      </c>
    </row>
    <row r="34" spans="2:31" x14ac:dyDescent="0.2">
      <c r="B34" s="263" t="str">
        <f>+Data!C27</f>
        <v>Imewo</v>
      </c>
      <c r="C34" s="94"/>
      <c r="D34" s="95"/>
      <c r="E34" s="96" t="str">
        <f t="shared" si="12"/>
        <v/>
      </c>
      <c r="F34" s="94"/>
      <c r="G34" s="95"/>
      <c r="H34" s="96" t="str">
        <f t="shared" si="13"/>
        <v/>
      </c>
      <c r="I34" s="94"/>
      <c r="J34" s="95"/>
      <c r="K34" s="96" t="str">
        <f t="shared" si="14"/>
        <v/>
      </c>
      <c r="L34" s="94"/>
      <c r="M34" s="95"/>
      <c r="N34" s="96" t="str">
        <f t="shared" si="15"/>
        <v/>
      </c>
      <c r="O34" s="94"/>
      <c r="P34" s="95"/>
      <c r="Q34" s="96" t="str">
        <f t="shared" si="16"/>
        <v/>
      </c>
      <c r="R34" s="98"/>
      <c r="S34" s="95"/>
      <c r="T34" s="96" t="str">
        <f t="shared" si="17"/>
        <v/>
      </c>
      <c r="V34" s="101" t="e">
        <f t="shared" si="18"/>
        <v>#DIV/0!</v>
      </c>
      <c r="W34" s="115"/>
      <c r="X34" s="118" t="str">
        <f t="shared" si="19"/>
        <v>Imewo</v>
      </c>
      <c r="Y34" s="101" t="e">
        <f t="shared" si="22"/>
        <v>#DIV/0!</v>
      </c>
      <c r="Z34" s="113" t="e">
        <f t="shared" si="20"/>
        <v>#DIV/0!</v>
      </c>
      <c r="AA34" s="99" t="e">
        <f t="shared" si="23"/>
        <v>#DIV/0!</v>
      </c>
      <c r="AB34" s="100" t="e">
        <f t="shared" si="21"/>
        <v>#DIV/0!</v>
      </c>
    </row>
    <row r="35" spans="2:31" x14ac:dyDescent="0.2">
      <c r="B35" s="263" t="str">
        <f>+Data!C28</f>
        <v>Intergem</v>
      </c>
      <c r="C35" s="94"/>
      <c r="D35" s="95"/>
      <c r="E35" s="96" t="str">
        <f t="shared" si="12"/>
        <v/>
      </c>
      <c r="F35" s="94"/>
      <c r="G35" s="95"/>
      <c r="H35" s="96" t="str">
        <f t="shared" si="13"/>
        <v/>
      </c>
      <c r="I35" s="94"/>
      <c r="J35" s="95"/>
      <c r="K35" s="96" t="str">
        <f t="shared" si="14"/>
        <v/>
      </c>
      <c r="L35" s="94"/>
      <c r="M35" s="95"/>
      <c r="N35" s="96" t="str">
        <f t="shared" si="15"/>
        <v/>
      </c>
      <c r="O35" s="94"/>
      <c r="P35" s="95"/>
      <c r="Q35" s="96" t="str">
        <f t="shared" si="16"/>
        <v/>
      </c>
      <c r="R35" s="98"/>
      <c r="S35" s="95"/>
      <c r="T35" s="96" t="str">
        <f t="shared" si="17"/>
        <v/>
      </c>
      <c r="V35" s="101" t="e">
        <f t="shared" si="18"/>
        <v>#DIV/0!</v>
      </c>
      <c r="W35" s="115"/>
      <c r="X35" s="118" t="str">
        <f t="shared" si="19"/>
        <v>Intergem</v>
      </c>
      <c r="Y35" s="101" t="e">
        <f t="shared" si="22"/>
        <v>#DIV/0!</v>
      </c>
      <c r="Z35" s="113" t="e">
        <f t="shared" si="20"/>
        <v>#DIV/0!</v>
      </c>
      <c r="AA35" s="99" t="e">
        <f t="shared" si="23"/>
        <v>#DIV/0!</v>
      </c>
      <c r="AB35" s="100" t="e">
        <f t="shared" si="21"/>
        <v>#DIV/0!</v>
      </c>
    </row>
    <row r="36" spans="2:31" x14ac:dyDescent="0.2">
      <c r="B36" s="263" t="str">
        <f>+Data!C29</f>
        <v>Iveka</v>
      </c>
      <c r="C36" s="94"/>
      <c r="D36" s="95"/>
      <c r="E36" s="96" t="str">
        <f t="shared" si="12"/>
        <v/>
      </c>
      <c r="F36" s="94"/>
      <c r="G36" s="95"/>
      <c r="H36" s="96" t="str">
        <f t="shared" si="13"/>
        <v/>
      </c>
      <c r="I36" s="94"/>
      <c r="J36" s="95"/>
      <c r="K36" s="96" t="str">
        <f t="shared" si="14"/>
        <v/>
      </c>
      <c r="L36" s="94"/>
      <c r="M36" s="95"/>
      <c r="N36" s="96" t="str">
        <f t="shared" si="15"/>
        <v/>
      </c>
      <c r="O36" s="94"/>
      <c r="P36" s="95"/>
      <c r="Q36" s="96" t="str">
        <f t="shared" si="16"/>
        <v/>
      </c>
      <c r="R36" s="98"/>
      <c r="S36" s="95"/>
      <c r="T36" s="96" t="str">
        <f t="shared" si="17"/>
        <v/>
      </c>
      <c r="V36" s="101" t="e">
        <f t="shared" si="18"/>
        <v>#DIV/0!</v>
      </c>
      <c r="W36" s="115"/>
      <c r="X36" s="118" t="str">
        <f t="shared" si="19"/>
        <v>Iveka</v>
      </c>
      <c r="Y36" s="101" t="e">
        <f t="shared" si="22"/>
        <v>#DIV/0!</v>
      </c>
      <c r="Z36" s="113" t="e">
        <f t="shared" si="20"/>
        <v>#DIV/0!</v>
      </c>
      <c r="AA36" s="99" t="e">
        <f t="shared" si="23"/>
        <v>#DIV/0!</v>
      </c>
      <c r="AB36" s="100" t="e">
        <f t="shared" si="21"/>
        <v>#DIV/0!</v>
      </c>
    </row>
    <row r="37" spans="2:31" x14ac:dyDescent="0.2">
      <c r="B37" s="263" t="str">
        <f>+Data!C30</f>
        <v>Iverlek</v>
      </c>
      <c r="C37" s="94"/>
      <c r="D37" s="95"/>
      <c r="E37" s="96" t="str">
        <f t="shared" si="12"/>
        <v/>
      </c>
      <c r="F37" s="94"/>
      <c r="G37" s="95"/>
      <c r="H37" s="96" t="str">
        <f t="shared" si="13"/>
        <v/>
      </c>
      <c r="I37" s="94"/>
      <c r="J37" s="95"/>
      <c r="K37" s="96" t="str">
        <f t="shared" si="14"/>
        <v/>
      </c>
      <c r="L37" s="94"/>
      <c r="M37" s="95"/>
      <c r="N37" s="96" t="str">
        <f t="shared" si="15"/>
        <v/>
      </c>
      <c r="O37" s="94"/>
      <c r="P37" s="95"/>
      <c r="Q37" s="96" t="str">
        <f t="shared" si="16"/>
        <v/>
      </c>
      <c r="R37" s="98"/>
      <c r="S37" s="95"/>
      <c r="T37" s="96" t="str">
        <f t="shared" si="17"/>
        <v/>
      </c>
      <c r="V37" s="101" t="e">
        <f t="shared" si="18"/>
        <v>#DIV/0!</v>
      </c>
      <c r="W37" s="115"/>
      <c r="X37" s="118" t="str">
        <f t="shared" si="19"/>
        <v>Iverlek</v>
      </c>
      <c r="Y37" s="101" t="e">
        <f t="shared" si="22"/>
        <v>#DIV/0!</v>
      </c>
      <c r="Z37" s="113" t="e">
        <f t="shared" si="20"/>
        <v>#DIV/0!</v>
      </c>
      <c r="AA37" s="99" t="e">
        <f t="shared" si="23"/>
        <v>#DIV/0!</v>
      </c>
      <c r="AB37" s="100" t="e">
        <f t="shared" si="21"/>
        <v>#DIV/0!</v>
      </c>
    </row>
    <row r="38" spans="2:31" ht="13.5" thickBot="1" x14ac:dyDescent="0.25">
      <c r="B38" s="264" t="str">
        <f>+Data!C31</f>
        <v>Sibelgas</v>
      </c>
      <c r="C38" s="102"/>
      <c r="D38" s="103"/>
      <c r="E38" s="104" t="str">
        <f t="shared" si="12"/>
        <v/>
      </c>
      <c r="F38" s="102"/>
      <c r="G38" s="103"/>
      <c r="H38" s="104" t="str">
        <f t="shared" si="13"/>
        <v/>
      </c>
      <c r="I38" s="102"/>
      <c r="J38" s="103"/>
      <c r="K38" s="104" t="str">
        <f t="shared" si="14"/>
        <v/>
      </c>
      <c r="L38" s="102"/>
      <c r="M38" s="103"/>
      <c r="N38" s="104" t="str">
        <f t="shared" si="15"/>
        <v/>
      </c>
      <c r="O38" s="102"/>
      <c r="P38" s="103"/>
      <c r="Q38" s="104" t="str">
        <f t="shared" si="16"/>
        <v/>
      </c>
      <c r="R38" s="106"/>
      <c r="S38" s="103"/>
      <c r="T38" s="104" t="str">
        <f t="shared" si="17"/>
        <v/>
      </c>
      <c r="V38" s="101" t="e">
        <f t="shared" si="18"/>
        <v>#DIV/0!</v>
      </c>
      <c r="W38" s="115"/>
      <c r="X38" s="118" t="str">
        <f t="shared" si="19"/>
        <v>Sibelgas</v>
      </c>
      <c r="Y38" s="101" t="e">
        <f t="shared" si="22"/>
        <v>#DIV/0!</v>
      </c>
      <c r="Z38" s="113" t="e">
        <f t="shared" si="20"/>
        <v>#DIV/0!</v>
      </c>
      <c r="AA38" s="99" t="e">
        <f t="shared" si="23"/>
        <v>#DIV/0!</v>
      </c>
      <c r="AB38" s="100" t="e">
        <f t="shared" si="21"/>
        <v>#DIV/0!</v>
      </c>
    </row>
    <row r="39" spans="2:31" ht="13.5" thickBot="1" x14ac:dyDescent="0.25">
      <c r="U39" s="107" t="s">
        <v>29</v>
      </c>
      <c r="V39" s="108" t="e">
        <f>MAX(V30:V38)</f>
        <v>#DIV/0!</v>
      </c>
      <c r="W39" s="116"/>
      <c r="X39" s="109"/>
      <c r="Y39" s="109"/>
      <c r="Z39" s="107" t="s">
        <v>11</v>
      </c>
      <c r="AA39" s="110" t="e">
        <f>SUM(AA30:AA38)</f>
        <v>#DIV/0!</v>
      </c>
      <c r="AB39" s="111" t="e">
        <f>SUM(AB30:AB38)</f>
        <v>#DIV/0!</v>
      </c>
      <c r="AC39" s="41"/>
      <c r="AD39" s="41"/>
      <c r="AE39" s="41"/>
    </row>
    <row r="40" spans="2:31" ht="13.5" thickBot="1" x14ac:dyDescent="0.25"/>
    <row r="41" spans="2:31" ht="15" customHeight="1" thickBot="1" x14ac:dyDescent="0.25">
      <c r="X41" s="301" t="s">
        <v>30</v>
      </c>
      <c r="Y41" s="302"/>
      <c r="Z41" s="302"/>
      <c r="AA41" s="112">
        <f>+'Q%'!P19</f>
        <v>80</v>
      </c>
    </row>
  </sheetData>
  <mergeCells count="19">
    <mergeCell ref="X23:Z23"/>
    <mergeCell ref="X41:Z41"/>
    <mergeCell ref="L9:N9"/>
    <mergeCell ref="L28:N28"/>
    <mergeCell ref="O9:Q9"/>
    <mergeCell ref="O28:Q28"/>
    <mergeCell ref="D3:F3"/>
    <mergeCell ref="D4:F4"/>
    <mergeCell ref="B9:B10"/>
    <mergeCell ref="C9:E9"/>
    <mergeCell ref="R9:T9"/>
    <mergeCell ref="D5:F5"/>
    <mergeCell ref="F9:H9"/>
    <mergeCell ref="B28:B29"/>
    <mergeCell ref="C28:E28"/>
    <mergeCell ref="R28:T28"/>
    <mergeCell ref="I9:K9"/>
    <mergeCell ref="I28:K28"/>
    <mergeCell ref="F28:H28"/>
  </mergeCells>
  <pageMargins left="0.7" right="0.7" top="0.75" bottom="0.75" header="0.3" footer="0.3"/>
  <pageSetup paperSize="8" scale="38" orientation="landscape" r:id="rId1"/>
  <colBreaks count="1" manualBreakCount="1">
    <brk id="2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tabColor rgb="FF92D050"/>
  </sheetPr>
  <dimension ref="A1:AE41"/>
  <sheetViews>
    <sheetView zoomScale="70" zoomScaleNormal="70" workbookViewId="0">
      <selection activeCell="L30" activeCellId="7" sqref="C11:D20 F11:G20 I11:J20 L11:M20 C30:D38 F30:G38 I30:J38 L30:M38"/>
    </sheetView>
  </sheetViews>
  <sheetFormatPr defaultColWidth="9.140625" defaultRowHeight="12.75" x14ac:dyDescent="0.2"/>
  <cols>
    <col min="1" max="1" width="9.140625" style="4"/>
    <col min="2" max="2" width="28.85546875" style="4" customWidth="1"/>
    <col min="3" max="3" width="24.42578125" style="14" customWidth="1"/>
    <col min="4" max="4" width="26.85546875" style="14" customWidth="1"/>
    <col min="5" max="6" width="20.28515625" style="14" customWidth="1"/>
    <col min="7" max="7" width="24.5703125" style="14" customWidth="1"/>
    <col min="8" max="9" width="20.28515625" style="14" customWidth="1"/>
    <col min="10" max="10" width="25.7109375" style="14" customWidth="1"/>
    <col min="11" max="12" width="20.28515625" style="14" customWidth="1"/>
    <col min="13" max="13" width="25.7109375" style="14" customWidth="1"/>
    <col min="14" max="15" width="20.28515625" style="14" customWidth="1"/>
    <col min="16" max="16" width="22.42578125" style="14" customWidth="1"/>
    <col min="17" max="18" width="20.28515625" style="14" customWidth="1"/>
    <col min="19" max="19" width="22.85546875" style="14" customWidth="1"/>
    <col min="20" max="28" width="20.28515625" style="14" customWidth="1"/>
    <col min="29" max="16384" width="9.140625" style="4"/>
  </cols>
  <sheetData>
    <row r="1" spans="1:28" ht="13.5" thickBot="1" x14ac:dyDescent="0.25">
      <c r="A1" s="55" t="s">
        <v>32</v>
      </c>
      <c r="B1" s="56"/>
      <c r="C1" s="91"/>
    </row>
    <row r="3" spans="1:28" ht="12.75" customHeight="1" x14ac:dyDescent="0.2">
      <c r="A3" s="41"/>
      <c r="C3" s="92"/>
      <c r="D3" s="329" t="s">
        <v>72</v>
      </c>
      <c r="E3" s="330"/>
      <c r="F3" s="330"/>
    </row>
    <row r="4" spans="1:28" ht="12.75" customHeight="1" x14ac:dyDescent="0.2">
      <c r="A4" s="41"/>
      <c r="D4" s="331" t="s">
        <v>96</v>
      </c>
      <c r="E4" s="331"/>
      <c r="F4" s="331"/>
    </row>
    <row r="5" spans="1:28" x14ac:dyDescent="0.2">
      <c r="D5" s="332" t="s">
        <v>97</v>
      </c>
      <c r="E5" s="331"/>
      <c r="F5" s="331"/>
    </row>
    <row r="7" spans="1:28" s="58" customFormat="1" x14ac:dyDescent="0.2">
      <c r="B7" s="59" t="s">
        <v>33</v>
      </c>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28" ht="13.5" thickBot="1" x14ac:dyDescent="0.25"/>
    <row r="9" spans="1:28" ht="13.5" thickBot="1" x14ac:dyDescent="0.25">
      <c r="B9" s="324"/>
      <c r="C9" s="326">
        <f>IF('Q%'!$K$20&lt;2,"n.v.t.",'Q%'!$E$5-'Q%'!$K$20)</f>
        <v>2020</v>
      </c>
      <c r="D9" s="327"/>
      <c r="E9" s="328"/>
      <c r="F9" s="326">
        <f>IF('Q%'!$K$20&lt;2,"n.v.t.",'Q%'!$E$5-'Q%'!$K$20+1)</f>
        <v>2021</v>
      </c>
      <c r="G9" s="327"/>
      <c r="H9" s="328"/>
      <c r="I9" s="326">
        <f>IF('Q%'!$K$20&lt;=2,"n.v.t.",'Q%'!$E$5-'Q%'!$K$20+2)</f>
        <v>2022</v>
      </c>
      <c r="J9" s="327"/>
      <c r="K9" s="328"/>
      <c r="L9" s="326">
        <f>IF('Q%'!$K$20&lt;=3,"n.v.t.",'Q%'!$E$5-'Q%'!$K$20+3)</f>
        <v>2023</v>
      </c>
      <c r="M9" s="327"/>
      <c r="N9" s="328"/>
      <c r="O9" s="326" t="str">
        <f>IF('Q%'!$K$20&lt;=4,"n.v.t.",'Q%'!$E$5-'Q%'!$K$20+4)</f>
        <v>n.v.t.</v>
      </c>
      <c r="P9" s="327"/>
      <c r="Q9" s="328"/>
      <c r="R9" s="326" t="str">
        <f>IF('Q%'!$K$20&lt;=5,"n.v.t.",'Q%'!$E$5-'Q%'!$K$20+5)</f>
        <v>n.v.t.</v>
      </c>
      <c r="S9" s="327"/>
      <c r="T9" s="328"/>
    </row>
    <row r="10" spans="1:28" ht="103.15" customHeight="1" thickBot="1" x14ac:dyDescent="0.25">
      <c r="B10" s="325"/>
      <c r="C10" s="159" t="s">
        <v>123</v>
      </c>
      <c r="D10" s="160" t="s">
        <v>34</v>
      </c>
      <c r="E10" s="161" t="s">
        <v>35</v>
      </c>
      <c r="F10" s="159" t="s">
        <v>123</v>
      </c>
      <c r="G10" s="160" t="s">
        <v>34</v>
      </c>
      <c r="H10" s="161" t="s">
        <v>35</v>
      </c>
      <c r="I10" s="159" t="s">
        <v>123</v>
      </c>
      <c r="J10" s="160" t="s">
        <v>34</v>
      </c>
      <c r="K10" s="161" t="s">
        <v>35</v>
      </c>
      <c r="L10" s="159" t="s">
        <v>123</v>
      </c>
      <c r="M10" s="160" t="s">
        <v>34</v>
      </c>
      <c r="N10" s="161" t="s">
        <v>35</v>
      </c>
      <c r="O10" s="159" t="s">
        <v>123</v>
      </c>
      <c r="P10" s="160" t="s">
        <v>34</v>
      </c>
      <c r="Q10" s="161" t="s">
        <v>35</v>
      </c>
      <c r="R10" s="159" t="s">
        <v>123</v>
      </c>
      <c r="S10" s="160" t="s">
        <v>34</v>
      </c>
      <c r="T10" s="161" t="s">
        <v>35</v>
      </c>
      <c r="V10" s="152" t="s">
        <v>36</v>
      </c>
      <c r="W10" s="48"/>
      <c r="Y10" s="152" t="s">
        <v>36</v>
      </c>
      <c r="Z10" s="152" t="s">
        <v>28</v>
      </c>
      <c r="AA10" s="152" t="s">
        <v>22</v>
      </c>
      <c r="AB10" s="152" t="s">
        <v>16</v>
      </c>
    </row>
    <row r="11" spans="1:28" x14ac:dyDescent="0.2">
      <c r="B11" s="262" t="str">
        <f>+Data!C9</f>
        <v>Gaselwest</v>
      </c>
      <c r="C11" s="154"/>
      <c r="D11" s="155"/>
      <c r="E11" s="156" t="str">
        <f t="shared" ref="E11:E20" si="0">IF(ISBLANK(C11),"",+C11/D11)</f>
        <v/>
      </c>
      <c r="F11" s="157"/>
      <c r="G11" s="155"/>
      <c r="H11" s="156" t="str">
        <f t="shared" ref="H11:H20" si="1">IF(ISBLANK(F11),"",+F11/G11)</f>
        <v/>
      </c>
      <c r="I11" s="158"/>
      <c r="J11" s="155"/>
      <c r="K11" s="156" t="str">
        <f t="shared" ref="K11:K20" si="2">IF(ISBLANK(I11),"",+I11/J11)</f>
        <v/>
      </c>
      <c r="L11" s="158"/>
      <c r="M11" s="155"/>
      <c r="N11" s="156" t="str">
        <f t="shared" ref="N11:N20" si="3">IF(ISBLANK(L11),"",+L11/M11)</f>
        <v/>
      </c>
      <c r="O11" s="158"/>
      <c r="P11" s="155"/>
      <c r="Q11" s="156" t="str">
        <f t="shared" ref="Q11:Q20" si="4">IF(ISBLANK(O11),"",+O11/P11)</f>
        <v/>
      </c>
      <c r="R11" s="158"/>
      <c r="S11" s="155"/>
      <c r="T11" s="156" t="str">
        <f>IF(ISBLANK(R11),"",+R11/S11)</f>
        <v/>
      </c>
      <c r="V11" s="153" t="e">
        <f>+AVERAGE(E11,H11,K11,N11,Q11,T11)</f>
        <v>#DIV/0!</v>
      </c>
      <c r="W11" s="114"/>
      <c r="X11" s="117" t="str">
        <f>+B11</f>
        <v>Gaselwest</v>
      </c>
      <c r="Y11" s="153" t="e">
        <f>+V11</f>
        <v>#DIV/0!</v>
      </c>
      <c r="Z11" s="150" t="e">
        <f t="shared" ref="Z11:Z20" si="5">+V11/$V$21</f>
        <v>#DIV/0!</v>
      </c>
      <c r="AA11" s="150" t="e">
        <f>1-(Z11*0.6)</f>
        <v>#DIV/0!</v>
      </c>
      <c r="AB11" s="151" t="e">
        <f t="shared" ref="AB11:AB20" si="6">ROUND(AA11*$AA$23/$AA$21,2)</f>
        <v>#DIV/0!</v>
      </c>
    </row>
    <row r="12" spans="1:28" x14ac:dyDescent="0.2">
      <c r="B12" s="263" t="str">
        <f>+Data!C10</f>
        <v>Fluvius Antwerpen</v>
      </c>
      <c r="C12" s="94"/>
      <c r="D12" s="95"/>
      <c r="E12" s="96" t="str">
        <f t="shared" si="0"/>
        <v/>
      </c>
      <c r="F12" s="97"/>
      <c r="G12" s="95"/>
      <c r="H12" s="96" t="str">
        <f t="shared" si="1"/>
        <v/>
      </c>
      <c r="I12" s="98"/>
      <c r="J12" s="95"/>
      <c r="K12" s="96" t="str">
        <f t="shared" si="2"/>
        <v/>
      </c>
      <c r="L12" s="98"/>
      <c r="M12" s="95"/>
      <c r="N12" s="96" t="str">
        <f t="shared" si="3"/>
        <v/>
      </c>
      <c r="O12" s="98"/>
      <c r="P12" s="95"/>
      <c r="Q12" s="96" t="str">
        <f t="shared" si="4"/>
        <v/>
      </c>
      <c r="R12" s="98"/>
      <c r="S12" s="95"/>
      <c r="T12" s="96" t="str">
        <f t="shared" ref="T12:T19" si="7">IF(ISBLANK(R12),"",+R12/S12)</f>
        <v/>
      </c>
      <c r="V12" s="101" t="e">
        <f t="shared" ref="V12:V20" si="8">+AVERAGE(E12,H12,K12,N12,Q12,T12)</f>
        <v>#DIV/0!</v>
      </c>
      <c r="W12" s="115"/>
      <c r="X12" s="118" t="str">
        <f t="shared" ref="X12:X20" si="9">+B12</f>
        <v>Fluvius Antwerpen</v>
      </c>
      <c r="Y12" s="101" t="e">
        <f t="shared" ref="Y12:Y20" si="10">+V12</f>
        <v>#DIV/0!</v>
      </c>
      <c r="Z12" s="99" t="e">
        <f t="shared" si="5"/>
        <v>#DIV/0!</v>
      </c>
      <c r="AA12" s="99" t="e">
        <f t="shared" ref="AA12:AA20" si="11">1-(Z12*0.6)</f>
        <v>#DIV/0!</v>
      </c>
      <c r="AB12" s="100" t="e">
        <f t="shared" si="6"/>
        <v>#DIV/0!</v>
      </c>
    </row>
    <row r="13" spans="1:28" x14ac:dyDescent="0.2">
      <c r="B13" s="263" t="str">
        <f>+Data!C11</f>
        <v>Fluvius Limburg</v>
      </c>
      <c r="C13" s="94"/>
      <c r="D13" s="95"/>
      <c r="E13" s="96" t="str">
        <f t="shared" si="0"/>
        <v/>
      </c>
      <c r="F13" s="97"/>
      <c r="G13" s="95"/>
      <c r="H13" s="96" t="str">
        <f t="shared" si="1"/>
        <v/>
      </c>
      <c r="I13" s="98"/>
      <c r="J13" s="95"/>
      <c r="K13" s="96" t="str">
        <f t="shared" si="2"/>
        <v/>
      </c>
      <c r="L13" s="98"/>
      <c r="M13" s="95"/>
      <c r="N13" s="96" t="str">
        <f t="shared" si="3"/>
        <v/>
      </c>
      <c r="O13" s="98"/>
      <c r="P13" s="95"/>
      <c r="Q13" s="96" t="str">
        <f t="shared" si="4"/>
        <v/>
      </c>
      <c r="R13" s="98"/>
      <c r="S13" s="95"/>
      <c r="T13" s="96" t="str">
        <f t="shared" si="7"/>
        <v/>
      </c>
      <c r="V13" s="101" t="e">
        <f t="shared" si="8"/>
        <v>#DIV/0!</v>
      </c>
      <c r="W13" s="115"/>
      <c r="X13" s="118" t="str">
        <f t="shared" si="9"/>
        <v>Fluvius Limburg</v>
      </c>
      <c r="Y13" s="101" t="e">
        <f t="shared" si="10"/>
        <v>#DIV/0!</v>
      </c>
      <c r="Z13" s="99" t="e">
        <f t="shared" si="5"/>
        <v>#DIV/0!</v>
      </c>
      <c r="AA13" s="99" t="e">
        <f t="shared" si="11"/>
        <v>#DIV/0!</v>
      </c>
      <c r="AB13" s="100" t="e">
        <f t="shared" si="6"/>
        <v>#DIV/0!</v>
      </c>
    </row>
    <row r="14" spans="1:28" x14ac:dyDescent="0.2">
      <c r="B14" s="263" t="str">
        <f>+Data!C12</f>
        <v>Fluvius West</v>
      </c>
      <c r="C14" s="94"/>
      <c r="D14" s="95"/>
      <c r="E14" s="96" t="str">
        <f t="shared" si="0"/>
        <v/>
      </c>
      <c r="F14" s="97"/>
      <c r="G14" s="95"/>
      <c r="H14" s="96" t="str">
        <f t="shared" si="1"/>
        <v/>
      </c>
      <c r="I14" s="98"/>
      <c r="J14" s="95"/>
      <c r="K14" s="96" t="str">
        <f t="shared" si="2"/>
        <v/>
      </c>
      <c r="L14" s="98"/>
      <c r="M14" s="95"/>
      <c r="N14" s="96" t="str">
        <f t="shared" si="3"/>
        <v/>
      </c>
      <c r="O14" s="98"/>
      <c r="P14" s="95"/>
      <c r="Q14" s="96" t="str">
        <f t="shared" si="4"/>
        <v/>
      </c>
      <c r="R14" s="98"/>
      <c r="S14" s="95"/>
      <c r="T14" s="96" t="str">
        <f t="shared" si="7"/>
        <v/>
      </c>
      <c r="V14" s="101" t="e">
        <f t="shared" si="8"/>
        <v>#DIV/0!</v>
      </c>
      <c r="W14" s="115"/>
      <c r="X14" s="118" t="str">
        <f t="shared" si="9"/>
        <v>Fluvius West</v>
      </c>
      <c r="Y14" s="101" t="e">
        <f t="shared" si="10"/>
        <v>#DIV/0!</v>
      </c>
      <c r="Z14" s="99" t="e">
        <f t="shared" si="5"/>
        <v>#DIV/0!</v>
      </c>
      <c r="AA14" s="99" t="e">
        <f t="shared" si="11"/>
        <v>#DIV/0!</v>
      </c>
      <c r="AB14" s="100" t="e">
        <f t="shared" si="6"/>
        <v>#DIV/0!</v>
      </c>
    </row>
    <row r="15" spans="1:28" x14ac:dyDescent="0.2">
      <c r="B15" s="263" t="str">
        <f>+Data!C13</f>
        <v>Imewo</v>
      </c>
      <c r="C15" s="94"/>
      <c r="D15" s="95"/>
      <c r="E15" s="96" t="str">
        <f t="shared" si="0"/>
        <v/>
      </c>
      <c r="F15" s="97"/>
      <c r="G15" s="95"/>
      <c r="H15" s="96" t="str">
        <f t="shared" si="1"/>
        <v/>
      </c>
      <c r="I15" s="98"/>
      <c r="J15" s="95"/>
      <c r="K15" s="96" t="str">
        <f t="shared" si="2"/>
        <v/>
      </c>
      <c r="L15" s="98"/>
      <c r="M15" s="95"/>
      <c r="N15" s="96" t="str">
        <f t="shared" si="3"/>
        <v/>
      </c>
      <c r="O15" s="98"/>
      <c r="P15" s="95"/>
      <c r="Q15" s="96" t="str">
        <f t="shared" si="4"/>
        <v/>
      </c>
      <c r="R15" s="98"/>
      <c r="S15" s="95"/>
      <c r="T15" s="96" t="str">
        <f t="shared" si="7"/>
        <v/>
      </c>
      <c r="V15" s="101" t="e">
        <f t="shared" si="8"/>
        <v>#DIV/0!</v>
      </c>
      <c r="W15" s="115"/>
      <c r="X15" s="118" t="str">
        <f t="shared" si="9"/>
        <v>Imewo</v>
      </c>
      <c r="Y15" s="101" t="e">
        <f t="shared" si="10"/>
        <v>#DIV/0!</v>
      </c>
      <c r="Z15" s="99" t="e">
        <f t="shared" si="5"/>
        <v>#DIV/0!</v>
      </c>
      <c r="AA15" s="99" t="e">
        <f t="shared" si="11"/>
        <v>#DIV/0!</v>
      </c>
      <c r="AB15" s="100" t="e">
        <f t="shared" si="6"/>
        <v>#DIV/0!</v>
      </c>
    </row>
    <row r="16" spans="1:28" x14ac:dyDescent="0.2">
      <c r="B16" s="263" t="str">
        <f>+Data!C14</f>
        <v>Intergem</v>
      </c>
      <c r="C16" s="94"/>
      <c r="D16" s="95"/>
      <c r="E16" s="96" t="str">
        <f t="shared" si="0"/>
        <v/>
      </c>
      <c r="F16" s="97"/>
      <c r="G16" s="95"/>
      <c r="H16" s="96" t="str">
        <f t="shared" si="1"/>
        <v/>
      </c>
      <c r="I16" s="98"/>
      <c r="J16" s="95"/>
      <c r="K16" s="96" t="str">
        <f t="shared" si="2"/>
        <v/>
      </c>
      <c r="L16" s="98"/>
      <c r="M16" s="95"/>
      <c r="N16" s="96" t="str">
        <f t="shared" si="3"/>
        <v/>
      </c>
      <c r="O16" s="98"/>
      <c r="P16" s="95"/>
      <c r="Q16" s="96" t="str">
        <f t="shared" si="4"/>
        <v/>
      </c>
      <c r="R16" s="98"/>
      <c r="S16" s="95"/>
      <c r="T16" s="96" t="str">
        <f t="shared" si="7"/>
        <v/>
      </c>
      <c r="V16" s="101" t="e">
        <f t="shared" si="8"/>
        <v>#DIV/0!</v>
      </c>
      <c r="W16" s="115"/>
      <c r="X16" s="118" t="str">
        <f t="shared" si="9"/>
        <v>Intergem</v>
      </c>
      <c r="Y16" s="101" t="e">
        <f t="shared" si="10"/>
        <v>#DIV/0!</v>
      </c>
      <c r="Z16" s="99" t="e">
        <f t="shared" si="5"/>
        <v>#DIV/0!</v>
      </c>
      <c r="AA16" s="99" t="e">
        <f t="shared" si="11"/>
        <v>#DIV/0!</v>
      </c>
      <c r="AB16" s="100" t="e">
        <f t="shared" si="6"/>
        <v>#DIV/0!</v>
      </c>
    </row>
    <row r="17" spans="2:31" x14ac:dyDescent="0.2">
      <c r="B17" s="263" t="str">
        <f>+Data!C15</f>
        <v>Iveka</v>
      </c>
      <c r="C17" s="94"/>
      <c r="D17" s="95"/>
      <c r="E17" s="96" t="str">
        <f t="shared" si="0"/>
        <v/>
      </c>
      <c r="F17" s="97"/>
      <c r="G17" s="95"/>
      <c r="H17" s="96" t="str">
        <f t="shared" si="1"/>
        <v/>
      </c>
      <c r="I17" s="98"/>
      <c r="J17" s="95"/>
      <c r="K17" s="96" t="str">
        <f t="shared" si="2"/>
        <v/>
      </c>
      <c r="L17" s="98"/>
      <c r="M17" s="95"/>
      <c r="N17" s="96" t="str">
        <f t="shared" si="3"/>
        <v/>
      </c>
      <c r="O17" s="98"/>
      <c r="P17" s="95"/>
      <c r="Q17" s="96" t="str">
        <f t="shared" si="4"/>
        <v/>
      </c>
      <c r="R17" s="98"/>
      <c r="S17" s="95"/>
      <c r="T17" s="96" t="str">
        <f t="shared" si="7"/>
        <v/>
      </c>
      <c r="V17" s="101" t="e">
        <f t="shared" si="8"/>
        <v>#DIV/0!</v>
      </c>
      <c r="W17" s="115"/>
      <c r="X17" s="118" t="str">
        <f t="shared" si="9"/>
        <v>Iveka</v>
      </c>
      <c r="Y17" s="101" t="e">
        <f t="shared" si="10"/>
        <v>#DIV/0!</v>
      </c>
      <c r="Z17" s="99" t="e">
        <f t="shared" si="5"/>
        <v>#DIV/0!</v>
      </c>
      <c r="AA17" s="99" t="e">
        <f t="shared" si="11"/>
        <v>#DIV/0!</v>
      </c>
      <c r="AB17" s="100" t="e">
        <f t="shared" si="6"/>
        <v>#DIV/0!</v>
      </c>
    </row>
    <row r="18" spans="2:31" x14ac:dyDescent="0.2">
      <c r="B18" s="263" t="str">
        <f>+Data!C16</f>
        <v>Iverlek</v>
      </c>
      <c r="C18" s="94"/>
      <c r="D18" s="95"/>
      <c r="E18" s="96" t="str">
        <f t="shared" si="0"/>
        <v/>
      </c>
      <c r="F18" s="97"/>
      <c r="G18" s="95"/>
      <c r="H18" s="96" t="str">
        <f t="shared" si="1"/>
        <v/>
      </c>
      <c r="I18" s="98"/>
      <c r="J18" s="95"/>
      <c r="K18" s="96" t="str">
        <f t="shared" si="2"/>
        <v/>
      </c>
      <c r="L18" s="98"/>
      <c r="M18" s="95"/>
      <c r="N18" s="96" t="str">
        <f t="shared" si="3"/>
        <v/>
      </c>
      <c r="O18" s="98"/>
      <c r="P18" s="95"/>
      <c r="Q18" s="96" t="str">
        <f t="shared" si="4"/>
        <v/>
      </c>
      <c r="R18" s="98"/>
      <c r="S18" s="95"/>
      <c r="T18" s="96" t="str">
        <f t="shared" si="7"/>
        <v/>
      </c>
      <c r="V18" s="101" t="e">
        <f t="shared" si="8"/>
        <v>#DIV/0!</v>
      </c>
      <c r="W18" s="115"/>
      <c r="X18" s="118" t="str">
        <f t="shared" si="9"/>
        <v>Iverlek</v>
      </c>
      <c r="Y18" s="101" t="e">
        <f t="shared" si="10"/>
        <v>#DIV/0!</v>
      </c>
      <c r="Z18" s="99" t="e">
        <f t="shared" si="5"/>
        <v>#DIV/0!</v>
      </c>
      <c r="AA18" s="99" t="e">
        <f t="shared" si="11"/>
        <v>#DIV/0!</v>
      </c>
      <c r="AB18" s="100" t="e">
        <f t="shared" si="6"/>
        <v>#DIV/0!</v>
      </c>
    </row>
    <row r="19" spans="2:31" x14ac:dyDescent="0.2">
      <c r="B19" s="263" t="str">
        <f>+Data!C17</f>
        <v>PBE</v>
      </c>
      <c r="C19" s="94"/>
      <c r="D19" s="95"/>
      <c r="E19" s="96" t="str">
        <f t="shared" si="0"/>
        <v/>
      </c>
      <c r="F19" s="97"/>
      <c r="G19" s="95"/>
      <c r="H19" s="96" t="str">
        <f t="shared" si="1"/>
        <v/>
      </c>
      <c r="I19" s="98"/>
      <c r="J19" s="95"/>
      <c r="K19" s="96" t="str">
        <f t="shared" si="2"/>
        <v/>
      </c>
      <c r="L19" s="98"/>
      <c r="M19" s="95"/>
      <c r="N19" s="96" t="str">
        <f t="shared" si="3"/>
        <v/>
      </c>
      <c r="O19" s="98"/>
      <c r="P19" s="95"/>
      <c r="Q19" s="96" t="str">
        <f t="shared" si="4"/>
        <v/>
      </c>
      <c r="R19" s="98"/>
      <c r="S19" s="95"/>
      <c r="T19" s="96" t="str">
        <f t="shared" si="7"/>
        <v/>
      </c>
      <c r="V19" s="101" t="e">
        <f t="shared" si="8"/>
        <v>#DIV/0!</v>
      </c>
      <c r="W19" s="115"/>
      <c r="X19" s="118" t="str">
        <f t="shared" si="9"/>
        <v>PBE</v>
      </c>
      <c r="Y19" s="101" t="e">
        <f t="shared" si="10"/>
        <v>#DIV/0!</v>
      </c>
      <c r="Z19" s="99" t="e">
        <f t="shared" si="5"/>
        <v>#DIV/0!</v>
      </c>
      <c r="AA19" s="99" t="e">
        <f t="shared" si="11"/>
        <v>#DIV/0!</v>
      </c>
      <c r="AB19" s="100" t="e">
        <f t="shared" si="6"/>
        <v>#DIV/0!</v>
      </c>
    </row>
    <row r="20" spans="2:31" ht="13.5" thickBot="1" x14ac:dyDescent="0.25">
      <c r="B20" s="264" t="str">
        <f>+Data!C18</f>
        <v>Sibelgas</v>
      </c>
      <c r="C20" s="102"/>
      <c r="D20" s="103"/>
      <c r="E20" s="104" t="str">
        <f t="shared" si="0"/>
        <v/>
      </c>
      <c r="F20" s="105"/>
      <c r="G20" s="103"/>
      <c r="H20" s="104" t="str">
        <f t="shared" si="1"/>
        <v/>
      </c>
      <c r="I20" s="106"/>
      <c r="J20" s="103"/>
      <c r="K20" s="104" t="str">
        <f t="shared" si="2"/>
        <v/>
      </c>
      <c r="L20" s="106"/>
      <c r="M20" s="103"/>
      <c r="N20" s="104" t="str">
        <f t="shared" si="3"/>
        <v/>
      </c>
      <c r="O20" s="106"/>
      <c r="P20" s="103"/>
      <c r="Q20" s="104" t="str">
        <f t="shared" si="4"/>
        <v/>
      </c>
      <c r="R20" s="106"/>
      <c r="S20" s="103"/>
      <c r="T20" s="104" t="str">
        <f>IF(ISBLANK(R20),"",+R20/S20)</f>
        <v/>
      </c>
      <c r="V20" s="101" t="e">
        <f t="shared" si="8"/>
        <v>#DIV/0!</v>
      </c>
      <c r="W20" s="115"/>
      <c r="X20" s="118" t="str">
        <f t="shared" si="9"/>
        <v>Sibelgas</v>
      </c>
      <c r="Y20" s="101" t="e">
        <f t="shared" si="10"/>
        <v>#DIV/0!</v>
      </c>
      <c r="Z20" s="99" t="e">
        <f t="shared" si="5"/>
        <v>#DIV/0!</v>
      </c>
      <c r="AA20" s="99" t="e">
        <f t="shared" si="11"/>
        <v>#DIV/0!</v>
      </c>
      <c r="AB20" s="100" t="e">
        <f t="shared" si="6"/>
        <v>#DIV/0!</v>
      </c>
    </row>
    <row r="21" spans="2:31" ht="13.5" thickBot="1" x14ac:dyDescent="0.25">
      <c r="U21" s="107" t="s">
        <v>29</v>
      </c>
      <c r="V21" s="108" t="e">
        <f>MAX(V11:V20)</f>
        <v>#DIV/0!</v>
      </c>
      <c r="W21" s="116"/>
      <c r="X21" s="109"/>
      <c r="Y21" s="109"/>
      <c r="Z21" s="107" t="s">
        <v>11</v>
      </c>
      <c r="AA21" s="110" t="e">
        <f>SUM(AA11:AA20)</f>
        <v>#DIV/0!</v>
      </c>
      <c r="AB21" s="111" t="e">
        <f>SUM(AB11:AB20)</f>
        <v>#DIV/0!</v>
      </c>
      <c r="AC21" s="41"/>
      <c r="AD21" s="41"/>
      <c r="AE21" s="41"/>
    </row>
    <row r="22" spans="2:31" ht="13.5" thickBot="1" x14ac:dyDescent="0.25"/>
    <row r="23" spans="2:31" ht="15" customHeight="1" thickBot="1" x14ac:dyDescent="0.25">
      <c r="X23" s="333" t="s">
        <v>30</v>
      </c>
      <c r="Y23" s="334"/>
      <c r="Z23" s="334"/>
      <c r="AA23" s="112">
        <f>+'Q%'!N20</f>
        <v>19.999999999999996</v>
      </c>
    </row>
    <row r="26" spans="2:31" s="58" customFormat="1" x14ac:dyDescent="0.2">
      <c r="B26" s="59" t="s">
        <v>37</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31" ht="13.5" thickBot="1" x14ac:dyDescent="0.25"/>
    <row r="28" spans="2:31" ht="13.5" thickBot="1" x14ac:dyDescent="0.25">
      <c r="B28" s="324"/>
      <c r="C28" s="326">
        <f>IF('Q%'!$K$20&lt;2,"n.v.t.",'Q%'!$E$5-'Q%'!$K$20)</f>
        <v>2020</v>
      </c>
      <c r="D28" s="327"/>
      <c r="E28" s="328"/>
      <c r="F28" s="326">
        <f>IF('Q%'!$K$20&lt;2,"n.v.t.",'Q%'!$E$5-'Q%'!$K$20+1)</f>
        <v>2021</v>
      </c>
      <c r="G28" s="327"/>
      <c r="H28" s="328"/>
      <c r="I28" s="326">
        <f>IF('Q%'!$K$20&lt;=2,"n.v.t.",'Q%'!$E$5-'Q%'!$K$20+2)</f>
        <v>2022</v>
      </c>
      <c r="J28" s="327"/>
      <c r="K28" s="328"/>
      <c r="L28" s="326">
        <f>IF('Q%'!$K$20&lt;=3,"n.v.t.",'Q%'!$E$5-'Q%'!$K$20+3)</f>
        <v>2023</v>
      </c>
      <c r="M28" s="327"/>
      <c r="N28" s="328"/>
      <c r="O28" s="326" t="str">
        <f>IF('Q%'!$K$20&lt;=4,"n.v.t.",'Q%'!$E$5-'Q%'!$K$20+4)</f>
        <v>n.v.t.</v>
      </c>
      <c r="P28" s="327"/>
      <c r="Q28" s="328"/>
      <c r="R28" s="326" t="str">
        <f>IF('Q%'!$K$20&lt;=5,"n.v.t.",'Q%'!$E$5-'Q%'!$K$20+5)</f>
        <v>n.v.t.</v>
      </c>
      <c r="S28" s="327"/>
      <c r="T28" s="328"/>
    </row>
    <row r="29" spans="2:31" ht="100.15" customHeight="1" thickBot="1" x14ac:dyDescent="0.25">
      <c r="B29" s="325"/>
      <c r="C29" s="159" t="s">
        <v>123</v>
      </c>
      <c r="D29" s="160" t="s">
        <v>34</v>
      </c>
      <c r="E29" s="161" t="s">
        <v>35</v>
      </c>
      <c r="F29" s="159" t="s">
        <v>123</v>
      </c>
      <c r="G29" s="160" t="s">
        <v>34</v>
      </c>
      <c r="H29" s="161" t="s">
        <v>35</v>
      </c>
      <c r="I29" s="159" t="s">
        <v>123</v>
      </c>
      <c r="J29" s="160" t="s">
        <v>34</v>
      </c>
      <c r="K29" s="161" t="s">
        <v>35</v>
      </c>
      <c r="L29" s="159" t="s">
        <v>123</v>
      </c>
      <c r="M29" s="160" t="s">
        <v>34</v>
      </c>
      <c r="N29" s="161" t="s">
        <v>35</v>
      </c>
      <c r="O29" s="159" t="s">
        <v>123</v>
      </c>
      <c r="P29" s="160" t="s">
        <v>34</v>
      </c>
      <c r="Q29" s="161" t="s">
        <v>35</v>
      </c>
      <c r="R29" s="159" t="s">
        <v>123</v>
      </c>
      <c r="S29" s="160" t="s">
        <v>34</v>
      </c>
      <c r="T29" s="161" t="s">
        <v>35</v>
      </c>
      <c r="V29" s="152" t="s">
        <v>36</v>
      </c>
      <c r="W29" s="48"/>
      <c r="Y29" s="152" t="s">
        <v>36</v>
      </c>
      <c r="Z29" s="152" t="s">
        <v>28</v>
      </c>
      <c r="AA29" s="152" t="s">
        <v>22</v>
      </c>
      <c r="AB29" s="152" t="s">
        <v>16</v>
      </c>
    </row>
    <row r="30" spans="2:31" x14ac:dyDescent="0.2">
      <c r="B30" s="262" t="str">
        <f>+Data!C23</f>
        <v>Gaselwest</v>
      </c>
      <c r="C30" s="154"/>
      <c r="D30" s="155"/>
      <c r="E30" s="156" t="str">
        <f t="shared" ref="E30:E38" si="12">IF(ISBLANK(C30),"",+C30/D30)</f>
        <v/>
      </c>
      <c r="F30" s="157"/>
      <c r="G30" s="155"/>
      <c r="H30" s="156" t="str">
        <f t="shared" ref="H30:H38" si="13">IF(ISBLANK(F30),"",+F30/G30)</f>
        <v/>
      </c>
      <c r="I30" s="158"/>
      <c r="J30" s="155"/>
      <c r="K30" s="156" t="str">
        <f t="shared" ref="K30:K38" si="14">IF(ISBLANK(I30),"",+I30/J30)</f>
        <v/>
      </c>
      <c r="L30" s="158"/>
      <c r="M30" s="155"/>
      <c r="N30" s="156" t="str">
        <f t="shared" ref="N30:N38" si="15">IF(ISBLANK(L30),"",+L30/M30)</f>
        <v/>
      </c>
      <c r="O30" s="158"/>
      <c r="P30" s="155"/>
      <c r="Q30" s="156" t="str">
        <f t="shared" ref="Q30:Q38" si="16">IF(ISBLANK(O30),"",+O30/P30)</f>
        <v/>
      </c>
      <c r="R30" s="158"/>
      <c r="S30" s="155"/>
      <c r="T30" s="156" t="str">
        <f t="shared" ref="T30:T38" si="17">IF(ISBLANK(R30),"",+R30/S30)</f>
        <v/>
      </c>
      <c r="V30" s="153" t="e">
        <f t="shared" ref="V30:V38" si="18">+AVERAGE(E30,H30,K30,N30,Q30,T30)</f>
        <v>#DIV/0!</v>
      </c>
      <c r="W30" s="114"/>
      <c r="X30" s="117" t="str">
        <f t="shared" ref="X30:X38" si="19">+B30</f>
        <v>Gaselwest</v>
      </c>
      <c r="Y30" s="153" t="e">
        <f>+V30</f>
        <v>#DIV/0!</v>
      </c>
      <c r="Z30" s="162" t="e">
        <f t="shared" ref="Z30:Z38" si="20">+V30/$V$39</f>
        <v>#DIV/0!</v>
      </c>
      <c r="AA30" s="150" t="e">
        <f>1-(Z30*0.6)</f>
        <v>#DIV/0!</v>
      </c>
      <c r="AB30" s="151" t="e">
        <f t="shared" ref="AB30:AB38" si="21">ROUND(AA30*$AA$41/$AA$39,2)</f>
        <v>#DIV/0!</v>
      </c>
    </row>
    <row r="31" spans="2:31" x14ac:dyDescent="0.2">
      <c r="B31" s="263" t="str">
        <f>+Data!C24</f>
        <v>Fluvius Antwerpen</v>
      </c>
      <c r="C31" s="94"/>
      <c r="D31" s="95"/>
      <c r="E31" s="96" t="str">
        <f t="shared" si="12"/>
        <v/>
      </c>
      <c r="F31" s="97"/>
      <c r="G31" s="95"/>
      <c r="H31" s="96" t="str">
        <f t="shared" si="13"/>
        <v/>
      </c>
      <c r="I31" s="98"/>
      <c r="J31" s="95"/>
      <c r="K31" s="96" t="str">
        <f t="shared" si="14"/>
        <v/>
      </c>
      <c r="L31" s="98"/>
      <c r="M31" s="95"/>
      <c r="N31" s="96" t="str">
        <f t="shared" si="15"/>
        <v/>
      </c>
      <c r="O31" s="98"/>
      <c r="P31" s="95"/>
      <c r="Q31" s="96" t="str">
        <f t="shared" si="16"/>
        <v/>
      </c>
      <c r="R31" s="98"/>
      <c r="S31" s="95"/>
      <c r="T31" s="96" t="str">
        <f t="shared" si="17"/>
        <v/>
      </c>
      <c r="V31" s="101" t="e">
        <f t="shared" si="18"/>
        <v>#DIV/0!</v>
      </c>
      <c r="W31" s="115"/>
      <c r="X31" s="118" t="str">
        <f t="shared" si="19"/>
        <v>Fluvius Antwerpen</v>
      </c>
      <c r="Y31" s="101" t="e">
        <f t="shared" ref="Y31:Y38" si="22">+V31</f>
        <v>#DIV/0!</v>
      </c>
      <c r="Z31" s="113" t="e">
        <f t="shared" si="20"/>
        <v>#DIV/0!</v>
      </c>
      <c r="AA31" s="99" t="e">
        <f t="shared" ref="AA31:AA38" si="23">1-(Z31*0.6)</f>
        <v>#DIV/0!</v>
      </c>
      <c r="AB31" s="100" t="e">
        <f t="shared" si="21"/>
        <v>#DIV/0!</v>
      </c>
    </row>
    <row r="32" spans="2:31" x14ac:dyDescent="0.2">
      <c r="B32" s="263" t="str">
        <f>+Data!C25</f>
        <v>Fluvius Limburg</v>
      </c>
      <c r="C32" s="94"/>
      <c r="D32" s="95"/>
      <c r="E32" s="96" t="str">
        <f t="shared" si="12"/>
        <v/>
      </c>
      <c r="F32" s="97"/>
      <c r="G32" s="95"/>
      <c r="H32" s="96" t="str">
        <f t="shared" si="13"/>
        <v/>
      </c>
      <c r="I32" s="98"/>
      <c r="J32" s="95"/>
      <c r="K32" s="96" t="str">
        <f t="shared" si="14"/>
        <v/>
      </c>
      <c r="L32" s="98"/>
      <c r="M32" s="95"/>
      <c r="N32" s="96" t="str">
        <f t="shared" si="15"/>
        <v/>
      </c>
      <c r="O32" s="98"/>
      <c r="P32" s="95"/>
      <c r="Q32" s="96" t="str">
        <f t="shared" si="16"/>
        <v/>
      </c>
      <c r="R32" s="98"/>
      <c r="S32" s="95"/>
      <c r="T32" s="96" t="str">
        <f t="shared" si="17"/>
        <v/>
      </c>
      <c r="V32" s="101" t="e">
        <f t="shared" si="18"/>
        <v>#DIV/0!</v>
      </c>
      <c r="W32" s="115"/>
      <c r="X32" s="118" t="str">
        <f t="shared" si="19"/>
        <v>Fluvius Limburg</v>
      </c>
      <c r="Y32" s="101" t="e">
        <f t="shared" si="22"/>
        <v>#DIV/0!</v>
      </c>
      <c r="Z32" s="113" t="e">
        <f t="shared" si="20"/>
        <v>#DIV/0!</v>
      </c>
      <c r="AA32" s="99" t="e">
        <f t="shared" si="23"/>
        <v>#DIV/0!</v>
      </c>
      <c r="AB32" s="100" t="e">
        <f t="shared" si="21"/>
        <v>#DIV/0!</v>
      </c>
    </row>
    <row r="33" spans="2:31" x14ac:dyDescent="0.2">
      <c r="B33" s="263" t="str">
        <f>+Data!C26</f>
        <v>Fluvius West</v>
      </c>
      <c r="C33" s="94"/>
      <c r="D33" s="95"/>
      <c r="E33" s="96" t="str">
        <f t="shared" si="12"/>
        <v/>
      </c>
      <c r="F33" s="97"/>
      <c r="G33" s="95"/>
      <c r="H33" s="96" t="str">
        <f t="shared" si="13"/>
        <v/>
      </c>
      <c r="I33" s="98"/>
      <c r="J33" s="95"/>
      <c r="K33" s="96" t="str">
        <f t="shared" si="14"/>
        <v/>
      </c>
      <c r="L33" s="98"/>
      <c r="M33" s="95"/>
      <c r="N33" s="96" t="str">
        <f t="shared" si="15"/>
        <v/>
      </c>
      <c r="O33" s="98"/>
      <c r="P33" s="95"/>
      <c r="Q33" s="96" t="str">
        <f t="shared" si="16"/>
        <v/>
      </c>
      <c r="R33" s="98"/>
      <c r="S33" s="95"/>
      <c r="T33" s="96" t="str">
        <f t="shared" si="17"/>
        <v/>
      </c>
      <c r="V33" s="101" t="e">
        <f t="shared" si="18"/>
        <v>#DIV/0!</v>
      </c>
      <c r="W33" s="115"/>
      <c r="X33" s="118" t="str">
        <f t="shared" si="19"/>
        <v>Fluvius West</v>
      </c>
      <c r="Y33" s="101" t="e">
        <f t="shared" si="22"/>
        <v>#DIV/0!</v>
      </c>
      <c r="Z33" s="113" t="e">
        <f t="shared" si="20"/>
        <v>#DIV/0!</v>
      </c>
      <c r="AA33" s="99" t="e">
        <f t="shared" si="23"/>
        <v>#DIV/0!</v>
      </c>
      <c r="AB33" s="100" t="e">
        <f t="shared" si="21"/>
        <v>#DIV/0!</v>
      </c>
    </row>
    <row r="34" spans="2:31" x14ac:dyDescent="0.2">
      <c r="B34" s="263" t="str">
        <f>+Data!C27</f>
        <v>Imewo</v>
      </c>
      <c r="C34" s="94"/>
      <c r="D34" s="95"/>
      <c r="E34" s="96" t="str">
        <f t="shared" si="12"/>
        <v/>
      </c>
      <c r="F34" s="97"/>
      <c r="G34" s="95"/>
      <c r="H34" s="96" t="str">
        <f t="shared" si="13"/>
        <v/>
      </c>
      <c r="I34" s="98"/>
      <c r="J34" s="95"/>
      <c r="K34" s="96" t="str">
        <f t="shared" si="14"/>
        <v/>
      </c>
      <c r="L34" s="98"/>
      <c r="M34" s="95"/>
      <c r="N34" s="96" t="str">
        <f t="shared" si="15"/>
        <v/>
      </c>
      <c r="O34" s="98"/>
      <c r="P34" s="95"/>
      <c r="Q34" s="96" t="str">
        <f t="shared" si="16"/>
        <v/>
      </c>
      <c r="R34" s="98"/>
      <c r="S34" s="95"/>
      <c r="T34" s="96" t="str">
        <f t="shared" si="17"/>
        <v/>
      </c>
      <c r="V34" s="101" t="e">
        <f t="shared" si="18"/>
        <v>#DIV/0!</v>
      </c>
      <c r="W34" s="115"/>
      <c r="X34" s="118" t="str">
        <f t="shared" si="19"/>
        <v>Imewo</v>
      </c>
      <c r="Y34" s="101" t="e">
        <f t="shared" si="22"/>
        <v>#DIV/0!</v>
      </c>
      <c r="Z34" s="113" t="e">
        <f t="shared" si="20"/>
        <v>#DIV/0!</v>
      </c>
      <c r="AA34" s="99" t="e">
        <f t="shared" si="23"/>
        <v>#DIV/0!</v>
      </c>
      <c r="AB34" s="100" t="e">
        <f t="shared" si="21"/>
        <v>#DIV/0!</v>
      </c>
    </row>
    <row r="35" spans="2:31" x14ac:dyDescent="0.2">
      <c r="B35" s="263" t="str">
        <f>+Data!C28</f>
        <v>Intergem</v>
      </c>
      <c r="C35" s="94"/>
      <c r="D35" s="95"/>
      <c r="E35" s="96" t="str">
        <f t="shared" si="12"/>
        <v/>
      </c>
      <c r="F35" s="97"/>
      <c r="G35" s="95"/>
      <c r="H35" s="96" t="str">
        <f t="shared" si="13"/>
        <v/>
      </c>
      <c r="I35" s="98"/>
      <c r="J35" s="95"/>
      <c r="K35" s="96" t="str">
        <f t="shared" si="14"/>
        <v/>
      </c>
      <c r="L35" s="98"/>
      <c r="M35" s="95"/>
      <c r="N35" s="96" t="str">
        <f t="shared" si="15"/>
        <v/>
      </c>
      <c r="O35" s="98"/>
      <c r="P35" s="95"/>
      <c r="Q35" s="96" t="str">
        <f t="shared" si="16"/>
        <v/>
      </c>
      <c r="R35" s="98"/>
      <c r="S35" s="95"/>
      <c r="T35" s="96" t="str">
        <f t="shared" si="17"/>
        <v/>
      </c>
      <c r="V35" s="101" t="e">
        <f t="shared" si="18"/>
        <v>#DIV/0!</v>
      </c>
      <c r="W35" s="115"/>
      <c r="X35" s="118" t="str">
        <f t="shared" si="19"/>
        <v>Intergem</v>
      </c>
      <c r="Y35" s="101" t="e">
        <f t="shared" si="22"/>
        <v>#DIV/0!</v>
      </c>
      <c r="Z35" s="113" t="e">
        <f t="shared" si="20"/>
        <v>#DIV/0!</v>
      </c>
      <c r="AA35" s="99" t="e">
        <f t="shared" si="23"/>
        <v>#DIV/0!</v>
      </c>
      <c r="AB35" s="100" t="e">
        <f t="shared" si="21"/>
        <v>#DIV/0!</v>
      </c>
    </row>
    <row r="36" spans="2:31" x14ac:dyDescent="0.2">
      <c r="B36" s="263" t="str">
        <f>+Data!C29</f>
        <v>Iveka</v>
      </c>
      <c r="C36" s="94"/>
      <c r="D36" s="95"/>
      <c r="E36" s="96" t="str">
        <f t="shared" si="12"/>
        <v/>
      </c>
      <c r="F36" s="97"/>
      <c r="G36" s="95"/>
      <c r="H36" s="96" t="str">
        <f t="shared" si="13"/>
        <v/>
      </c>
      <c r="I36" s="98"/>
      <c r="J36" s="95"/>
      <c r="K36" s="96" t="str">
        <f t="shared" si="14"/>
        <v/>
      </c>
      <c r="L36" s="98"/>
      <c r="M36" s="95"/>
      <c r="N36" s="96" t="str">
        <f t="shared" si="15"/>
        <v/>
      </c>
      <c r="O36" s="98"/>
      <c r="P36" s="95"/>
      <c r="Q36" s="96" t="str">
        <f t="shared" si="16"/>
        <v/>
      </c>
      <c r="R36" s="98"/>
      <c r="S36" s="95"/>
      <c r="T36" s="96" t="str">
        <f t="shared" si="17"/>
        <v/>
      </c>
      <c r="V36" s="101" t="e">
        <f t="shared" si="18"/>
        <v>#DIV/0!</v>
      </c>
      <c r="W36" s="115"/>
      <c r="X36" s="118" t="str">
        <f t="shared" si="19"/>
        <v>Iveka</v>
      </c>
      <c r="Y36" s="101" t="e">
        <f t="shared" si="22"/>
        <v>#DIV/0!</v>
      </c>
      <c r="Z36" s="113" t="e">
        <f t="shared" si="20"/>
        <v>#DIV/0!</v>
      </c>
      <c r="AA36" s="99" t="e">
        <f t="shared" si="23"/>
        <v>#DIV/0!</v>
      </c>
      <c r="AB36" s="100" t="e">
        <f t="shared" si="21"/>
        <v>#DIV/0!</v>
      </c>
    </row>
    <row r="37" spans="2:31" x14ac:dyDescent="0.2">
      <c r="B37" s="263" t="str">
        <f>+Data!C30</f>
        <v>Iverlek</v>
      </c>
      <c r="C37" s="94"/>
      <c r="D37" s="95"/>
      <c r="E37" s="96" t="str">
        <f t="shared" si="12"/>
        <v/>
      </c>
      <c r="F37" s="97"/>
      <c r="G37" s="95"/>
      <c r="H37" s="96" t="str">
        <f t="shared" si="13"/>
        <v/>
      </c>
      <c r="I37" s="98"/>
      <c r="J37" s="95"/>
      <c r="K37" s="96" t="str">
        <f t="shared" si="14"/>
        <v/>
      </c>
      <c r="L37" s="98"/>
      <c r="M37" s="95"/>
      <c r="N37" s="96" t="str">
        <f t="shared" si="15"/>
        <v/>
      </c>
      <c r="O37" s="98"/>
      <c r="P37" s="95"/>
      <c r="Q37" s="96" t="str">
        <f t="shared" si="16"/>
        <v/>
      </c>
      <c r="R37" s="98"/>
      <c r="S37" s="95"/>
      <c r="T37" s="96" t="str">
        <f t="shared" si="17"/>
        <v/>
      </c>
      <c r="V37" s="101" t="e">
        <f t="shared" si="18"/>
        <v>#DIV/0!</v>
      </c>
      <c r="W37" s="115"/>
      <c r="X37" s="118" t="str">
        <f t="shared" si="19"/>
        <v>Iverlek</v>
      </c>
      <c r="Y37" s="101" t="e">
        <f t="shared" si="22"/>
        <v>#DIV/0!</v>
      </c>
      <c r="Z37" s="113" t="e">
        <f t="shared" si="20"/>
        <v>#DIV/0!</v>
      </c>
      <c r="AA37" s="99" t="e">
        <f t="shared" si="23"/>
        <v>#DIV/0!</v>
      </c>
      <c r="AB37" s="100" t="e">
        <f t="shared" si="21"/>
        <v>#DIV/0!</v>
      </c>
    </row>
    <row r="38" spans="2:31" ht="13.5" thickBot="1" x14ac:dyDescent="0.25">
      <c r="B38" s="264" t="str">
        <f>+Data!C31</f>
        <v>Sibelgas</v>
      </c>
      <c r="C38" s="102"/>
      <c r="D38" s="103"/>
      <c r="E38" s="104" t="str">
        <f t="shared" si="12"/>
        <v/>
      </c>
      <c r="F38" s="105"/>
      <c r="G38" s="103"/>
      <c r="H38" s="104" t="str">
        <f t="shared" si="13"/>
        <v/>
      </c>
      <c r="I38" s="106"/>
      <c r="J38" s="103"/>
      <c r="K38" s="104" t="str">
        <f t="shared" si="14"/>
        <v/>
      </c>
      <c r="L38" s="106"/>
      <c r="M38" s="103"/>
      <c r="N38" s="104" t="str">
        <f t="shared" si="15"/>
        <v/>
      </c>
      <c r="O38" s="106"/>
      <c r="P38" s="103"/>
      <c r="Q38" s="104" t="str">
        <f t="shared" si="16"/>
        <v/>
      </c>
      <c r="R38" s="106"/>
      <c r="S38" s="103"/>
      <c r="T38" s="104" t="str">
        <f t="shared" si="17"/>
        <v/>
      </c>
      <c r="V38" s="101" t="e">
        <f t="shared" si="18"/>
        <v>#DIV/0!</v>
      </c>
      <c r="W38" s="115"/>
      <c r="X38" s="118" t="str">
        <f t="shared" si="19"/>
        <v>Sibelgas</v>
      </c>
      <c r="Y38" s="101" t="e">
        <f t="shared" si="22"/>
        <v>#DIV/0!</v>
      </c>
      <c r="Z38" s="113" t="e">
        <f t="shared" si="20"/>
        <v>#DIV/0!</v>
      </c>
      <c r="AA38" s="99" t="e">
        <f t="shared" si="23"/>
        <v>#DIV/0!</v>
      </c>
      <c r="AB38" s="100" t="e">
        <f t="shared" si="21"/>
        <v>#DIV/0!</v>
      </c>
    </row>
    <row r="39" spans="2:31" ht="13.5" thickBot="1" x14ac:dyDescent="0.25">
      <c r="U39" s="107" t="s">
        <v>29</v>
      </c>
      <c r="V39" s="108" t="e">
        <f>MAX(V30:V38)</f>
        <v>#DIV/0!</v>
      </c>
      <c r="W39" s="116"/>
      <c r="X39" s="109"/>
      <c r="Y39" s="109"/>
      <c r="Z39" s="107" t="s">
        <v>11</v>
      </c>
      <c r="AA39" s="110" t="e">
        <f>SUM(AA30:AA38)</f>
        <v>#DIV/0!</v>
      </c>
      <c r="AB39" s="111" t="e">
        <f>SUM(AB30:AB38)</f>
        <v>#DIV/0!</v>
      </c>
      <c r="AC39" s="41"/>
      <c r="AD39" s="41"/>
      <c r="AE39" s="41"/>
    </row>
    <row r="40" spans="2:31" ht="13.5" thickBot="1" x14ac:dyDescent="0.25"/>
    <row r="41" spans="2:31" ht="15" customHeight="1" thickBot="1" x14ac:dyDescent="0.25">
      <c r="X41" s="333" t="s">
        <v>30</v>
      </c>
      <c r="Y41" s="334"/>
      <c r="Z41" s="334"/>
      <c r="AA41" s="112">
        <f>+'Q%'!P20</f>
        <v>19.999999999999996</v>
      </c>
    </row>
  </sheetData>
  <mergeCells count="19">
    <mergeCell ref="O28:Q28"/>
    <mergeCell ref="I9:K9"/>
    <mergeCell ref="I28:K28"/>
    <mergeCell ref="X23:Z23"/>
    <mergeCell ref="X41:Z41"/>
    <mergeCell ref="L9:N9"/>
    <mergeCell ref="R9:T9"/>
    <mergeCell ref="R28:T28"/>
    <mergeCell ref="O9:Q9"/>
    <mergeCell ref="D3:F3"/>
    <mergeCell ref="D4:F4"/>
    <mergeCell ref="B9:B10"/>
    <mergeCell ref="C9:E9"/>
    <mergeCell ref="F9:H9"/>
    <mergeCell ref="B28:B29"/>
    <mergeCell ref="D5:F5"/>
    <mergeCell ref="C28:E28"/>
    <mergeCell ref="F28:H28"/>
    <mergeCell ref="L28:N28"/>
  </mergeCells>
  <pageMargins left="0.7" right="0.7" top="0.75" bottom="0.75" header="0.3" footer="0.3"/>
  <pageSetup paperSize="8" scale="38" orientation="landscape" r:id="rId1"/>
  <colBreaks count="1" manualBreakCount="1">
    <brk id="2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1DCFF32C-DF1E-41C1-9FE7-FF4172CB2E5E}">
  <ds:schemaRefs>
    <ds:schemaRef ds:uri="http://schemas.microsoft.com/sharepoint/v3/contenttype/forms"/>
  </ds:schemaRefs>
</ds:datastoreItem>
</file>

<file path=customXml/itemProps2.xml><?xml version="1.0" encoding="utf-8"?>
<ds:datastoreItem xmlns:ds="http://schemas.openxmlformats.org/officeDocument/2006/customXml" ds:itemID="{67C5A68F-7141-4292-8B27-46BB7D74175B}"/>
</file>

<file path=customXml/itemProps3.xml><?xml version="1.0" encoding="utf-8"?>
<ds:datastoreItem xmlns:ds="http://schemas.openxmlformats.org/officeDocument/2006/customXml" ds:itemID="{F0E9BBE5-C5EE-4684-BEBC-E37FFF0D82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vt:i4>
      </vt:variant>
    </vt:vector>
  </HeadingPairs>
  <TitlesOfParts>
    <vt:vector size="14" baseType="lpstr">
      <vt:lpstr>Instructies</vt:lpstr>
      <vt:lpstr>Q%</vt:lpstr>
      <vt:lpstr>Data</vt:lpstr>
      <vt:lpstr>A1</vt:lpstr>
      <vt:lpstr>A2</vt:lpstr>
      <vt:lpstr>A3</vt:lpstr>
      <vt:lpstr>A4</vt:lpstr>
      <vt:lpstr>D1</vt:lpstr>
      <vt:lpstr>D2</vt:lpstr>
      <vt:lpstr>Sorteren</vt:lpstr>
      <vt:lpstr>Berekeningsmodel Q E</vt:lpstr>
      <vt:lpstr>Berekeningsmodel Q G</vt:lpstr>
      <vt:lpstr>capelek</vt:lpstr>
      <vt:lpstr>capgas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Michiels</dc:creator>
  <cp:lastModifiedBy>Jonas De Smit</cp:lastModifiedBy>
  <dcterms:created xsi:type="dcterms:W3CDTF">2015-01-16T10:35:52Z</dcterms:created>
  <dcterms:modified xsi:type="dcterms:W3CDTF">2025-11-14T13:38:57Z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VREGPost">
    <vt:lpwstr/>
  </property>
  <property fmtid="{D5CDD505-2E9C-101B-9397-08002B2CF9AE}" pid="4" name="DocumentumID">
    <vt:lpwstr/>
  </property>
  <property fmtid="{D5CDD505-2E9C-101B-9397-08002B2CF9AE}" pid="5" name="OrigineelGemaaktDoor">
    <vt:lpwstr/>
  </property>
  <property fmtid="{D5CDD505-2E9C-101B-9397-08002B2CF9AE}" pid="6" name="OrigineelGewijzigdDoor">
    <vt:lpwstr/>
  </property>
  <property fmtid="{D5CDD505-2E9C-101B-9397-08002B2CF9AE}" pid="7" name="DocumentCategorie">
    <vt:lpwstr/>
  </property>
</Properties>
</file>