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4 Q2 TM 2025-2028/Consultatiedocumenten/"/>
    </mc:Choice>
  </mc:AlternateContent>
  <xr:revisionPtr revIDLastSave="2800" documentId="113_{A35F82F8-BA4D-4661-8402-F0B9AA12A0AF}" xr6:coauthVersionLast="47" xr6:coauthVersionMax="47" xr10:uidLastSave="{F0FA36B3-E41A-43EA-A3C8-D45183E7A3E4}"/>
  <bookViews>
    <workbookView xWindow="-108" yWindow="-108" windowWidth="30936" windowHeight="16896" tabRatio="815" xr2:uid="{00000000-000D-0000-FFFF-FFFF00000000}"/>
  </bookViews>
  <sheets>
    <sheet name="TITELBLAD" sheetId="13" r:id="rId1"/>
    <sheet name="ASSUMPTIES" sheetId="15" r:id="rId2"/>
    <sheet name="T1" sheetId="69" r:id="rId3"/>
    <sheet name="T2" sheetId="81" r:id="rId4"/>
    <sheet name="T3 - Overzicht" sheetId="16" r:id="rId5"/>
    <sheet name="T4" sheetId="17" r:id="rId6"/>
    <sheet name="T5A" sheetId="18" r:id="rId7"/>
    <sheet name="T5B" sheetId="76" r:id="rId8"/>
    <sheet name="T6" sheetId="22" r:id="rId9"/>
    <sheet name="T7" sheetId="24" r:id="rId10"/>
    <sheet name="T8" sheetId="25" r:id="rId11"/>
    <sheet name="T9" sheetId="26" r:id="rId12"/>
    <sheet name="T10A" sheetId="82" r:id="rId13"/>
    <sheet name="T10B" sheetId="84" r:id="rId14"/>
    <sheet name="Blad1" sheetId="85" r:id="rId15"/>
  </sheets>
  <definedNames>
    <definedName name="SAPBEXrevision" hidden="1">10</definedName>
    <definedName name="SAPBEXsysID" hidden="1">"BP1"</definedName>
    <definedName name="SAPBEXwbID" hidden="1">"4751QXOCD67AJ09JC6QHJDZY6"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5" i="25" l="1"/>
  <c r="D115" i="25"/>
  <c r="G136" i="69"/>
  <c r="H136" i="69"/>
  <c r="I136" i="69"/>
  <c r="J43" i="69"/>
  <c r="H43" i="69"/>
  <c r="I43" i="69"/>
  <c r="G43" i="69"/>
  <c r="I19" i="18"/>
  <c r="P38" i="18"/>
  <c r="I38" i="18"/>
  <c r="F38" i="18"/>
  <c r="R38" i="18" s="1"/>
  <c r="P37" i="18"/>
  <c r="I37" i="18"/>
  <c r="F37" i="18"/>
  <c r="R37" i="18" s="1"/>
  <c r="P36" i="18"/>
  <c r="I36" i="18"/>
  <c r="F36" i="18"/>
  <c r="P31" i="18"/>
  <c r="I31" i="18"/>
  <c r="F31" i="18"/>
  <c r="P30" i="18"/>
  <c r="I30" i="18"/>
  <c r="F30" i="18"/>
  <c r="R30" i="18" s="1"/>
  <c r="P29" i="18"/>
  <c r="I29" i="18"/>
  <c r="F29" i="18"/>
  <c r="R29" i="18" s="1"/>
  <c r="P27" i="18"/>
  <c r="I27" i="18"/>
  <c r="F27" i="18"/>
  <c r="P24" i="18"/>
  <c r="I24" i="18"/>
  <c r="F24" i="18"/>
  <c r="P26" i="18"/>
  <c r="I26" i="18"/>
  <c r="F26" i="18"/>
  <c r="R26" i="18" s="1"/>
  <c r="R36" i="18" l="1"/>
  <c r="R31" i="18"/>
  <c r="R27" i="18"/>
  <c r="R24" i="18"/>
  <c r="F52" i="26" l="1"/>
  <c r="B165" i="81"/>
  <c r="B189" i="69"/>
  <c r="B84" i="81"/>
  <c r="B96" i="69"/>
  <c r="J175" i="69"/>
  <c r="J176" i="69"/>
  <c r="Q49" i="76"/>
  <c r="F42" i="22" l="1"/>
  <c r="E26" i="22"/>
  <c r="C42" i="22"/>
  <c r="B15" i="22" l="1"/>
  <c r="F50" i="26" l="1"/>
  <c r="F51" i="26"/>
  <c r="A63" i="25"/>
  <c r="A67" i="25" s="1"/>
  <c r="A72" i="25" s="1"/>
  <c r="F65" i="25"/>
  <c r="F64" i="25"/>
  <c r="F63" i="25"/>
  <c r="H33" i="22"/>
  <c r="E33" i="22"/>
  <c r="E32" i="22"/>
  <c r="H32" i="22"/>
  <c r="B49" i="13"/>
  <c r="B48" i="13"/>
  <c r="B47" i="13"/>
  <c r="B46" i="13"/>
  <c r="B1" i="84"/>
  <c r="H36" i="82"/>
  <c r="G36" i="82"/>
  <c r="E46" i="82" l="1"/>
  <c r="E24" i="82"/>
  <c r="E14" i="82"/>
  <c r="G14" i="82"/>
  <c r="C14" i="82"/>
  <c r="F75" i="26"/>
  <c r="E71" i="26"/>
  <c r="D71" i="26"/>
  <c r="E67" i="26"/>
  <c r="D67" i="26"/>
  <c r="F73" i="26"/>
  <c r="E81" i="26" l="1"/>
  <c r="E46" i="26"/>
  <c r="E61" i="25"/>
  <c r="E57" i="25"/>
  <c r="E45" i="25"/>
  <c r="E41" i="25"/>
  <c r="E32" i="26"/>
  <c r="E30" i="26"/>
  <c r="D30" i="26"/>
  <c r="D72" i="25"/>
  <c r="F34" i="26"/>
  <c r="F36" i="26"/>
  <c r="F38" i="26"/>
  <c r="F40" i="26"/>
  <c r="F42" i="26"/>
  <c r="F48" i="26"/>
  <c r="F55" i="26"/>
  <c r="F56" i="26"/>
  <c r="F57" i="26"/>
  <c r="F58" i="26"/>
  <c r="F61" i="26"/>
  <c r="F62" i="26"/>
  <c r="F64" i="26"/>
  <c r="F65" i="26"/>
  <c r="F67" i="26"/>
  <c r="F68" i="26"/>
  <c r="F69" i="26"/>
  <c r="F71" i="26"/>
  <c r="F72" i="26"/>
  <c r="F77" i="26"/>
  <c r="E25" i="26"/>
  <c r="F15" i="26"/>
  <c r="F14" i="26"/>
  <c r="E10" i="26"/>
  <c r="D83" i="26" s="1"/>
  <c r="E9" i="26"/>
  <c r="E79" i="26" s="1"/>
  <c r="E8" i="26"/>
  <c r="E8" i="25"/>
  <c r="E111" i="25" s="1"/>
  <c r="E10" i="25"/>
  <c r="E63" i="26"/>
  <c r="E60" i="26"/>
  <c r="E54" i="26"/>
  <c r="E44" i="26"/>
  <c r="E16" i="26"/>
  <c r="D3" i="24"/>
  <c r="D4" i="24"/>
  <c r="D11" i="24"/>
  <c r="D10" i="24"/>
  <c r="D6" i="24"/>
  <c r="E83" i="26" l="1"/>
  <c r="E84" i="26" s="1"/>
  <c r="D26" i="26"/>
  <c r="F27" i="25"/>
  <c r="F30" i="26"/>
  <c r="F21" i="26"/>
  <c r="D45" i="25"/>
  <c r="D61" i="25"/>
  <c r="D41" i="25"/>
  <c r="D57" i="25"/>
  <c r="E80" i="26"/>
  <c r="F13" i="26"/>
  <c r="F19" i="26"/>
  <c r="F18" i="26"/>
  <c r="F20" i="26"/>
  <c r="F17" i="26"/>
  <c r="F22" i="26"/>
  <c r="F23" i="26"/>
  <c r="D32" i="26" l="1"/>
  <c r="D16" i="26"/>
  <c r="D25" i="26"/>
  <c r="F25" i="26" l="1"/>
  <c r="C3" i="17" l="1"/>
  <c r="J11" i="69" l="1"/>
  <c r="J13" i="69"/>
  <c r="J70" i="69"/>
  <c r="J64" i="69"/>
  <c r="F55" i="25"/>
  <c r="F53" i="25"/>
  <c r="F51" i="25"/>
  <c r="E72" i="25"/>
  <c r="F102" i="25"/>
  <c r="F70" i="25"/>
  <c r="F69" i="25"/>
  <c r="F68" i="25"/>
  <c r="E67" i="25"/>
  <c r="D67" i="25"/>
  <c r="F67" i="25" s="1"/>
  <c r="D78" i="25"/>
  <c r="E78" i="25"/>
  <c r="E86" i="25"/>
  <c r="D86" i="25"/>
  <c r="E90" i="25"/>
  <c r="D90" i="25"/>
  <c r="D100" i="25"/>
  <c r="F103" i="25"/>
  <c r="F104" i="25"/>
  <c r="F35" i="25"/>
  <c r="F109" i="25"/>
  <c r="F107" i="25"/>
  <c r="A78" i="25"/>
  <c r="A82" i="25" s="1"/>
  <c r="A84" i="25" s="1"/>
  <c r="A86" i="25" s="1"/>
  <c r="F59" i="25"/>
  <c r="F47" i="25"/>
  <c r="F105" i="25"/>
  <c r="F101" i="25"/>
  <c r="F98" i="25"/>
  <c r="F96" i="25"/>
  <c r="F94" i="25"/>
  <c r="F92" i="25"/>
  <c r="F91" i="25"/>
  <c r="F88" i="25"/>
  <c r="F87" i="25"/>
  <c r="F84" i="25"/>
  <c r="F82" i="25"/>
  <c r="F80" i="25"/>
  <c r="F79" i="25"/>
  <c r="F76" i="25"/>
  <c r="F75" i="25"/>
  <c r="F74" i="25"/>
  <c r="F73" i="25"/>
  <c r="F49" i="25"/>
  <c r="F43" i="25"/>
  <c r="F39" i="25"/>
  <c r="F31" i="25"/>
  <c r="E100" i="25"/>
  <c r="F14" i="25"/>
  <c r="F15" i="25"/>
  <c r="F16" i="25"/>
  <c r="F17" i="25"/>
  <c r="F18" i="25"/>
  <c r="F19" i="25"/>
  <c r="F20" i="25"/>
  <c r="F21" i="25"/>
  <c r="F22" i="25"/>
  <c r="F23" i="25"/>
  <c r="F24" i="25"/>
  <c r="F13" i="25"/>
  <c r="E26" i="25"/>
  <c r="E9" i="25"/>
  <c r="E112" i="25" s="1"/>
  <c r="K49" i="76"/>
  <c r="G49" i="76"/>
  <c r="H49" i="76"/>
  <c r="I22" i="76"/>
  <c r="I47" i="76"/>
  <c r="I46" i="76"/>
  <c r="I45" i="76"/>
  <c r="I44" i="76"/>
  <c r="I43" i="76"/>
  <c r="I42" i="76"/>
  <c r="I41" i="76"/>
  <c r="I40" i="76"/>
  <c r="I39" i="76"/>
  <c r="I38" i="76"/>
  <c r="I37" i="76"/>
  <c r="I36" i="76"/>
  <c r="I35" i="76"/>
  <c r="I34" i="76"/>
  <c r="I33" i="76"/>
  <c r="I32" i="76"/>
  <c r="I31" i="76"/>
  <c r="I30" i="76"/>
  <c r="I29" i="76"/>
  <c r="I28" i="76"/>
  <c r="I27" i="76"/>
  <c r="I26" i="76"/>
  <c r="I25" i="76"/>
  <c r="I24" i="76"/>
  <c r="I23" i="76"/>
  <c r="I21" i="76"/>
  <c r="I20" i="76"/>
  <c r="I19" i="76"/>
  <c r="F42" i="76"/>
  <c r="P42" i="76"/>
  <c r="F43" i="76"/>
  <c r="P43" i="76"/>
  <c r="F44" i="76"/>
  <c r="P44" i="76"/>
  <c r="F45" i="76"/>
  <c r="P45" i="76"/>
  <c r="F46" i="76"/>
  <c r="P46" i="76"/>
  <c r="F47" i="76"/>
  <c r="P47" i="76"/>
  <c r="H74" i="18"/>
  <c r="I72" i="18"/>
  <c r="I71" i="18"/>
  <c r="I70" i="18"/>
  <c r="I69" i="18"/>
  <c r="I68" i="18"/>
  <c r="I67" i="18"/>
  <c r="I66" i="18"/>
  <c r="I65" i="18"/>
  <c r="I64" i="18"/>
  <c r="I63" i="18"/>
  <c r="I62" i="18"/>
  <c r="I61" i="18"/>
  <c r="I60" i="18"/>
  <c r="I59" i="18"/>
  <c r="I58" i="18"/>
  <c r="I57" i="18"/>
  <c r="I56" i="18"/>
  <c r="I55" i="18"/>
  <c r="I54" i="18"/>
  <c r="I53" i="18"/>
  <c r="I52" i="18"/>
  <c r="I51" i="18"/>
  <c r="I50" i="18"/>
  <c r="I49" i="18"/>
  <c r="I48" i="18"/>
  <c r="I47" i="18"/>
  <c r="I46" i="18"/>
  <c r="I45" i="18"/>
  <c r="I44" i="18"/>
  <c r="I43" i="18"/>
  <c r="I42" i="18"/>
  <c r="I41" i="18"/>
  <c r="I40" i="18"/>
  <c r="I39" i="18"/>
  <c r="I35" i="18"/>
  <c r="I34" i="18"/>
  <c r="I33" i="18"/>
  <c r="I32" i="18"/>
  <c r="I28" i="18"/>
  <c r="I25" i="18"/>
  <c r="I23" i="18"/>
  <c r="I22" i="18"/>
  <c r="I21" i="18"/>
  <c r="I20" i="18"/>
  <c r="E74" i="18"/>
  <c r="D74" i="18"/>
  <c r="F71" i="18"/>
  <c r="P71" i="18"/>
  <c r="H26" i="17"/>
  <c r="J26" i="17"/>
  <c r="K26" i="17"/>
  <c r="L26" i="17"/>
  <c r="I24" i="17"/>
  <c r="I23" i="17"/>
  <c r="I22" i="17"/>
  <c r="I233" i="81"/>
  <c r="F16" i="26"/>
  <c r="O233" i="81"/>
  <c r="N233" i="81"/>
  <c r="M233" i="81"/>
  <c r="L233" i="81"/>
  <c r="K233" i="81"/>
  <c r="J233" i="81"/>
  <c r="H233" i="81"/>
  <c r="G233" i="81"/>
  <c r="O231" i="81"/>
  <c r="N231" i="81"/>
  <c r="M231" i="81"/>
  <c r="L231" i="81"/>
  <c r="K231" i="81"/>
  <c r="J231" i="81"/>
  <c r="I231" i="81"/>
  <c r="H231" i="81"/>
  <c r="G231" i="81"/>
  <c r="O229" i="81"/>
  <c r="N229" i="81"/>
  <c r="M229" i="81"/>
  <c r="L229" i="81"/>
  <c r="K229" i="81"/>
  <c r="J229" i="81"/>
  <c r="I229" i="81"/>
  <c r="H229" i="81"/>
  <c r="G229" i="81"/>
  <c r="O226" i="81"/>
  <c r="N226" i="81"/>
  <c r="M226" i="81"/>
  <c r="L226" i="81"/>
  <c r="K226" i="81"/>
  <c r="J226" i="81"/>
  <c r="I226" i="81"/>
  <c r="H226" i="81"/>
  <c r="G226" i="81"/>
  <c r="O225" i="81"/>
  <c r="N225" i="81"/>
  <c r="M225" i="81"/>
  <c r="L225" i="81"/>
  <c r="K225" i="81"/>
  <c r="J225" i="81"/>
  <c r="I225" i="81"/>
  <c r="H225" i="81"/>
  <c r="G225" i="81"/>
  <c r="O221" i="81"/>
  <c r="N221" i="81"/>
  <c r="M221" i="81"/>
  <c r="L221" i="81"/>
  <c r="K221" i="81"/>
  <c r="J221" i="81"/>
  <c r="I221" i="81"/>
  <c r="H221" i="81"/>
  <c r="G221" i="81"/>
  <c r="O220" i="81"/>
  <c r="N220" i="81"/>
  <c r="M220" i="81"/>
  <c r="L220" i="81"/>
  <c r="K220" i="81"/>
  <c r="J220" i="81"/>
  <c r="I220" i="81"/>
  <c r="H220" i="81"/>
  <c r="G220" i="81"/>
  <c r="O218" i="81"/>
  <c r="N218" i="81"/>
  <c r="M218" i="81"/>
  <c r="L218" i="81"/>
  <c r="K218" i="81"/>
  <c r="J218" i="81"/>
  <c r="I218" i="81"/>
  <c r="H218" i="81"/>
  <c r="G218" i="81"/>
  <c r="O217" i="81"/>
  <c r="N217" i="81"/>
  <c r="M217" i="81"/>
  <c r="L217" i="81"/>
  <c r="K217" i="81"/>
  <c r="J217" i="81"/>
  <c r="I217" i="81"/>
  <c r="H217" i="81"/>
  <c r="G217" i="81"/>
  <c r="O215" i="81"/>
  <c r="N215" i="81"/>
  <c r="M215" i="81"/>
  <c r="L215" i="81"/>
  <c r="K215" i="81"/>
  <c r="J215" i="81"/>
  <c r="I215" i="81"/>
  <c r="H215" i="81"/>
  <c r="G215" i="81"/>
  <c r="O212" i="81"/>
  <c r="N212" i="81"/>
  <c r="M212" i="81"/>
  <c r="L212" i="81"/>
  <c r="K212" i="81"/>
  <c r="J212" i="81"/>
  <c r="I212" i="81"/>
  <c r="H212" i="81"/>
  <c r="G212" i="81"/>
  <c r="O210" i="81"/>
  <c r="N210" i="81"/>
  <c r="M210" i="81"/>
  <c r="L210" i="81"/>
  <c r="K210" i="81"/>
  <c r="J210" i="81"/>
  <c r="I210" i="81"/>
  <c r="H210" i="81"/>
  <c r="G210" i="81"/>
  <c r="O209" i="81"/>
  <c r="N209" i="81"/>
  <c r="M209" i="81"/>
  <c r="L209" i="81"/>
  <c r="K209" i="81"/>
  <c r="J209" i="81"/>
  <c r="I209" i="81"/>
  <c r="H209" i="81"/>
  <c r="G209" i="81"/>
  <c r="O208" i="81"/>
  <c r="N208" i="81"/>
  <c r="M208" i="81"/>
  <c r="L208" i="81"/>
  <c r="K208" i="81"/>
  <c r="J208" i="81"/>
  <c r="I208" i="81"/>
  <c r="H208" i="81"/>
  <c r="G208" i="81"/>
  <c r="O194" i="81"/>
  <c r="N194" i="81"/>
  <c r="M194" i="81"/>
  <c r="L194" i="81"/>
  <c r="K194" i="81"/>
  <c r="J194" i="81"/>
  <c r="I194" i="81"/>
  <c r="H194" i="81"/>
  <c r="G194" i="81"/>
  <c r="O192" i="81"/>
  <c r="N192" i="81"/>
  <c r="M192" i="81"/>
  <c r="L192" i="81"/>
  <c r="K192" i="81"/>
  <c r="J192" i="81"/>
  <c r="I192" i="81"/>
  <c r="H192" i="81"/>
  <c r="G192" i="81"/>
  <c r="O189" i="81"/>
  <c r="N189" i="81"/>
  <c r="M189" i="81"/>
  <c r="L189" i="81"/>
  <c r="K189" i="81"/>
  <c r="J189" i="81"/>
  <c r="I189" i="81"/>
  <c r="H189" i="81"/>
  <c r="G189" i="81"/>
  <c r="O186" i="81"/>
  <c r="N186" i="81"/>
  <c r="M186" i="81"/>
  <c r="L186" i="81"/>
  <c r="K186" i="81"/>
  <c r="J186" i="81"/>
  <c r="I186" i="81"/>
  <c r="H186" i="81"/>
  <c r="G186" i="81"/>
  <c r="O185" i="81"/>
  <c r="N185" i="81"/>
  <c r="M185" i="81"/>
  <c r="L185" i="81"/>
  <c r="K185" i="81"/>
  <c r="J185" i="81"/>
  <c r="I185" i="81"/>
  <c r="H185" i="81"/>
  <c r="G185" i="81"/>
  <c r="O181" i="81"/>
  <c r="N181" i="81"/>
  <c r="M181" i="81"/>
  <c r="L181" i="81"/>
  <c r="K181" i="81"/>
  <c r="J181" i="81"/>
  <c r="I181" i="81"/>
  <c r="H181" i="81"/>
  <c r="G181" i="81"/>
  <c r="O180" i="81"/>
  <c r="N180" i="81"/>
  <c r="M180" i="81"/>
  <c r="L180" i="81"/>
  <c r="K180" i="81"/>
  <c r="J180" i="81"/>
  <c r="I180" i="81"/>
  <c r="H180" i="81"/>
  <c r="G180" i="81"/>
  <c r="O179" i="81"/>
  <c r="N179" i="81"/>
  <c r="M179" i="81"/>
  <c r="L179" i="81"/>
  <c r="K179" i="81"/>
  <c r="J179" i="81"/>
  <c r="I179" i="81"/>
  <c r="H179" i="81"/>
  <c r="G179" i="81"/>
  <c r="O178" i="81"/>
  <c r="N178" i="81"/>
  <c r="M178" i="81"/>
  <c r="L178" i="81"/>
  <c r="K178" i="81"/>
  <c r="J178" i="81"/>
  <c r="I178" i="81"/>
  <c r="H178" i="81"/>
  <c r="G178" i="81"/>
  <c r="O175" i="81"/>
  <c r="N175" i="81"/>
  <c r="M175" i="81"/>
  <c r="L175" i="81"/>
  <c r="K175" i="81"/>
  <c r="J175" i="81"/>
  <c r="I175" i="81"/>
  <c r="H175" i="81"/>
  <c r="G175" i="81"/>
  <c r="P154" i="81"/>
  <c r="P152" i="81"/>
  <c r="P150" i="81"/>
  <c r="P147" i="81"/>
  <c r="P146" i="81"/>
  <c r="O144" i="81"/>
  <c r="N144" i="81"/>
  <c r="M144" i="81"/>
  <c r="L144" i="81"/>
  <c r="K144" i="81"/>
  <c r="J144" i="81"/>
  <c r="I144" i="81"/>
  <c r="H144" i="81"/>
  <c r="G144" i="81"/>
  <c r="P142" i="81"/>
  <c r="P141" i="81"/>
  <c r="P139" i="81"/>
  <c r="P138" i="81"/>
  <c r="P136" i="81"/>
  <c r="P133" i="81"/>
  <c r="P131" i="81"/>
  <c r="P130" i="81"/>
  <c r="P129" i="81"/>
  <c r="O127" i="81"/>
  <c r="N127" i="81"/>
  <c r="M127" i="81"/>
  <c r="L127" i="81"/>
  <c r="K127" i="81"/>
  <c r="J127" i="81"/>
  <c r="I127" i="81"/>
  <c r="H127" i="81"/>
  <c r="G127" i="81"/>
  <c r="P115" i="81"/>
  <c r="P113" i="81"/>
  <c r="P110" i="81"/>
  <c r="P107" i="81"/>
  <c r="P106" i="81"/>
  <c r="O104" i="81"/>
  <c r="N104" i="81"/>
  <c r="M104" i="81"/>
  <c r="L104" i="81"/>
  <c r="K104" i="81"/>
  <c r="J104" i="81"/>
  <c r="I104" i="81"/>
  <c r="H104" i="81"/>
  <c r="G104" i="81"/>
  <c r="P102" i="81"/>
  <c r="P101" i="81"/>
  <c r="P100" i="81"/>
  <c r="P99" i="81"/>
  <c r="P96" i="81"/>
  <c r="O94" i="81"/>
  <c r="N94" i="81"/>
  <c r="M94" i="81"/>
  <c r="L94" i="81"/>
  <c r="K94" i="81"/>
  <c r="J94" i="81"/>
  <c r="I94" i="81"/>
  <c r="H94" i="81"/>
  <c r="H160" i="81" s="1"/>
  <c r="G94" i="81"/>
  <c r="P73" i="81"/>
  <c r="P71" i="81"/>
  <c r="P69" i="81"/>
  <c r="P66" i="81"/>
  <c r="P65" i="81"/>
  <c r="O63" i="81"/>
  <c r="N63" i="81"/>
  <c r="M63" i="81"/>
  <c r="L63" i="81"/>
  <c r="K63" i="81"/>
  <c r="J63" i="81"/>
  <c r="I63" i="81"/>
  <c r="H63" i="81"/>
  <c r="G63" i="81"/>
  <c r="P61" i="81"/>
  <c r="P60" i="81"/>
  <c r="P58" i="81"/>
  <c r="P57" i="81"/>
  <c r="P55" i="81"/>
  <c r="P52" i="81"/>
  <c r="P50" i="81"/>
  <c r="P49" i="81"/>
  <c r="P48" i="81"/>
  <c r="O46" i="81"/>
  <c r="N46" i="81"/>
  <c r="M46" i="81"/>
  <c r="L46" i="81"/>
  <c r="K46" i="81"/>
  <c r="J46" i="81"/>
  <c r="I46" i="81"/>
  <c r="H46" i="81"/>
  <c r="G46" i="81"/>
  <c r="P34" i="81"/>
  <c r="P32" i="81"/>
  <c r="P29" i="81"/>
  <c r="P26" i="81"/>
  <c r="P186" i="81" s="1"/>
  <c r="P25" i="81"/>
  <c r="O23" i="81"/>
  <c r="N23" i="81"/>
  <c r="M23" i="81"/>
  <c r="L23" i="81"/>
  <c r="K23" i="81"/>
  <c r="J23" i="81"/>
  <c r="I23" i="81"/>
  <c r="H23" i="81"/>
  <c r="G23" i="81"/>
  <c r="P21" i="81"/>
  <c r="P20" i="81"/>
  <c r="P19" i="81"/>
  <c r="P18" i="81"/>
  <c r="P15" i="81"/>
  <c r="O13" i="81"/>
  <c r="N13" i="81"/>
  <c r="N37" i="81" s="1"/>
  <c r="M13" i="81"/>
  <c r="L13" i="81"/>
  <c r="K13" i="81"/>
  <c r="J13" i="81"/>
  <c r="I13" i="81"/>
  <c r="H13" i="81"/>
  <c r="G13" i="81"/>
  <c r="B3" i="81"/>
  <c r="B1" i="81"/>
  <c r="R47" i="76" l="1"/>
  <c r="R46" i="76"/>
  <c r="R43" i="76"/>
  <c r="E116" i="25"/>
  <c r="F90" i="25"/>
  <c r="F86" i="25"/>
  <c r="N157" i="81"/>
  <c r="H79" i="81"/>
  <c r="R45" i="76"/>
  <c r="R44" i="76"/>
  <c r="R42" i="76"/>
  <c r="I49" i="76"/>
  <c r="R71" i="18"/>
  <c r="I74" i="18"/>
  <c r="I26" i="17"/>
  <c r="F32" i="26"/>
  <c r="F100" i="25"/>
  <c r="E113" i="25"/>
  <c r="F78" i="25"/>
  <c r="F26" i="25"/>
  <c r="H183" i="81"/>
  <c r="I160" i="81"/>
  <c r="I183" i="81"/>
  <c r="P215" i="81"/>
  <c r="N223" i="81"/>
  <c r="G76" i="81"/>
  <c r="M80" i="81"/>
  <c r="J160" i="81"/>
  <c r="I80" i="81"/>
  <c r="N118" i="81"/>
  <c r="N197" i="81" s="1"/>
  <c r="L80" i="81"/>
  <c r="P221" i="81"/>
  <c r="P229" i="81"/>
  <c r="G183" i="81"/>
  <c r="P192" i="81"/>
  <c r="P210" i="81"/>
  <c r="L223" i="81"/>
  <c r="K160" i="81"/>
  <c r="J183" i="81"/>
  <c r="N80" i="81"/>
  <c r="H76" i="81"/>
  <c r="O118" i="81"/>
  <c r="M118" i="81"/>
  <c r="P225" i="81"/>
  <c r="J118" i="81"/>
  <c r="G206" i="81"/>
  <c r="P212" i="81"/>
  <c r="G79" i="81"/>
  <c r="O76" i="81"/>
  <c r="I223" i="81"/>
  <c r="K157" i="81"/>
  <c r="P220" i="81"/>
  <c r="J76" i="81"/>
  <c r="P179" i="81"/>
  <c r="P185" i="81"/>
  <c r="M161" i="81"/>
  <c r="G157" i="81"/>
  <c r="P231" i="81"/>
  <c r="P189" i="81"/>
  <c r="P94" i="81"/>
  <c r="P209" i="81"/>
  <c r="K76" i="81"/>
  <c r="P180" i="81"/>
  <c r="H223" i="81"/>
  <c r="P233" i="81"/>
  <c r="M223" i="81"/>
  <c r="P63" i="81"/>
  <c r="L118" i="81"/>
  <c r="I206" i="81"/>
  <c r="O157" i="81"/>
  <c r="O79" i="81"/>
  <c r="J80" i="81"/>
  <c r="G161" i="81"/>
  <c r="O80" i="81"/>
  <c r="P175" i="81"/>
  <c r="N183" i="81"/>
  <c r="H206" i="81"/>
  <c r="H161" i="81"/>
  <c r="H162" i="81" s="1"/>
  <c r="G173" i="81"/>
  <c r="P178" i="81"/>
  <c r="O183" i="81"/>
  <c r="P217" i="81"/>
  <c r="I161" i="81"/>
  <c r="I162" i="81" s="1"/>
  <c r="P23" i="81"/>
  <c r="G118" i="81"/>
  <c r="P104" i="81"/>
  <c r="P118" i="81" s="1"/>
  <c r="J157" i="81"/>
  <c r="P218" i="81"/>
  <c r="P144" i="81"/>
  <c r="P226" i="81"/>
  <c r="H37" i="81"/>
  <c r="N206" i="81"/>
  <c r="G223" i="81"/>
  <c r="K173" i="81"/>
  <c r="O37" i="81"/>
  <c r="L76" i="81"/>
  <c r="I76" i="81"/>
  <c r="L160" i="81"/>
  <c r="P194" i="81"/>
  <c r="O161" i="81"/>
  <c r="I157" i="81"/>
  <c r="P13" i="81"/>
  <c r="P181" i="81"/>
  <c r="G37" i="81"/>
  <c r="J173" i="81"/>
  <c r="H118" i="81"/>
  <c r="L206" i="81"/>
  <c r="H173" i="81"/>
  <c r="I173" i="81"/>
  <c r="P46" i="81"/>
  <c r="L37" i="81"/>
  <c r="G80" i="81"/>
  <c r="M76" i="81"/>
  <c r="K80" i="81"/>
  <c r="M160" i="81"/>
  <c r="L157" i="81"/>
  <c r="M79" i="81"/>
  <c r="H80" i="81"/>
  <c r="K183" i="81"/>
  <c r="I118" i="81"/>
  <c r="M157" i="81"/>
  <c r="H81" i="81"/>
  <c r="N160" i="81"/>
  <c r="J206" i="81"/>
  <c r="K79" i="81"/>
  <c r="K118" i="81"/>
  <c r="L173" i="81"/>
  <c r="J223" i="81"/>
  <c r="P127" i="81"/>
  <c r="K223" i="81"/>
  <c r="J37" i="81"/>
  <c r="K161" i="81"/>
  <c r="N173" i="81"/>
  <c r="K37" i="81"/>
  <c r="H157" i="81"/>
  <c r="L161" i="81"/>
  <c r="O173" i="81"/>
  <c r="I79" i="81"/>
  <c r="J79" i="81"/>
  <c r="O160" i="81"/>
  <c r="L79" i="81"/>
  <c r="M206" i="81"/>
  <c r="L183" i="81"/>
  <c r="P208" i="81"/>
  <c r="I37" i="81"/>
  <c r="J161" i="81"/>
  <c r="M173" i="81"/>
  <c r="M183" i="81"/>
  <c r="O206" i="81"/>
  <c r="M37" i="81"/>
  <c r="N161" i="81"/>
  <c r="O223" i="81"/>
  <c r="K206" i="81"/>
  <c r="N79" i="81"/>
  <c r="G160" i="81"/>
  <c r="N76" i="81"/>
  <c r="N236" i="81" s="1"/>
  <c r="J81" i="81" l="1"/>
  <c r="P173" i="81"/>
  <c r="M81" i="81"/>
  <c r="P160" i="81"/>
  <c r="K81" i="81"/>
  <c r="J162" i="81"/>
  <c r="I81" i="81"/>
  <c r="G236" i="81"/>
  <c r="K162" i="81"/>
  <c r="P76" i="81"/>
  <c r="L81" i="81"/>
  <c r="J197" i="81"/>
  <c r="N81" i="81"/>
  <c r="J236" i="81"/>
  <c r="P183" i="81"/>
  <c r="O162" i="81"/>
  <c r="O236" i="81"/>
  <c r="G81" i="81"/>
  <c r="I236" i="81"/>
  <c r="P223" i="81"/>
  <c r="O197" i="81"/>
  <c r="H197" i="81"/>
  <c r="H236" i="81"/>
  <c r="P37" i="81"/>
  <c r="P197" i="81" s="1"/>
  <c r="L197" i="81"/>
  <c r="P80" i="81"/>
  <c r="M162" i="81"/>
  <c r="M236" i="81"/>
  <c r="I197" i="81"/>
  <c r="M197" i="81"/>
  <c r="G197" i="81"/>
  <c r="K236" i="81"/>
  <c r="K197" i="81"/>
  <c r="O81" i="81"/>
  <c r="G162" i="81"/>
  <c r="P79" i="81"/>
  <c r="L236" i="81"/>
  <c r="L162" i="81"/>
  <c r="P161" i="81"/>
  <c r="P157" i="81"/>
  <c r="P206" i="81"/>
  <c r="N162" i="81"/>
  <c r="P162" i="81" l="1"/>
  <c r="P236" i="81"/>
  <c r="P81" i="81"/>
  <c r="I232" i="69" l="1"/>
  <c r="I229" i="69"/>
  <c r="G229" i="69"/>
  <c r="H229" i="69"/>
  <c r="J138" i="69"/>
  <c r="J45" i="69"/>
  <c r="J229" i="69" l="1"/>
  <c r="I267" i="69"/>
  <c r="I266" i="69"/>
  <c r="H266" i="69"/>
  <c r="G266" i="69"/>
  <c r="G171" i="69"/>
  <c r="D54" i="26" l="1"/>
  <c r="F54" i="26" s="1"/>
  <c r="F72" i="25"/>
  <c r="D44" i="26" l="1"/>
  <c r="F44" i="26" l="1"/>
  <c r="G47" i="69"/>
  <c r="G74" i="18" l="1"/>
  <c r="G26" i="17"/>
  <c r="I246" i="69" l="1"/>
  <c r="H246" i="69"/>
  <c r="G246" i="69"/>
  <c r="I244" i="69"/>
  <c r="H244" i="69"/>
  <c r="G244" i="69"/>
  <c r="I242" i="69"/>
  <c r="H242" i="69"/>
  <c r="G242" i="69"/>
  <c r="I240" i="69"/>
  <c r="H240" i="69"/>
  <c r="G240" i="69"/>
  <c r="I239" i="69"/>
  <c r="H239" i="69"/>
  <c r="G239" i="69"/>
  <c r="I238" i="69"/>
  <c r="H238" i="69"/>
  <c r="G238" i="69"/>
  <c r="I235" i="69"/>
  <c r="H235" i="69"/>
  <c r="G235" i="69"/>
  <c r="I233" i="69"/>
  <c r="H233" i="69"/>
  <c r="G233" i="69"/>
  <c r="H232" i="69"/>
  <c r="G232" i="69"/>
  <c r="J155" i="69"/>
  <c r="J153" i="69"/>
  <c r="J151" i="69"/>
  <c r="J149" i="69"/>
  <c r="J148" i="69"/>
  <c r="J147" i="69"/>
  <c r="I146" i="69"/>
  <c r="H146" i="69"/>
  <c r="G146" i="69"/>
  <c r="J144" i="69"/>
  <c r="J142" i="69"/>
  <c r="J141" i="69"/>
  <c r="I140" i="69"/>
  <c r="H140" i="69"/>
  <c r="G140" i="69"/>
  <c r="G231" i="69" s="1"/>
  <c r="I53" i="69"/>
  <c r="H53" i="69"/>
  <c r="G53" i="69"/>
  <c r="J56" i="69"/>
  <c r="J55" i="69"/>
  <c r="J54" i="69"/>
  <c r="I47" i="69"/>
  <c r="H47" i="69"/>
  <c r="J49" i="69"/>
  <c r="J48" i="69"/>
  <c r="J232" i="69" l="1"/>
  <c r="J240" i="69"/>
  <c r="I237" i="69"/>
  <c r="J233" i="69"/>
  <c r="G237" i="69"/>
  <c r="J238" i="69"/>
  <c r="H237" i="69"/>
  <c r="J239" i="69"/>
  <c r="J47" i="69"/>
  <c r="J140" i="69"/>
  <c r="J146" i="69"/>
  <c r="J53" i="69"/>
  <c r="J136" i="69" l="1"/>
  <c r="J237" i="69"/>
  <c r="J10" i="84"/>
  <c r="I10" i="84"/>
  <c r="H10" i="84"/>
  <c r="G10" i="84"/>
  <c r="F10" i="84"/>
  <c r="E10" i="84"/>
  <c r="D10" i="84"/>
  <c r="C10" i="84"/>
  <c r="H46" i="82"/>
  <c r="G46" i="82"/>
  <c r="F46" i="82"/>
  <c r="D46" i="82"/>
  <c r="C46" i="82"/>
  <c r="H24" i="82" l="1"/>
  <c r="G24" i="82"/>
  <c r="F24" i="82"/>
  <c r="D24" i="82"/>
  <c r="C24" i="82"/>
  <c r="C11" i="22"/>
  <c r="C4" i="22"/>
  <c r="C3" i="22"/>
  <c r="B45" i="13" l="1"/>
  <c r="B44" i="13"/>
  <c r="B43" i="13"/>
  <c r="B42" i="13"/>
  <c r="B39" i="13"/>
  <c r="B1" i="82"/>
  <c r="B50" i="13" s="1"/>
  <c r="B51" i="13"/>
  <c r="B27" i="84"/>
  <c r="B10" i="84"/>
  <c r="F14" i="82"/>
  <c r="D14" i="82"/>
  <c r="H14" i="82" l="1"/>
  <c r="B56" i="82" l="1"/>
  <c r="B24" i="82"/>
  <c r="B36" i="82"/>
  <c r="B46" i="82"/>
  <c r="D63" i="26" l="1"/>
  <c r="F63" i="26" s="1"/>
  <c r="D60" i="26"/>
  <c r="F60" i="26" s="1"/>
  <c r="D4" i="22" s="1"/>
  <c r="C8" i="22" l="1"/>
  <c r="C7" i="22"/>
  <c r="G20" i="22"/>
  <c r="F45" i="22" s="1"/>
  <c r="D20" i="22"/>
  <c r="C45" i="22" s="1"/>
  <c r="D18" i="22"/>
  <c r="G18" i="22"/>
  <c r="P32" i="76"/>
  <c r="F32" i="76"/>
  <c r="C3" i="76"/>
  <c r="J16" i="76" l="1"/>
  <c r="K16" i="76"/>
  <c r="E28" i="22"/>
  <c r="E27" i="22"/>
  <c r="E39" i="22"/>
  <c r="E29" i="22"/>
  <c r="E38" i="22"/>
  <c r="E30" i="22"/>
  <c r="H39" i="22"/>
  <c r="H38" i="22"/>
  <c r="H29" i="22"/>
  <c r="H27" i="22"/>
  <c r="H30" i="22"/>
  <c r="H28" i="22"/>
  <c r="G16" i="76"/>
  <c r="I17" i="76"/>
  <c r="H17" i="76"/>
  <c r="G17" i="76"/>
  <c r="P17" i="76"/>
  <c r="O17" i="76"/>
  <c r="N17" i="76"/>
  <c r="R32" i="76"/>
  <c r="B46" i="24"/>
  <c r="B17" i="24"/>
  <c r="P64" i="18"/>
  <c r="F64" i="18"/>
  <c r="R64" i="18" l="1"/>
  <c r="E42" i="22"/>
  <c r="H26" i="22"/>
  <c r="H42" i="22" s="1"/>
  <c r="D8" i="22" s="1"/>
  <c r="C3" i="18"/>
  <c r="J16" i="18" s="1"/>
  <c r="K16" i="18" l="1"/>
  <c r="D7" i="22"/>
  <c r="G16" i="18"/>
  <c r="G17" i="18"/>
  <c r="P17" i="18"/>
  <c r="O17" i="18"/>
  <c r="N17" i="18"/>
  <c r="I17" i="18"/>
  <c r="H17" i="18"/>
  <c r="B1" i="69"/>
  <c r="B40" i="13" s="1"/>
  <c r="B41" i="13"/>
  <c r="I270" i="69"/>
  <c r="H270" i="69"/>
  <c r="G270" i="69"/>
  <c r="I268" i="69"/>
  <c r="H268" i="69"/>
  <c r="G268" i="69"/>
  <c r="H267" i="69"/>
  <c r="G267" i="69"/>
  <c r="I265" i="69"/>
  <c r="H265" i="69"/>
  <c r="G265" i="69"/>
  <c r="I264" i="69"/>
  <c r="H264" i="69"/>
  <c r="G264" i="69"/>
  <c r="I263" i="69"/>
  <c r="H263" i="69"/>
  <c r="G263" i="69"/>
  <c r="I260" i="69"/>
  <c r="H260" i="69"/>
  <c r="G260" i="69"/>
  <c r="I259" i="69"/>
  <c r="H259" i="69"/>
  <c r="G259" i="69"/>
  <c r="I258" i="69"/>
  <c r="H258" i="69"/>
  <c r="G258" i="69"/>
  <c r="I257" i="69"/>
  <c r="H257" i="69"/>
  <c r="G257" i="69"/>
  <c r="I252" i="69"/>
  <c r="H252" i="69"/>
  <c r="G252" i="69"/>
  <c r="I250" i="69"/>
  <c r="H250" i="69"/>
  <c r="G250" i="69"/>
  <c r="I231" i="69"/>
  <c r="H231" i="69"/>
  <c r="I217" i="69"/>
  <c r="H217" i="69"/>
  <c r="G217" i="69"/>
  <c r="I215" i="69"/>
  <c r="H215" i="69"/>
  <c r="G215" i="69"/>
  <c r="I213" i="69"/>
  <c r="H213" i="69"/>
  <c r="G213" i="69"/>
  <c r="I211" i="69"/>
  <c r="H211" i="69"/>
  <c r="G211" i="69"/>
  <c r="I209" i="69"/>
  <c r="H209" i="69"/>
  <c r="G209" i="69"/>
  <c r="I207" i="69"/>
  <c r="H207" i="69"/>
  <c r="G207" i="69"/>
  <c r="I203" i="69"/>
  <c r="H203" i="69"/>
  <c r="G203" i="69"/>
  <c r="I201" i="69"/>
  <c r="H201" i="69"/>
  <c r="G201" i="69"/>
  <c r="I199" i="69"/>
  <c r="H199" i="69"/>
  <c r="G199" i="69"/>
  <c r="I195" i="69"/>
  <c r="H195" i="69"/>
  <c r="G195" i="69"/>
  <c r="J179" i="69"/>
  <c r="J177" i="69"/>
  <c r="J174" i="69"/>
  <c r="J173" i="69"/>
  <c r="J172" i="69"/>
  <c r="I171" i="69"/>
  <c r="H171" i="69"/>
  <c r="J169" i="69"/>
  <c r="J168" i="69"/>
  <c r="J167" i="69"/>
  <c r="J166" i="69"/>
  <c r="I165" i="69"/>
  <c r="H165" i="69"/>
  <c r="G165" i="69"/>
  <c r="J161" i="69"/>
  <c r="J159" i="69"/>
  <c r="I157" i="69"/>
  <c r="H157" i="69"/>
  <c r="G157" i="69"/>
  <c r="I227" i="69"/>
  <c r="G227" i="69"/>
  <c r="J126" i="69"/>
  <c r="J124" i="69"/>
  <c r="J122" i="69"/>
  <c r="J120" i="69"/>
  <c r="J118" i="69"/>
  <c r="J116" i="69"/>
  <c r="I114" i="69"/>
  <c r="H114" i="69"/>
  <c r="G114" i="69"/>
  <c r="J112" i="69"/>
  <c r="J110" i="69"/>
  <c r="J108" i="69"/>
  <c r="I106" i="69"/>
  <c r="H106" i="69"/>
  <c r="G106" i="69"/>
  <c r="J104" i="69"/>
  <c r="B3" i="69"/>
  <c r="H227" i="69"/>
  <c r="I64" i="69"/>
  <c r="H64" i="69"/>
  <c r="G64" i="69"/>
  <c r="J68" i="69"/>
  <c r="J66" i="69"/>
  <c r="J62" i="69"/>
  <c r="J246" i="69" s="1"/>
  <c r="I13" i="69"/>
  <c r="H13" i="69"/>
  <c r="G13" i="69"/>
  <c r="C25" i="16" l="1"/>
  <c r="H248" i="69"/>
  <c r="J252" i="69"/>
  <c r="H197" i="69"/>
  <c r="J106" i="69"/>
  <c r="G163" i="69"/>
  <c r="G183" i="69" s="1"/>
  <c r="I163" i="69"/>
  <c r="I183" i="69" s="1"/>
  <c r="G197" i="69"/>
  <c r="I197" i="69"/>
  <c r="J250" i="69"/>
  <c r="H163" i="69"/>
  <c r="H183" i="69" s="1"/>
  <c r="G248" i="69"/>
  <c r="I248" i="69"/>
  <c r="H129" i="69"/>
  <c r="J171" i="69"/>
  <c r="J157" i="69"/>
  <c r="J165" i="69"/>
  <c r="G129" i="69"/>
  <c r="I129" i="69"/>
  <c r="J114" i="69"/>
  <c r="G186" i="69" l="1"/>
  <c r="I186" i="69"/>
  <c r="H186" i="69"/>
  <c r="J248" i="69"/>
  <c r="J129" i="69"/>
  <c r="J163" i="69"/>
  <c r="J183" i="69" s="1"/>
  <c r="J186" i="69" l="1"/>
  <c r="P72" i="18"/>
  <c r="F72" i="18"/>
  <c r="R72" i="18" s="1"/>
  <c r="F41" i="25"/>
  <c r="G19" i="22"/>
  <c r="B10" i="16"/>
  <c r="P41" i="76"/>
  <c r="F41" i="76"/>
  <c r="P40" i="76"/>
  <c r="F40" i="76"/>
  <c r="R40" i="76" s="1"/>
  <c r="D46" i="26"/>
  <c r="A30" i="26"/>
  <c r="A32" i="26" s="1"/>
  <c r="F61" i="25"/>
  <c r="F57" i="25"/>
  <c r="F45" i="25"/>
  <c r="D26" i="25"/>
  <c r="D3" i="76"/>
  <c r="O49" i="76"/>
  <c r="N49" i="76"/>
  <c r="M49" i="76"/>
  <c r="L49" i="76"/>
  <c r="J49" i="76"/>
  <c r="E49" i="76"/>
  <c r="D49" i="76"/>
  <c r="Q74" i="18"/>
  <c r="D3" i="18" s="1"/>
  <c r="O74" i="18"/>
  <c r="N74" i="18"/>
  <c r="M74" i="18"/>
  <c r="L74" i="18"/>
  <c r="K74" i="18"/>
  <c r="D25" i="24" s="1"/>
  <c r="J74" i="18"/>
  <c r="P26" i="76"/>
  <c r="F26" i="76"/>
  <c r="P39" i="76"/>
  <c r="F39" i="76"/>
  <c r="P38" i="76"/>
  <c r="F38" i="76"/>
  <c r="P37" i="76"/>
  <c r="F37" i="76"/>
  <c r="R37" i="76" s="1"/>
  <c r="P36" i="76"/>
  <c r="F36" i="76"/>
  <c r="P35" i="76"/>
  <c r="F35" i="76"/>
  <c r="P34" i="76"/>
  <c r="F34" i="76"/>
  <c r="R34" i="76" s="1"/>
  <c r="P33" i="76"/>
  <c r="F33" i="76"/>
  <c r="R33" i="76" s="1"/>
  <c r="P31" i="76"/>
  <c r="F31" i="76"/>
  <c r="P30" i="76"/>
  <c r="F30" i="76"/>
  <c r="R30" i="76" s="1"/>
  <c r="P29" i="76"/>
  <c r="F29" i="76"/>
  <c r="P28" i="76"/>
  <c r="F28" i="76"/>
  <c r="P27" i="76"/>
  <c r="F27" i="76"/>
  <c r="R27" i="76" s="1"/>
  <c r="P25" i="76"/>
  <c r="F25" i="76"/>
  <c r="R25" i="76" s="1"/>
  <c r="P24" i="76"/>
  <c r="F24" i="76"/>
  <c r="P23" i="76"/>
  <c r="F23" i="76"/>
  <c r="R23" i="76" s="1"/>
  <c r="P22" i="76"/>
  <c r="F22" i="76"/>
  <c r="P21" i="76"/>
  <c r="F21" i="76"/>
  <c r="R21" i="76" s="1"/>
  <c r="P20" i="76"/>
  <c r="F20" i="76"/>
  <c r="R20" i="76" s="1"/>
  <c r="P19" i="76"/>
  <c r="F19" i="76"/>
  <c r="R19" i="76" s="1"/>
  <c r="F46" i="18"/>
  <c r="P46" i="18"/>
  <c r="J86" i="69"/>
  <c r="J270" i="69" s="1"/>
  <c r="J84" i="69"/>
  <c r="J268" i="69" s="1"/>
  <c r="J82" i="69"/>
  <c r="J266" i="69" s="1"/>
  <c r="J83" i="69"/>
  <c r="J267" i="69" s="1"/>
  <c r="J81" i="69"/>
  <c r="J265" i="69" s="1"/>
  <c r="J80" i="69"/>
  <c r="J79" i="69"/>
  <c r="J263" i="69" s="1"/>
  <c r="I78" i="69"/>
  <c r="I262" i="69" s="1"/>
  <c r="H78" i="69"/>
  <c r="H262" i="69" s="1"/>
  <c r="G78" i="69"/>
  <c r="J76" i="69"/>
  <c r="J260" i="69" s="1"/>
  <c r="J75" i="69"/>
  <c r="J259" i="69" s="1"/>
  <c r="J74" i="69"/>
  <c r="J258" i="69" s="1"/>
  <c r="J73" i="69"/>
  <c r="J257" i="69" s="1"/>
  <c r="I72" i="69"/>
  <c r="H72" i="69"/>
  <c r="H256" i="69" s="1"/>
  <c r="G72" i="69"/>
  <c r="G256" i="69" s="1"/>
  <c r="J60" i="69"/>
  <c r="J244" i="69" s="1"/>
  <c r="J58" i="69"/>
  <c r="J242" i="69" s="1"/>
  <c r="J51" i="69"/>
  <c r="J33" i="69"/>
  <c r="J217" i="69" s="1"/>
  <c r="J31" i="69"/>
  <c r="J215" i="69" s="1"/>
  <c r="J29" i="69"/>
  <c r="J213" i="69" s="1"/>
  <c r="J27" i="69"/>
  <c r="J211" i="69" s="1"/>
  <c r="J25" i="69"/>
  <c r="J209" i="69" s="1"/>
  <c r="J23" i="69"/>
  <c r="J207" i="69" s="1"/>
  <c r="I21" i="69"/>
  <c r="H21" i="69"/>
  <c r="G21" i="69"/>
  <c r="J19" i="69"/>
  <c r="J203" i="69" s="1"/>
  <c r="J17" i="69"/>
  <c r="J201" i="69" s="1"/>
  <c r="J15" i="69"/>
  <c r="J199" i="69" s="1"/>
  <c r="J195" i="69"/>
  <c r="B7" i="16"/>
  <c r="P69" i="18"/>
  <c r="P68" i="18"/>
  <c r="P67" i="18"/>
  <c r="P66" i="18"/>
  <c r="P70" i="18"/>
  <c r="P56" i="18"/>
  <c r="P55" i="18"/>
  <c r="P54" i="18"/>
  <c r="P53" i="18"/>
  <c r="P51" i="18"/>
  <c r="P50" i="18"/>
  <c r="P49" i="18"/>
  <c r="P48" i="18"/>
  <c r="P45" i="18"/>
  <c r="P44" i="18"/>
  <c r="P43" i="18"/>
  <c r="P42" i="18"/>
  <c r="P40" i="18"/>
  <c r="P39" i="18"/>
  <c r="P35" i="18"/>
  <c r="P34" i="18"/>
  <c r="P32" i="18"/>
  <c r="P28" i="18"/>
  <c r="P25" i="18"/>
  <c r="P23" i="18"/>
  <c r="D19" i="22"/>
  <c r="P65" i="18"/>
  <c r="P63" i="18"/>
  <c r="P62" i="18"/>
  <c r="P61" i="18"/>
  <c r="P60" i="18"/>
  <c r="P59" i="18"/>
  <c r="P58" i="18"/>
  <c r="P57" i="18"/>
  <c r="P52" i="18"/>
  <c r="P47" i="18"/>
  <c r="P41" i="18"/>
  <c r="P33" i="18"/>
  <c r="P22" i="18"/>
  <c r="P21" i="18"/>
  <c r="P20" i="18"/>
  <c r="P19" i="18"/>
  <c r="M24" i="17"/>
  <c r="F24" i="17"/>
  <c r="O24" i="17" s="1"/>
  <c r="M23" i="17"/>
  <c r="F23" i="17"/>
  <c r="D20" i="24"/>
  <c r="N26" i="17"/>
  <c r="D6" i="17" s="1"/>
  <c r="M22" i="17"/>
  <c r="F22" i="17"/>
  <c r="F62" i="18"/>
  <c r="E26" i="17"/>
  <c r="F21" i="18"/>
  <c r="R21" i="18" s="1"/>
  <c r="F52" i="18"/>
  <c r="F33" i="18"/>
  <c r="F19" i="18"/>
  <c r="F41" i="18"/>
  <c r="F58" i="18"/>
  <c r="F65" i="18"/>
  <c r="F70" i="18"/>
  <c r="F68" i="18"/>
  <c r="F48" i="18"/>
  <c r="F50" i="18"/>
  <c r="F53" i="18"/>
  <c r="F56" i="18"/>
  <c r="F66" i="18"/>
  <c r="F69" i="18"/>
  <c r="F67" i="18"/>
  <c r="R67" i="18" s="1"/>
  <c r="F54" i="18"/>
  <c r="F55" i="18"/>
  <c r="F28" i="18"/>
  <c r="F44" i="18"/>
  <c r="F51" i="18"/>
  <c r="F49" i="18"/>
  <c r="F34" i="18"/>
  <c r="F42" i="18"/>
  <c r="F43" i="18"/>
  <c r="R43" i="18" s="1"/>
  <c r="F40" i="18"/>
  <c r="R40" i="18" s="1"/>
  <c r="F25" i="18"/>
  <c r="F39" i="18"/>
  <c r="F45" i="18"/>
  <c r="R45" i="18" s="1"/>
  <c r="F32" i="18"/>
  <c r="R32" i="18" s="1"/>
  <c r="F35" i="18"/>
  <c r="F23" i="18"/>
  <c r="F63" i="18"/>
  <c r="F59" i="18"/>
  <c r="F47" i="18"/>
  <c r="F61" i="18"/>
  <c r="F22" i="18"/>
  <c r="R22" i="18" s="1"/>
  <c r="F60" i="18"/>
  <c r="D26" i="17"/>
  <c r="F20" i="18"/>
  <c r="F57" i="18"/>
  <c r="B4" i="16"/>
  <c r="C14" i="16" s="1"/>
  <c r="O22" i="17" l="1"/>
  <c r="R44" i="18"/>
  <c r="R70" i="18"/>
  <c r="R51" i="18"/>
  <c r="R68" i="18"/>
  <c r="R46" i="18"/>
  <c r="R57" i="18"/>
  <c r="R28" i="76"/>
  <c r="R35" i="76"/>
  <c r="D24" i="24"/>
  <c r="D23" i="24" s="1"/>
  <c r="R26" i="76"/>
  <c r="R41" i="76"/>
  <c r="R39" i="76"/>
  <c r="R23" i="18"/>
  <c r="R25" i="18"/>
  <c r="R52" i="18"/>
  <c r="R69" i="18"/>
  <c r="R42" i="18"/>
  <c r="O23" i="17"/>
  <c r="D84" i="26"/>
  <c r="D28" i="24"/>
  <c r="D31" i="24"/>
  <c r="R24" i="76"/>
  <c r="R31" i="76"/>
  <c r="R38" i="76"/>
  <c r="R35" i="18"/>
  <c r="R54" i="18"/>
  <c r="R41" i="18"/>
  <c r="R60" i="18"/>
  <c r="R56" i="18"/>
  <c r="R61" i="18"/>
  <c r="R53" i="18"/>
  <c r="R47" i="18"/>
  <c r="R34" i="18"/>
  <c r="R59" i="18"/>
  <c r="R49" i="18"/>
  <c r="R48" i="18"/>
  <c r="C16" i="16"/>
  <c r="D39" i="24"/>
  <c r="F46" i="26"/>
  <c r="R22" i="76"/>
  <c r="R29" i="76"/>
  <c r="R36" i="76"/>
  <c r="R55" i="18"/>
  <c r="R58" i="18"/>
  <c r="R20" i="18"/>
  <c r="R39" i="18"/>
  <c r="R19" i="18"/>
  <c r="R33" i="18"/>
  <c r="R66" i="18"/>
  <c r="R50" i="18"/>
  <c r="R62" i="18"/>
  <c r="R63" i="18"/>
  <c r="R28" i="18"/>
  <c r="R65" i="18"/>
  <c r="O26" i="17"/>
  <c r="O28" i="17" s="1"/>
  <c r="J235" i="69"/>
  <c r="J264" i="69"/>
  <c r="M26" i="17"/>
  <c r="D34" i="24" s="1"/>
  <c r="D38" i="24"/>
  <c r="J231" i="69"/>
  <c r="J227" i="69"/>
  <c r="G262" i="69"/>
  <c r="G36" i="69"/>
  <c r="G205" i="69"/>
  <c r="I36" i="69"/>
  <c r="I220" i="69" s="1"/>
  <c r="I205" i="69"/>
  <c r="I70" i="69"/>
  <c r="I256" i="69"/>
  <c r="H36" i="69"/>
  <c r="H220" i="69" s="1"/>
  <c r="H205" i="69"/>
  <c r="A34" i="26"/>
  <c r="H70" i="69"/>
  <c r="J21" i="69"/>
  <c r="J205" i="69" s="1"/>
  <c r="J72" i="69"/>
  <c r="J256" i="69" s="1"/>
  <c r="J78" i="69"/>
  <c r="J262" i="69" s="1"/>
  <c r="G70" i="69"/>
  <c r="G254" i="69" s="1"/>
  <c r="P49" i="76"/>
  <c r="P74" i="18"/>
  <c r="D35" i="24" s="1"/>
  <c r="C6" i="17"/>
  <c r="J19" i="17" s="1"/>
  <c r="F74" i="18"/>
  <c r="F26" i="17"/>
  <c r="D13" i="24" s="1"/>
  <c r="F49" i="76"/>
  <c r="D42" i="24" l="1"/>
  <c r="D37" i="25"/>
  <c r="R74" i="18"/>
  <c r="D14" i="24"/>
  <c r="D43" i="24" s="1"/>
  <c r="D46" i="24" s="1"/>
  <c r="F83" i="26"/>
  <c r="F84" i="26" s="1"/>
  <c r="C19" i="16" s="1"/>
  <c r="D11" i="22"/>
  <c r="C27" i="16" s="1"/>
  <c r="N19" i="17"/>
  <c r="G20" i="17"/>
  <c r="H20" i="17"/>
  <c r="I20" i="17"/>
  <c r="M20" i="17"/>
  <c r="L20" i="17"/>
  <c r="K20" i="17"/>
  <c r="G220" i="69"/>
  <c r="G19" i="17"/>
  <c r="C15" i="16"/>
  <c r="H90" i="69"/>
  <c r="H274" i="69" s="1"/>
  <c r="H254" i="69"/>
  <c r="J36" i="69"/>
  <c r="J220" i="69" s="1"/>
  <c r="J197" i="69"/>
  <c r="I90" i="69"/>
  <c r="I254" i="69"/>
  <c r="A36" i="26"/>
  <c r="G90" i="69"/>
  <c r="G93" i="69" s="1"/>
  <c r="O19" i="17"/>
  <c r="D19" i="17"/>
  <c r="E19" i="17"/>
  <c r="F19" i="17"/>
  <c r="K19" i="17"/>
  <c r="L16" i="76"/>
  <c r="F16" i="76"/>
  <c r="D16" i="76"/>
  <c r="N16" i="76"/>
  <c r="M16" i="76"/>
  <c r="E16" i="76"/>
  <c r="R16" i="76"/>
  <c r="Q16" i="76"/>
  <c r="L16" i="18"/>
  <c r="N16" i="18"/>
  <c r="E16" i="18"/>
  <c r="D16" i="18"/>
  <c r="R16" i="18"/>
  <c r="Q16" i="18"/>
  <c r="F16" i="18"/>
  <c r="M16" i="18"/>
  <c r="B42" i="24"/>
  <c r="B13" i="24"/>
  <c r="D9" i="24"/>
  <c r="R49" i="76"/>
  <c r="F37" i="25" l="1"/>
  <c r="D17" i="24"/>
  <c r="E3" i="24" s="1"/>
  <c r="E46" i="24"/>
  <c r="D33" i="25"/>
  <c r="C26" i="16"/>
  <c r="G274" i="69"/>
  <c r="H93" i="69"/>
  <c r="I274" i="69"/>
  <c r="I93" i="69"/>
  <c r="J90" i="69"/>
  <c r="J254" i="69"/>
  <c r="E4" i="24"/>
  <c r="D49" i="24" l="1"/>
  <c r="C21" i="16"/>
  <c r="D116" i="25"/>
  <c r="F33" i="25"/>
  <c r="C22" i="16"/>
  <c r="J93" i="69"/>
  <c r="J274" i="69"/>
  <c r="F115" i="25" l="1"/>
  <c r="F116" i="25" s="1"/>
  <c r="C18" i="16" s="1"/>
  <c r="E6" i="24"/>
  <c r="C23" i="16" s="1"/>
  <c r="A90" i="25"/>
  <c r="A94" i="25" s="1"/>
  <c r="A96" i="25" s="1"/>
  <c r="A98" i="25" s="1"/>
  <c r="A100" i="25" s="1"/>
  <c r="A107" i="25" s="1"/>
  <c r="A109" i="25" s="1"/>
  <c r="A38" i="26"/>
  <c r="A40" i="26" s="1"/>
  <c r="A42" i="26" s="1"/>
  <c r="A44" i="26" s="1"/>
  <c r="A46" i="26" l="1"/>
  <c r="A48" i="26" l="1"/>
  <c r="A50" i="26" l="1"/>
  <c r="A54" i="26" s="1"/>
  <c r="A60" i="26" s="1"/>
  <c r="A67" i="26" s="1"/>
  <c r="A71" i="26" s="1"/>
  <c r="A75" i="26" s="1"/>
  <c r="A77" i="26" s="1"/>
</calcChain>
</file>

<file path=xl/sharedStrings.xml><?xml version="1.0" encoding="utf-8"?>
<sst xmlns="http://schemas.openxmlformats.org/spreadsheetml/2006/main" count="1069" uniqueCount="445">
  <si>
    <t>Afschrijvingspercentages</t>
  </si>
  <si>
    <t>CAB, telebediening, uitrusting dispatching</t>
  </si>
  <si>
    <t xml:space="preserve">TOTAAL  </t>
  </si>
  <si>
    <t>+</t>
  </si>
  <si>
    <t>jaar</t>
  </si>
  <si>
    <t>-</t>
  </si>
  <si>
    <t>MVA</t>
  </si>
  <si>
    <t>Totaal</t>
  </si>
  <si>
    <t>Vervangingsinvesteringen</t>
  </si>
  <si>
    <t xml:space="preserve">Uitbreidingsinvesteringen </t>
  </si>
  <si>
    <t>Balanswaarde na winstverdeling</t>
  </si>
  <si>
    <t>ACTIVA</t>
  </si>
  <si>
    <t>Voorraden en bestellingen in uitvoering (3)</t>
  </si>
  <si>
    <t>Vorderingen op ten hoogste één jaar (40/41)</t>
  </si>
  <si>
    <t>PASSIVA</t>
  </si>
  <si>
    <t>Overlopende rekeningen (492/493)</t>
  </si>
  <si>
    <t>TOTAAL</t>
  </si>
  <si>
    <t>Codes</t>
  </si>
  <si>
    <t>631/4</t>
  </si>
  <si>
    <t>640/8</t>
  </si>
  <si>
    <t>Kosten in resultatenrekening</t>
  </si>
  <si>
    <t>Handelsgoederen, grond- en hulpstoffen</t>
  </si>
  <si>
    <t>Diensten en diverse goederen</t>
  </si>
  <si>
    <t>Bezoldigingen, sociale lasten en pensioenen</t>
  </si>
  <si>
    <t>Andere bedrijfskosten</t>
  </si>
  <si>
    <t>Als herstructureringskosten geactiveerde bedrijfskosten (-)</t>
  </si>
  <si>
    <t>Waardeverminderingen op voorraden, bestellingen in uitvoering en handelsvorderingen (toevoegingen +, terugnemingen -)</t>
  </si>
  <si>
    <t>Opbrengsten in resultatenrekening</t>
  </si>
  <si>
    <t>Geproduceerde vaste activa</t>
  </si>
  <si>
    <t>Andere bedrijfsopbrengsten</t>
  </si>
  <si>
    <t>Boetes</t>
  </si>
  <si>
    <t>Totaal correcties op kosten</t>
  </si>
  <si>
    <t>Operationele kosten i.h.k.v. tariefmethodologie</t>
  </si>
  <si>
    <t>DISTRIBUTIENETBEHEERDER :</t>
  </si>
  <si>
    <t>ONDERNEMINGSNUMMER:</t>
  </si>
  <si>
    <t>AFSCHRIJVINGSPERCENTAGES (%)</t>
  </si>
  <si>
    <t>Kosten onderzoek en ontwikkeling</t>
  </si>
  <si>
    <t>Administratieve gebouwen</t>
  </si>
  <si>
    <t>Kabels</t>
  </si>
  <si>
    <t>Lijnen</t>
  </si>
  <si>
    <t>Posten en cabines</t>
  </si>
  <si>
    <t>Aansluitingen</t>
  </si>
  <si>
    <t>Meetapparatuur</t>
  </si>
  <si>
    <t>Gereedschap en meubilair</t>
  </si>
  <si>
    <t>Rollend materieel</t>
  </si>
  <si>
    <t>Labo uitrusting</t>
  </si>
  <si>
    <t>Administratieve uitrusting (informatica en kantoor)</t>
  </si>
  <si>
    <t>Budgetmeters</t>
  </si>
  <si>
    <t>Distributienetbeheerder:</t>
  </si>
  <si>
    <t>In rekening te brengen afschrijvingen voor</t>
  </si>
  <si>
    <t>Kosten voor onderzoek en ontwikkeling</t>
  </si>
  <si>
    <t>Voorraad groenestroom- en warmtekrachtcertificaten</t>
  </si>
  <si>
    <t>Overlopende rekeningen</t>
  </si>
  <si>
    <t>Investeringen MVA</t>
  </si>
  <si>
    <t>Subsidies MVA</t>
  </si>
  <si>
    <t>Formule</t>
  </si>
  <si>
    <t>Aangekochte groenestroomcertificaten</t>
  </si>
  <si>
    <t>Aangekochte warmtekrachtcertificaten</t>
  </si>
  <si>
    <t>Omzet uit niet-periodieke distributienettarieven</t>
  </si>
  <si>
    <t>Verkochte groenestroomcertificaten</t>
  </si>
  <si>
    <t>Verkochte warmtekrachtcertificaten</t>
  </si>
  <si>
    <t>IVA</t>
  </si>
  <si>
    <t>Afschrijvingen IVA</t>
  </si>
  <si>
    <t>Concessies, octrooien, licenties, knowhow, merken en soortgelijke rechten</t>
  </si>
  <si>
    <t>Vooruitbetalingen</t>
  </si>
  <si>
    <t>+: gelieve positieve waarde in te geven</t>
  </si>
  <si>
    <t>-: gelieve negatieve waarde in te geven</t>
  </si>
  <si>
    <t>Activaposten (boekhoudkundige rubrieken 22, 23, 24, 25, 26 en 27)</t>
  </si>
  <si>
    <t>Bijkomende opmerking:</t>
  </si>
  <si>
    <t>Omzet uit overige</t>
  </si>
  <si>
    <t>Evolutie van de immateriële vaste activa:</t>
  </si>
  <si>
    <t>Terreinen</t>
  </si>
  <si>
    <t>Telegelezen meters</t>
  </si>
  <si>
    <t>Financiële kosten</t>
  </si>
  <si>
    <t>Financiële opbrengsten</t>
  </si>
  <si>
    <t>Waardeverminderingen op financiële vaste activa (toevoeging)</t>
  </si>
  <si>
    <t>Terugneming van waardeverminderingen op financiële vaste activa</t>
  </si>
  <si>
    <t>Berekende of overgenomen waarde waarvoor dus geen manuele input vereist is</t>
  </si>
  <si>
    <t>De tekens die in de kolomhoofden van de tabellen opgenomen zijn, dienen te worden geïnterpreteerd als:</t>
  </si>
  <si>
    <t xml:space="preserve"> </t>
  </si>
  <si>
    <t>Verplicht aangekochte groenestroom- en warmtekrachtcertificaten aan minimumwaarde volgens Energiedecreet</t>
  </si>
  <si>
    <t>Lasten van niet-gekapitaliseerde pensioenen</t>
  </si>
  <si>
    <t>Evolutie van de historische aanschaffingswaarde (materiële vaste activa):</t>
  </si>
  <si>
    <t>Opmerking</t>
  </si>
  <si>
    <t>Niet-gereguleerde activiteiten</t>
  </si>
  <si>
    <t>VASTE ACTIVA</t>
  </si>
  <si>
    <t>22/27</t>
  </si>
  <si>
    <t>VLOTTENDE ACTIVA</t>
  </si>
  <si>
    <t>29/58</t>
  </si>
  <si>
    <t>40/41</t>
  </si>
  <si>
    <t>50/53</t>
  </si>
  <si>
    <t>54/58</t>
  </si>
  <si>
    <t>490/1</t>
  </si>
  <si>
    <t>Code</t>
  </si>
  <si>
    <t>EIGEN VERMOGEN</t>
  </si>
  <si>
    <t xml:space="preserve"> 10/15</t>
  </si>
  <si>
    <t>SCHULDEN</t>
  </si>
  <si>
    <t>17/49</t>
  </si>
  <si>
    <t>170/4</t>
  </si>
  <si>
    <t>178/9</t>
  </si>
  <si>
    <t>42/48</t>
  </si>
  <si>
    <t>47/48</t>
  </si>
  <si>
    <t>492/3</t>
  </si>
  <si>
    <t>A -P</t>
  </si>
  <si>
    <t>Controle met tabel 1:</t>
  </si>
  <si>
    <t>Netbeheer elektriciteit</t>
  </si>
  <si>
    <t>OPBRENGSTEN</t>
  </si>
  <si>
    <t>A. Omzet</t>
  </si>
  <si>
    <t>C. Geproduceerde vaste activa</t>
  </si>
  <si>
    <t>D. Andere bedrijfsopbrengsten</t>
  </si>
  <si>
    <t>KOSTEN</t>
  </si>
  <si>
    <t>A. Handelsgoederen, grond- en hulpstoffen</t>
  </si>
  <si>
    <t>B. Diensten en diverse goederen</t>
  </si>
  <si>
    <t>C. Bezoldigingen, sociale lasten en pensioenen</t>
  </si>
  <si>
    <t>G. Andere bedrijfskosten</t>
  </si>
  <si>
    <t>Totaal opbrengsten</t>
  </si>
  <si>
    <t>Totaal kosten</t>
  </si>
  <si>
    <t>Resultaat</t>
  </si>
  <si>
    <t>Controle met tabel 2:</t>
  </si>
  <si>
    <t>Operationele kosten</t>
  </si>
  <si>
    <t>Operationele opbrengsten</t>
  </si>
  <si>
    <t>TABEL 4: Afschrijvingen immateriële vaste activa</t>
  </si>
  <si>
    <t>Balanscijfers</t>
  </si>
  <si>
    <t>Correcties</t>
  </si>
  <si>
    <t>Burgerlijke geldboete</t>
  </si>
  <si>
    <t>Administratieve geldboete</t>
  </si>
  <si>
    <t>Strafrechtelijke geldboete</t>
  </si>
  <si>
    <t>Hergebruikte uitrusting cabines</t>
  </si>
  <si>
    <t>Leidingen - MD</t>
  </si>
  <si>
    <t>Leidingen - LD</t>
  </si>
  <si>
    <t>Aansluitingen - MD</t>
  </si>
  <si>
    <t>Aansluitingen - LD</t>
  </si>
  <si>
    <t>Meetapparatuur - MD</t>
  </si>
  <si>
    <t>Meetapparatuur - LD</t>
  </si>
  <si>
    <t>TABEL 5A: Afschrijvingen van de historische aanschaffingswaarde (materiële vaste activa) - elektriciteit</t>
  </si>
  <si>
    <t>Materiële vaste activa - elektriciteit</t>
  </si>
  <si>
    <t>Leidingen</t>
  </si>
  <si>
    <t>Activa in aanbouw</t>
  </si>
  <si>
    <t>Overdrachten en/of terugnames</t>
  </si>
  <si>
    <t>Investeringen IVA</t>
  </si>
  <si>
    <t>Belastingen op het resultaat</t>
  </si>
  <si>
    <t xml:space="preserve">Controle met tabel 2: </t>
  </si>
  <si>
    <t xml:space="preserve">Omzet uit periodieke distributienettarieven </t>
  </si>
  <si>
    <t>Totaal kosten resultatenrekening</t>
  </si>
  <si>
    <t>Totaal opbrengsten resultatenrekening</t>
  </si>
  <si>
    <t>Regularisering van belastingen en terugneming fiscale voorzieningen</t>
  </si>
  <si>
    <t>Omzet uit periodieke distributienettarieven</t>
  </si>
  <si>
    <r>
      <t xml:space="preserve">Gelieve </t>
    </r>
    <r>
      <rPr>
        <b/>
        <i/>
        <sz val="10"/>
        <rFont val="Arial"/>
        <family val="2"/>
      </rPr>
      <t>positieve</t>
    </r>
    <r>
      <rPr>
        <i/>
        <sz val="10"/>
        <rFont val="Arial"/>
        <family val="2"/>
      </rPr>
      <t xml:space="preserve"> waarden in te geven (voor activa (indien debetsaldo) en passiva (indien creditsaldo)).</t>
    </r>
  </si>
  <si>
    <t>Geldbeleggingen (50/53)</t>
  </si>
  <si>
    <t>Correcties ter bepaling endogene operationele kosten:</t>
  </si>
  <si>
    <t>Correcties ter bepaling endogene operationele opbrengsten:</t>
  </si>
  <si>
    <t>Rapportering over boekjaar:</t>
  </si>
  <si>
    <t>Overzicht van de endogene kosten:</t>
  </si>
  <si>
    <r>
      <t xml:space="preserve">Regulatoire saldi </t>
    </r>
    <r>
      <rPr>
        <i/>
        <sz val="10"/>
        <rFont val="Arial"/>
        <family val="2"/>
      </rPr>
      <t xml:space="preserve">op het actief </t>
    </r>
  </si>
  <si>
    <t>Tussenkomsten derden MVA</t>
  </si>
  <si>
    <t>GEREGULEERDE ACTIVITEIT:</t>
  </si>
  <si>
    <t>In het kader van volgende reguleringsperiode:</t>
  </si>
  <si>
    <t>van</t>
  </si>
  <si>
    <t>tot en met</t>
  </si>
  <si>
    <t xml:space="preserve">RICHTLIJNEN BIJ HET INVULLEN EN DE INTERPRETATIE VAN HET RAPPORTERINGSMODEL </t>
  </si>
  <si>
    <t>In te vullen door de distributienetbeheerder</t>
  </si>
  <si>
    <t>In te vullen door de VREG</t>
  </si>
  <si>
    <t>Niet relevante waarde voor de betreffende rapportering</t>
  </si>
  <si>
    <t>LEGENDE CELKLEUREN</t>
  </si>
  <si>
    <t>OVERZICHT TABELLEN</t>
  </si>
  <si>
    <t>Digitale meters</t>
  </si>
  <si>
    <t>Unieke operator</t>
  </si>
  <si>
    <t>OPRICHTINGSKOSTEN</t>
  </si>
  <si>
    <t>21/28</t>
  </si>
  <si>
    <t>Immateriële vaste activa</t>
  </si>
  <si>
    <t>Materiële vaste activa</t>
  </si>
  <si>
    <t>Financiële vaste activa</t>
  </si>
  <si>
    <t>Vorderingen op meer dan één jaar</t>
  </si>
  <si>
    <t>Voorraden en bestellingen in uitvoering</t>
  </si>
  <si>
    <t>Vorderingen op ten hoogste één jaar</t>
  </si>
  <si>
    <t>Geldbeleggingen</t>
  </si>
  <si>
    <t>Liquide middelen</t>
  </si>
  <si>
    <t>Kapitaal</t>
  </si>
  <si>
    <t>Herwaarderingsmeerwaarden</t>
  </si>
  <si>
    <t>Reserves</t>
  </si>
  <si>
    <t xml:space="preserve">Overgedragen winst </t>
  </si>
  <si>
    <t>Kapitaalsubsidies</t>
  </si>
  <si>
    <t>VOORZIENINGEN EN UITGESTELDE BELASTINGEN</t>
  </si>
  <si>
    <t>Schulden op meer dan één jaar</t>
  </si>
  <si>
    <t>Financiële schulden</t>
  </si>
  <si>
    <t>Handelsschulden</t>
  </si>
  <si>
    <t>Overige schulden</t>
  </si>
  <si>
    <t>Schulden op ten hoogste één jaar</t>
  </si>
  <si>
    <t>Schulden &gt; 1 jaar die binnen het jr. verv.</t>
  </si>
  <si>
    <t>Schulden m.b.t. belast., bezold. en soc. last.</t>
  </si>
  <si>
    <t>Voorzieningen voor risico's en kosten</t>
  </si>
  <si>
    <t>Uitgestelde belastingen</t>
  </si>
  <si>
    <t>160/5</t>
  </si>
  <si>
    <t>TOTAAL VAN DE PASSIVA</t>
  </si>
  <si>
    <t>TOTAAL VAN DE ACTIVA</t>
  </si>
  <si>
    <t>Voorschot aan de vennoten op de verdeling van het netto-actief (-)</t>
  </si>
  <si>
    <t>Rapportering over boekjaren</t>
  </si>
  <si>
    <r>
      <t xml:space="preserve">Gelieve </t>
    </r>
    <r>
      <rPr>
        <b/>
        <i/>
        <sz val="10"/>
        <rFont val="Arial"/>
        <family val="2"/>
      </rPr>
      <t>positieve</t>
    </r>
    <r>
      <rPr>
        <i/>
        <sz val="10"/>
        <rFont val="Arial"/>
        <family val="2"/>
      </rPr>
      <t xml:space="preserve"> waarden in te geven (voor kosten indien debetsaldo en voor opbrengsten indien creditsaldo).</t>
    </r>
  </si>
  <si>
    <t>Endogene opbrengsten</t>
  </si>
  <si>
    <t>Exogene opbrengsten</t>
  </si>
  <si>
    <t>Overige opbrengsten</t>
  </si>
  <si>
    <t>Bedrijfsopbrengsten</t>
  </si>
  <si>
    <t>Niet-recurrente bedrijfs- of financiële opbrengsten</t>
  </si>
  <si>
    <t>Onttrekkingen aan de belastingvrije reserves en uitgestelde belastingen</t>
  </si>
  <si>
    <t>Verlies van het boekjaar</t>
  </si>
  <si>
    <t>Endogene kosten</t>
  </si>
  <si>
    <t>Exogene kosten</t>
  </si>
  <si>
    <t>Overige kosten</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</si>
  <si>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</si>
  <si>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</si>
  <si>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</si>
  <si>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</si>
  <si>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Niet-recurrente bedrijfs- of financiële kosten</t>
  </si>
  <si>
    <t>Overboeking naar de uitgestelde belastingen en naar de belastingvrije reserves</t>
  </si>
  <si>
    <t>Winst van het boekjaar</t>
  </si>
  <si>
    <t>Gereguleerde activiteit:</t>
  </si>
  <si>
    <t>TABEL 3: Algemeen overzicht endogene kosten</t>
  </si>
  <si>
    <t>Kabels - LS</t>
  </si>
  <si>
    <t>Lijnen - LS</t>
  </si>
  <si>
    <t>Aansluitingen - LS</t>
  </si>
  <si>
    <t>Meetapparatuur - LS</t>
  </si>
  <si>
    <t>Liquide middelen (54/58)</t>
  </si>
  <si>
    <t>Overlopende rekeningen (490/1)</t>
  </si>
  <si>
    <t>Schulden op ten hoogste één jaar (42/48)</t>
  </si>
  <si>
    <t>In rekening te brengen NBK voor:</t>
  </si>
  <si>
    <t>Gemiddeld NBK voor:</t>
  </si>
  <si>
    <t>Desinvesteringen</t>
  </si>
  <si>
    <t>Afschrijvingen</t>
  </si>
  <si>
    <t>Afschrijvingen en waardeverminderingen op vaste activa</t>
  </si>
  <si>
    <t>Voorzieningen voor risico's en kosten (toevoegingen +, bestedingen en terugnemingen -)</t>
  </si>
  <si>
    <t>H. Als herstructureringskosten geactiveerde bedrijfskosten (-)</t>
  </si>
  <si>
    <t>Afschrijvingen MVA - historische aanschaffingswaarde</t>
  </si>
  <si>
    <t>MAR - code</t>
  </si>
  <si>
    <t>635/8</t>
  </si>
  <si>
    <t>Voorzieningen voor niet-recurrente risico's en kosten</t>
  </si>
  <si>
    <t>Andere niet-recurrente financiële kosten</t>
  </si>
  <si>
    <t>Als herstructureringskosten geactiveerde niet-recurrente financiële kosten (-)</t>
  </si>
  <si>
    <t>Kost m.b.t. door Elia aan distributienetbeheerder aangerekende vergoeding voor gebruik van transmissienet (elektriciteit)</t>
  </si>
  <si>
    <t>Kost m.b.t. door andere distributienetbeheerder (via doorvoer) aangerekende vergoeding voor gebruik van transmissienet (elektriciteit)</t>
  </si>
  <si>
    <t>Kosten m.b.t. REG-premies</t>
  </si>
  <si>
    <t xml:space="preserve">Kosten m.b.t. de actieverplichting energiescans </t>
  </si>
  <si>
    <t>Kosten m.b.t. de actieverplichting sociale energie efficiëntieprojecten</t>
  </si>
  <si>
    <t>Solidarisering groenestroomcertificaten</t>
  </si>
  <si>
    <t>Solidarisering warmtekrachtcertificaten</t>
  </si>
  <si>
    <t>Waardeverminderingen op vorderingen t.g.v. fraudedossiers</t>
  </si>
  <si>
    <t>m.b.t. onterecht uitgekeerde REG-premies</t>
  </si>
  <si>
    <t>m.b.t. onterecht aangekochte GSC en WKC aan minimumwaarde</t>
  </si>
  <si>
    <t>Kosten t.g.v. terugvorderingen door de Vlaamse Overheid van onterechte financiering van openbaredienstverplichtingen</t>
  </si>
  <si>
    <t>Toeslagen</t>
  </si>
  <si>
    <t>Afbouw voorziening die wordt aangewend voor de kosten inzake het plaatsen van budgetmeters (terugneming -)</t>
  </si>
  <si>
    <t>Netto-uitgave i.h.k.v. verrekening van kost van groenestroom- en warmtekrachtcertificaten onder distributienetbeheerders volgens Energiedecreet (solidarisering opkoopverplichting)</t>
  </si>
  <si>
    <t>Omzet</t>
  </si>
  <si>
    <t>MAR-code</t>
  </si>
  <si>
    <t>Heffing volgens het Decreet houdende het Grootschalig Referentiebestand</t>
  </si>
  <si>
    <t>Wijziging in de voorraad goederen in bewerking, gereed product en bestellingen in uitvoering</t>
  </si>
  <si>
    <t>Onttrekking aan de belastingvrije reserves en uitgestelde belastingen</t>
  </si>
  <si>
    <t>Terugneming van voorzieningen voor niet-recurrente risico's en kosten</t>
  </si>
  <si>
    <t>Onttrekkingen aan de uitgestelde belastingen m.b.t. ontvangen kapitaalsubsidies</t>
  </si>
  <si>
    <t xml:space="preserve">Terugneming van afschrijvingen en waardeverminderingen </t>
  </si>
  <si>
    <t>Recuperatie van kosten m.b.t. REG-premies</t>
  </si>
  <si>
    <t xml:space="preserve">Recuperatie van kosten m.b.t. de actieverplichting energiescans </t>
  </si>
  <si>
    <t>Recuperatie van kosten m.b.t. de actieverplichting sociale energie efficiëntieprojecten</t>
  </si>
  <si>
    <t>Verkopen t.a.v. de Vlaamse Overheid</t>
  </si>
  <si>
    <t>Overige verkopen</t>
  </si>
  <si>
    <t>Netto-inkomsten i.h.k.v. verrekening van kost van groenestroom- en warmtekrachtcertificaten onder distributienetbeheerders volgens Energiedecreet (solidarisering opkoopverplichting)</t>
  </si>
  <si>
    <t>Opbrengsten uit niet-recurrente recuperatie van exogene kosten uit bijvoorbeeld fraudezaken</t>
  </si>
  <si>
    <t>TABEL 8: Operationele kosten</t>
  </si>
  <si>
    <t xml:space="preserve">TABEL 9: Operationele opbrengsten </t>
  </si>
  <si>
    <t>AMR</t>
  </si>
  <si>
    <t>MMR</t>
  </si>
  <si>
    <t>Facturatie o.b.v. prosumententarief</t>
  </si>
  <si>
    <t>Facturatie o.b.v. bruto-afname</t>
  </si>
  <si>
    <t>Exclusief nachturen</t>
  </si>
  <si>
    <t>Normale en stille uren</t>
  </si>
  <si>
    <t>Klassieke meter</t>
  </si>
  <si>
    <t>T1</t>
  </si>
  <si>
    <t>T2</t>
  </si>
  <si>
    <t>T3</t>
  </si>
  <si>
    <t>T4</t>
  </si>
  <si>
    <t>T5</t>
  </si>
  <si>
    <t>T6</t>
  </si>
  <si>
    <t>Doorvoer_MD</t>
  </si>
  <si>
    <t>Doorvoer_LD</t>
  </si>
  <si>
    <t xml:space="preserve">Dit rapporteringsmodel heeft als doel om via een standaardformaat tegemoet te komen aan de informatiebehoeften van de VREG teneinde voor elke distributienetbeheerder een inzicht te krijgen in de door de distributienetbeheerder gemaakte endogene kosten.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Het rapporteringsmodel moet gewaarmerkt zijn door een rapport van feitelijke bevindingen van de commissaris van de distributienetbeheerder.  </t>
  </si>
  <si>
    <t>ASSUMPTIES</t>
  </si>
  <si>
    <t>Maximale waarde NBK voor:</t>
  </si>
  <si>
    <t>Digitale meter - MR1</t>
  </si>
  <si>
    <t>Digitale meter - MR3</t>
  </si>
  <si>
    <t>Jaarpiek afname (in kW)</t>
  </si>
  <si>
    <t>Afgenomen hoeveelheid actieve energie (in kWh)</t>
  </si>
  <si>
    <t>Geïnjecteerde hoeveelheden actieve energie (in kWh)</t>
  </si>
  <si>
    <t>Capaciteit inzake toegangsvermogen afname (in kVA)</t>
  </si>
  <si>
    <t>Maandpiek afname (in kW)</t>
  </si>
  <si>
    <t>Overschrijding toegangsvermogen afname (in kW)</t>
  </si>
  <si>
    <t>Totaal vermogen gemiddelde maandpiek afname (in kW)</t>
  </si>
  <si>
    <t>Afgenomen hoeveelheid reactieve energie (in kVarh)</t>
  </si>
  <si>
    <t>Ter beschikking gesteld vermogen (in kVA)</t>
  </si>
  <si>
    <t>Geïnjecteerde hoeveelheid actieve energie (in kWh)</t>
  </si>
  <si>
    <t>Geïnjecteerde hoeveelheid reactieve energie (in kVarh)</t>
  </si>
  <si>
    <t>Afgenomen hoeveelheid reactieve energie - inductief (in kVarh)</t>
  </si>
  <si>
    <t>Afgenomen hoeveelheid reactieve energie - capacitief (in kVarh)</t>
  </si>
  <si>
    <t>Afgenomen capaciteit (in kVA)</t>
  </si>
  <si>
    <t>Gemiddelde RAB excl. HWMW voor het jaar</t>
  </si>
  <si>
    <t>Aanvullend capaciteitstarief voor prosumenten met terugdraaiende teller (in kW omvormer/productievermogen)</t>
  </si>
  <si>
    <t>TABEL 7: Evolutie van de RAB-waarde (excl. herwaarderingsmeerwaarden)</t>
  </si>
  <si>
    <t>Beschikbaar</t>
  </si>
  <si>
    <t>Onbeschikbaar</t>
  </si>
  <si>
    <t>Onbeschikbare reserves</t>
  </si>
  <si>
    <t>Belastingvrije reserves</t>
  </si>
  <si>
    <t>Beschikbare reserves</t>
  </si>
  <si>
    <t>130/1</t>
  </si>
  <si>
    <t>Overgedragen winst (verlies)</t>
  </si>
  <si>
    <t>Vooruitbetalingen op bestellingen</t>
  </si>
  <si>
    <t>Bijkomende opmerking</t>
  </si>
  <si>
    <t>De transfers die door de distributienetbeheerder in het betreffende boekjaar tussen de verschillende activarubrieken werden doorgevoerd, dienen in een afzonderlijk verklarende nota uitgebreid te worden gemotiveerd.</t>
  </si>
  <si>
    <t>Andere niet-recurrente financiële opbrengsten</t>
  </si>
  <si>
    <t>E. Niet-recurrente bedrijfsopbrengsten</t>
  </si>
  <si>
    <t>76A</t>
  </si>
  <si>
    <t>I. Niet-recurrente bedrijfskosten</t>
  </si>
  <si>
    <t>66A</t>
  </si>
  <si>
    <t>75/76B</t>
  </si>
  <si>
    <t>76B</t>
  </si>
  <si>
    <t>66B</t>
  </si>
  <si>
    <t>65/66B</t>
  </si>
  <si>
    <t>70/76A</t>
  </si>
  <si>
    <t>60/66A</t>
  </si>
  <si>
    <t>A. Recurrente financiële opbrengsten</t>
  </si>
  <si>
    <t>B. Niet-recurrente financiële opbrengsten</t>
  </si>
  <si>
    <t>A. Recurrente financiële kosten</t>
  </si>
  <si>
    <t>B. Niet-recurrente financiële kosten</t>
  </si>
  <si>
    <t>Kosten m.b.t. premie ter compensatie van een gedeelte van de elektriciteitsdistributienettarieven bij de inwerkingtreding van de vernietiging bij arrest nr. 5/2021 van 14 januari 2021 van de regeling over de compensatie van injectie en afname</t>
  </si>
  <si>
    <t>Recuperatie van kosten m.b.t. premie ter compensatie van een gedeelte van de elektriciteitsdistributienettarieven bij de inwerkingtreding van de vernietiging bij arrest nr. 5/2021 van 14 januari 2021 van de regeling over de compensatie van injectie en afname</t>
  </si>
  <si>
    <t>JAARLIJKS EX-POST RAPPORTERINGSMODEL ENDOGENE KOSTEN 2025-2028</t>
  </si>
  <si>
    <t>5 jaar</t>
  </si>
  <si>
    <t>50 jaar</t>
  </si>
  <si>
    <t>Dispatch gebouwen</t>
  </si>
  <si>
    <t>Zakelijke rechten op terreinen en gebouwen</t>
  </si>
  <si>
    <t>Seinkabels en overige teletransmissie</t>
  </si>
  <si>
    <t>33 jaar</t>
  </si>
  <si>
    <t>Nettransformatoren</t>
  </si>
  <si>
    <t>Technische installaties in gebouwen</t>
  </si>
  <si>
    <t>25 jaar</t>
  </si>
  <si>
    <t>Zakelijke rechten op teletransmissie</t>
  </si>
  <si>
    <t>15 jaar</t>
  </si>
  <si>
    <t>10 jaar</t>
  </si>
  <si>
    <t>Optische vezels</t>
  </si>
  <si>
    <t>Inrichting van gebouwen</t>
  </si>
  <si>
    <t>Inrichting van gehuurde gebouwen</t>
  </si>
  <si>
    <t>9 jaar</t>
  </si>
  <si>
    <t>Dieselgeneratoren</t>
  </si>
  <si>
    <t>Electronica in gebouwen</t>
  </si>
  <si>
    <t>3 jaar</t>
  </si>
  <si>
    <t>Materiële vaste activa - aardgas</t>
  </si>
  <si>
    <t>Cabines/stations</t>
  </si>
  <si>
    <t>Drukregelaars ombouw L/H</t>
  </si>
  <si>
    <t>Netbeheer aardgas</t>
  </si>
  <si>
    <t>Inbreng buiten kapitaal</t>
  </si>
  <si>
    <t>Gemiddelde RAB excl. herwaarderingsmeerwaarden</t>
  </si>
  <si>
    <t>Startwaarde RAB excl. herwaarderingsmeerwaarden</t>
  </si>
  <si>
    <t>Eindwaarde RAB excl. herwaarderingsmeerwaarden</t>
  </si>
  <si>
    <t>v1</t>
  </si>
  <si>
    <t>Posten en cabines - LS</t>
  </si>
  <si>
    <t>Cabines/stations - MD</t>
  </si>
  <si>
    <t>Cabines/stations - LD</t>
  </si>
  <si>
    <t>TABEL 5B: Afschrijvingen van de historische aanschaffingswaarde (materiële vaste activa) - aardgas</t>
  </si>
  <si>
    <t>excl. beheersfactuur</t>
  </si>
  <si>
    <t>beheersfactuur</t>
  </si>
  <si>
    <t>Kosten van de openbaredienstverplichtingen m.b.t. het stimuleren van rationeel energiegebruik (REG) en het gebruik van hernieuwbare energiebronnen volgens Energiebesluit:</t>
  </si>
  <si>
    <t>Financiële kosten gerelateerd aan operationele leases</t>
  </si>
  <si>
    <t xml:space="preserve">Vennootschapsbelasting op verworpen uitgaven </t>
  </si>
  <si>
    <t>Voorraadwijziging groenestroomcertificaten (toename voorraad: -, afname voorraad: +)</t>
  </si>
  <si>
    <t>Voorraadwijziging warmtekrachtcertificaten (toename voorraad: -, afname voorraad: +)</t>
  </si>
  <si>
    <t>Retributies aan steden en gemeenten</t>
  </si>
  <si>
    <t>Retributies aan niet-gemeentelijke openbaar domeinbeheerders</t>
  </si>
  <si>
    <t>Bijdrage in kosten Generiek Informatieplatform Openbaar Domein</t>
  </si>
  <si>
    <t>Startwaarde NBK</t>
  </si>
  <si>
    <t>Eindwaarde NBK</t>
  </si>
  <si>
    <t>Gemiddelde NBK</t>
  </si>
  <si>
    <t>Gemiddelde RAB-waarde excl. herwaarderingsmeerwaarden:</t>
  </si>
  <si>
    <t>Recuperatie van kosten van de openbaredienstverplichtingen m.b.t. het stimuleren van rationeel energiegebruik (REG) en het gebruik van hernieuwbare energiebronnen volgens Energiebesluit:</t>
  </si>
  <si>
    <t>Controle met T4-T5A-T5B:</t>
  </si>
  <si>
    <t>DOOR DNB GEFACTUREERDE VOLUMES ELEKTRICITEIT VOOR HET RAPPORTERINGSJAAR</t>
  </si>
  <si>
    <t>DOOR ELIA AAN DNB GEFACTUREERDE VOLUMES ELEKTRICITEIT VOOR HET RAPPORTERINGSJAAR</t>
  </si>
  <si>
    <t>DOOR DNB GEFACTUREERDE VOLUMES GAS (AFNAME) VOOR HET RAPPORTERINGSJAAR</t>
  </si>
  <si>
    <t>DOOR DNB GEFACTUREERDE VOLUMES GAS (INJECTIE) VOOR HET RAPPORTERINGSJAAR</t>
  </si>
  <si>
    <t>TABEL 6: Evolutie nettobedrijfskapitaal (NBK)</t>
  </si>
  <si>
    <t>Startwaarde RAB-waarde excl. herwaarderingsmeerwaarden:</t>
  </si>
  <si>
    <t>Eindwaarde RAB-waarde excl. herwaarderingsmeerwaarden:</t>
  </si>
  <si>
    <t>Gemiddelde resterende aanschaffingswaarde van de vaste activa waarop de kapitaalkosten werden berekend</t>
  </si>
  <si>
    <t>DNB</t>
  </si>
  <si>
    <t>Gelieve positieve waarden in te geven voor activa (indien debetsaldo) en voor passiva (indien creditsaldo), tenzij anders aangegeven.</t>
  </si>
  <si>
    <t>(Niet-recurrente) afschrijvingen en waardeverminderingen op oprichtingskosten</t>
  </si>
  <si>
    <t>(Niet-recurrente) afschrijvingen en waardeverminderingen op goodwill</t>
  </si>
  <si>
    <t>(Niet-recurrente) afschrijvingen en waardeverminderingen op materiële vaste activa - historische aanschaffingswaarde (excl. beheersfactuur)</t>
  </si>
  <si>
    <t xml:space="preserve">(Niet-recurrente) afschrijvingen en waardeverminderingen op materiële vaste activa - herwaarderingsmeerwaarden o.b.v. historische indexatie en iRAB </t>
  </si>
  <si>
    <t>(Niet-recurrente) afschrijvingen en waardeverminderingen op immateriële vaste activa, excl. goodwill (excl. beheersfactuur)</t>
  </si>
  <si>
    <t>Activapost (boekhoudkundige rubriek 21 excl. goodwill)</t>
  </si>
  <si>
    <t>De opbrengsten in kolom E 'beheersfactuur' dienen gerapporteerd te worden volgens hun classificatie in hoofde van de werkmaatschappij.</t>
  </si>
  <si>
    <t>Gelieve positieve waarden in te geven voor een opbrengst (indien creditsaldo), tenzij in kolom B anders wordt aangegeven.</t>
  </si>
  <si>
    <t>Gelieve positieve waarden in te geven voor een kost (indien debetsaldo), tenzij in kolom B anders wordt aangegeven.</t>
  </si>
  <si>
    <t>De kosten in de kolom E beheersfactuur dienen gerapporteerd te worden volgens hun classificatie in hoofde van de werkmaatschappij.</t>
  </si>
  <si>
    <t xml:space="preserve">Controle met tabel 1: </t>
  </si>
  <si>
    <t>10/15</t>
  </si>
  <si>
    <t xml:space="preserve">Som van alle aan kapitaal- en financieringskosten gerelateerde termen in de aangerekende gebruiksvergoedingen </t>
  </si>
  <si>
    <t>Herrekende kapitaalkosten aangerekend via gebruiksvergoedingen</t>
  </si>
  <si>
    <t>Som van alle aan kapitaal- en financieringskosten gerelateerde termen in de doorgerekende (ontvangen) gebruiksvergoedingen</t>
  </si>
  <si>
    <t>Herrekende kapitaalkosten doorgerekend (ontvangen) via gebruiksvergoedingen</t>
  </si>
  <si>
    <t>Aansluitingen - distributiecabine</t>
  </si>
  <si>
    <t>Aansluitingen - 26-36 kV-post</t>
  </si>
  <si>
    <t>Aansluitingen - 26-36 kV-net</t>
  </si>
  <si>
    <t>Aansluitingen - 1-26 kV-post</t>
  </si>
  <si>
    <t>Aansluitingen - 1-26 kV-net</t>
  </si>
  <si>
    <t>Meetapparatuur - 26-36 kV-post</t>
  </si>
  <si>
    <t>Meetapparatuur - 26-36 kV-net</t>
  </si>
  <si>
    <t>Meetapparatuur - 1-26 kV-post</t>
  </si>
  <si>
    <t>Meetapparatuur - 1-26 kV-net</t>
  </si>
  <si>
    <t>Meetapparatuur - distributiecabine</t>
  </si>
  <si>
    <t>Kabels - 26-36 kV-post</t>
  </si>
  <si>
    <t>Kabels - 26-36 kV-net</t>
  </si>
  <si>
    <t>Kabels - 1-26 kV-post</t>
  </si>
  <si>
    <t>Kabels - 1-26 kV-net</t>
  </si>
  <si>
    <t>Kabels - distributiecabine</t>
  </si>
  <si>
    <t>Lijnen - 26-36 kV-post</t>
  </si>
  <si>
    <t>Lijnen - 26-36 kV-net</t>
  </si>
  <si>
    <t>Lijnen - 1-26 kV-post</t>
  </si>
  <si>
    <t>Lijnen - 1-26 kV-net</t>
  </si>
  <si>
    <t>Lijnen - distributiecabine</t>
  </si>
  <si>
    <t>Posten en cabines - 26-36 kV-post</t>
  </si>
  <si>
    <t>Posten en cabines - 26-36 kV-net</t>
  </si>
  <si>
    <t>Posten en cabines - 1-26 kV-post</t>
  </si>
  <si>
    <t>Posten en cabines - 1-26 kV-net</t>
  </si>
  <si>
    <t>Posten en cabines - distributiecabine</t>
  </si>
  <si>
    <t>26-36 kV-post</t>
  </si>
  <si>
    <t>26-36 kV-net</t>
  </si>
  <si>
    <t>1-26 kV-post</t>
  </si>
  <si>
    <t>1-26 kV-net</t>
  </si>
  <si>
    <t>Distributiecabine</t>
  </si>
  <si>
    <t>B. Wijzigingen in de voorraden en in de bestellingen in uitvoering (toename +, afname -)</t>
  </si>
  <si>
    <t>Regularisering van belastingen en terugneming van fiscale voorzieningen</t>
  </si>
  <si>
    <t>LS-net</t>
  </si>
  <si>
    <t>Kost m.b.t. financiering OCMW-recuperaties inzake de minimale levering elektriciteit</t>
  </si>
  <si>
    <t>Kost m.b.t. financiering OCMW-recuperaties inzake de minimale levering aardgas</t>
  </si>
  <si>
    <t>Opbrengst m.b.t. financiering OCMW-recuperaties inzake de minimale levering elektriciteit</t>
  </si>
  <si>
    <t>Opbrengst m.b.t. financiering OCMW-recuperaties inzake de minimale levering aardgas</t>
  </si>
  <si>
    <t>elektriciteit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</si>
</sst>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0.00\ &quot;€&quot;"/>
    <numFmt numFmtId="165" formatCode="_-* #,##0.00\ &quot;€&quot;_-;\-* #,##0.00\ &quot;€&quot;_-;_-* &quot;-&quot;??\ &quot;€&quot;_-;_-@_-"/>
    <numFmt numFmtId="166" formatCode="_-* #,##0.00\ _€_-;\-* #,##0.00\ _€_-;_-* &quot;-&quot;??\ _€_-;_-@_-"/>
    <numFmt numFmtId="167" formatCode="#,##0.00\ &quot;€&quot;"/>
    <numFmt numFmtId="168" formatCode="0.0%"/>
    <numFmt numFmtId="169" formatCode="#,##0.000"/>
  </numFmts>
  <fonts count="73" x14ac:knownFonts="1">
    <font>
      <sz val="10"/>
      <name val="Arial"/>
    </font>
    <font>
      <sz val="10"/>
      <name val="Arial"/>
      <family val="2"/>
    </font>
    <font>
      <sz val="10"/>
      <name val="Arial"/>
      <family val="2"/>
    </font>
    <font>
      <b/>
      <sz val="10"/>
      <name val="Arial"/>
      <family val="2"/>
    </font>
    <font>
      <sz val="10"/>
      <name val="Arial"/>
      <family val="2"/>
    </font>
    <font>
      <b/>
      <u/>
      <sz val="10"/>
      <name val="Arial"/>
      <family val="2"/>
    </font>
    <font>
      <i/>
      <sz val="10"/>
      <name val="Arial"/>
      <family val="2"/>
    </font>
    <font>
      <u/>
      <sz val="10"/>
      <color indexed="12"/>
      <name val="Arial"/>
      <family val="2"/>
    </font>
    <font>
      <sz val="10"/>
      <color indexed="8"/>
      <name val="Arial"/>
      <family val="2"/>
    </font>
    <font>
      <sz val="10"/>
      <color indexed="10"/>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i/>
      <sz val="10"/>
      <name val="Arial"/>
      <family val="2"/>
    </font>
    <font>
      <b/>
      <sz val="20"/>
      <color indexed="9"/>
      <name val="Arial"/>
      <family val="2"/>
    </font>
    <font>
      <b/>
      <sz val="12"/>
      <name val="Arial"/>
      <family val="2"/>
    </font>
    <font>
      <i/>
      <u/>
      <sz val="10"/>
      <name val="Arial"/>
      <family val="2"/>
    </font>
    <font>
      <b/>
      <i/>
      <sz val="9"/>
      <name val="Arial"/>
      <family val="2"/>
    </font>
    <font>
      <i/>
      <sz val="9"/>
      <name val="Arial"/>
      <family val="2"/>
    </font>
    <font>
      <b/>
      <sz val="14"/>
      <name val="Arial"/>
      <family val="2"/>
    </font>
    <font>
      <b/>
      <sz val="8"/>
      <name val="Arial"/>
      <family val="2"/>
    </font>
    <font>
      <i/>
      <sz val="8"/>
      <name val="Arial"/>
      <family val="2"/>
    </font>
    <font>
      <sz val="10"/>
      <color indexed="8"/>
      <name val="MS Sans Serif"/>
      <family val="2"/>
    </font>
    <font>
      <sz val="11"/>
      <color indexed="8"/>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indexed="62"/>
      <name val="Cambria"/>
      <family val="2"/>
    </font>
    <font>
      <sz val="20"/>
      <name val="Arial"/>
      <family val="2"/>
    </font>
    <font>
      <sz val="10"/>
      <color indexed="12"/>
      <name val="Arial"/>
      <family val="2"/>
    </font>
    <font>
      <b/>
      <sz val="10"/>
      <color indexed="12"/>
      <name val="Arial"/>
      <family val="2"/>
    </font>
    <font>
      <sz val="9"/>
      <name val="Arial"/>
      <family val="2"/>
    </font>
    <font>
      <b/>
      <sz val="11"/>
      <name val="Arial"/>
      <family val="2"/>
    </font>
    <font>
      <sz val="11"/>
      <name val="Arial"/>
      <family val="2"/>
    </font>
    <font>
      <sz val="11"/>
      <color theme="1"/>
      <name val="Calibri"/>
      <family val="2"/>
      <scheme val="minor"/>
    </font>
    <font>
      <sz val="8"/>
      <color theme="1"/>
      <name val="Arial"/>
      <family val="2"/>
    </font>
    <font>
      <b/>
      <sz val="10"/>
      <color theme="1"/>
      <name val="Arial"/>
      <family val="2"/>
    </font>
    <font>
      <sz val="10"/>
      <color theme="1"/>
      <name val="Arial"/>
      <family val="2"/>
    </font>
    <font>
      <sz val="10"/>
      <color theme="0"/>
      <name val="Arial"/>
      <family val="2"/>
    </font>
    <font>
      <sz val="10"/>
      <name val="Tahoma"/>
      <family val="2"/>
    </font>
    <font>
      <sz val="10"/>
      <color indexed="8"/>
      <name val="Tahoma"/>
      <family val="2"/>
    </font>
    <font>
      <b/>
      <u/>
      <sz val="10"/>
      <color theme="1"/>
      <name val="Arial"/>
      <family val="2"/>
    </font>
    <font>
      <sz val="10"/>
      <color rgb="FFFF0000"/>
      <name val="Arial"/>
      <family val="2"/>
    </font>
    <font>
      <sz val="8"/>
      <name val="Arial"/>
      <family val="2"/>
    </font>
    <font>
      <u/>
      <sz val="10"/>
      <color theme="0" tint="-0.499984740745262"/>
      <name val="Arial"/>
      <family val="2"/>
    </font>
    <font>
      <b/>
      <sz val="14"/>
      <color rgb="FFFF0000"/>
      <name val="Arial"/>
      <family val="2"/>
    </font>
    <font>
      <b/>
      <sz val="10"/>
      <color rgb="FFFF0000"/>
      <name val="Arial"/>
      <family val="2"/>
    </font>
    <font>
      <b/>
      <i/>
      <u/>
      <sz val="10"/>
      <name val="Arial"/>
      <family val="2"/>
    </font>
    <font>
      <sz val="10"/>
      <color theme="0" tint="-0.34998626667073579"/>
      <name val="Arial"/>
      <family val="2"/>
    </font>
    <font>
      <u/>
      <sz val="10"/>
      <color theme="0" tint="-0.34998626667073579"/>
      <name val="Arial"/>
      <family val="2"/>
    </font>
    <font>
      <sz val="10"/>
      <color theme="6" tint="-0.499984740745262"/>
      <name val="Arial"/>
      <family val="2"/>
    </font>
    <font>
      <i/>
      <sz val="10"/>
      <color theme="6" tint="-0.499984740745262"/>
      <name val="Arial"/>
      <family val="2"/>
    </font>
    <font>
      <sz val="10"/>
      <color rgb="FF000000"/>
      <name val="Arial"/>
      <family val="2"/>
    </font>
    <font>
      <b/>
      <sz val="11"/>
      <color rgb="FF000000"/>
      <name val="Arial"/>
      <family val="2"/>
    </font>
    <font>
      <u/>
      <sz val="10"/>
      <name val="Arial"/>
      <family val="2"/>
    </font>
    <font>
      <i/>
      <sz val="9"/>
      <color theme="6" tint="-0.499984740745262"/>
      <name val="Arial"/>
      <family val="2"/>
    </font>
    <font>
      <sz val="10"/>
      <color theme="1"/>
      <name val="Arial"/>
      <family val="2"/>
    </font>
    <font>
      <i/>
      <sz val="10"/>
      <color theme="1"/>
      <name val="Arial"/>
      <family val="2"/>
    </font>
    <font>
      <b/>
      <sz val="10"/>
      <color theme="1"/>
      <name val="Arial"/>
      <family val="2"/>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B3"/>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rgb="FFFFFFFF"/>
        <bgColor indexed="64"/>
      </patternFill>
    </fill>
    <fill>
      <patternFill patternType="solid">
        <fgColor theme="0" tint="-0.249977111117893"/>
        <bgColor indexed="64"/>
      </patternFill>
    </fill>
    <fill>
      <patternFill patternType="lightUp">
        <bgColor rgb="FFFFFFB3"/>
      </patternFill>
    </fill>
    <fill>
      <patternFill patternType="solid">
        <fgColor theme="0" tint="-0.14999847407452621"/>
        <bgColor indexed="64"/>
      </patternFill>
    </fill>
    <fill>
      <patternFill patternType="solid">
        <fgColor theme="0" tint="-0.14999847407452621"/>
        <bgColor theme="0" tint="-0.14999847407452621"/>
      </patternFill>
    </fill>
  </fills>
  <borders count="1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style="dotted">
        <color indexed="64"/>
      </top>
      <bottom/>
      <diagonal/>
    </border>
    <border>
      <left style="double">
        <color indexed="64"/>
      </left>
      <right/>
      <top/>
      <bottom/>
      <diagonal/>
    </border>
    <border>
      <left style="double">
        <color indexed="64"/>
      </left>
      <right style="double">
        <color indexed="64"/>
      </right>
      <top/>
      <bottom/>
      <diagonal/>
    </border>
    <border>
      <left style="double">
        <color indexed="64"/>
      </left>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double">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rgb="FF000000"/>
      </left>
      <right/>
      <top style="medium">
        <color rgb="FF000000"/>
      </top>
      <bottom/>
      <diagonal/>
    </border>
    <border>
      <left style="dotted">
        <color indexed="64"/>
      </left>
      <right style="medium">
        <color rgb="FF000000"/>
      </right>
      <top style="thin">
        <color indexed="64"/>
      </top>
      <bottom/>
      <diagonal/>
    </border>
    <border>
      <left style="dotted">
        <color indexed="64"/>
      </left>
      <right/>
      <top style="thin">
        <color indexed="64"/>
      </top>
      <bottom style="medium">
        <color rgb="FF000000"/>
      </bottom>
      <diagonal/>
    </border>
    <border>
      <left style="dotted">
        <color indexed="64"/>
      </left>
      <right style="medium">
        <color rgb="FF000000"/>
      </right>
      <top style="thin">
        <color indexed="64"/>
      </top>
      <bottom style="medium">
        <color rgb="FF000000"/>
      </bottom>
      <diagonal/>
    </border>
    <border>
      <left style="dotted">
        <color indexed="64"/>
      </left>
      <right style="medium">
        <color indexed="64"/>
      </right>
      <top style="thin">
        <color indexed="64"/>
      </top>
      <bottom/>
      <diagonal/>
    </border>
    <border>
      <left style="medium">
        <color indexed="64"/>
      </left>
      <right/>
      <top style="thin">
        <color indexed="64"/>
      </top>
      <bottom style="medium">
        <color indexed="64"/>
      </bottom>
      <diagonal/>
    </border>
    <border>
      <left style="dotted">
        <color indexed="64"/>
      </left>
      <right/>
      <top style="medium">
        <color indexed="64"/>
      </top>
      <bottom/>
      <diagonal/>
    </border>
    <border>
      <left style="dotted">
        <color indexed="64"/>
      </left>
      <right style="medium">
        <color indexed="64"/>
      </right>
      <top style="medium">
        <color indexed="64"/>
      </top>
      <bottom/>
      <diagonal/>
    </border>
    <border>
      <left style="dotted">
        <color auto="1"/>
      </left>
      <right/>
      <top style="thin">
        <color indexed="64"/>
      </top>
      <bottom style="medium">
        <color indexed="64"/>
      </bottom>
      <diagonal/>
    </border>
    <border>
      <left style="dotted">
        <color auto="1"/>
      </left>
      <right style="medium">
        <color indexed="64"/>
      </right>
      <top style="thin">
        <color indexed="64"/>
      </top>
      <bottom style="medium">
        <color indexed="64"/>
      </bottom>
      <diagonal/>
    </border>
    <border>
      <left style="medium">
        <color indexed="64"/>
      </left>
      <right/>
      <top style="medium">
        <color rgb="FF000000"/>
      </top>
      <bottom/>
      <diagonal/>
    </border>
    <border>
      <left style="dotted">
        <color auto="1"/>
      </left>
      <right/>
      <top style="medium">
        <color rgb="FF000000"/>
      </top>
      <bottom/>
      <diagonal/>
    </border>
    <border>
      <left style="dotted">
        <color indexed="64"/>
      </left>
      <right style="medium">
        <color rgb="FF000000"/>
      </right>
      <top style="medium">
        <color rgb="FF000000"/>
      </top>
      <bottom/>
      <diagonal/>
    </border>
    <border>
      <left style="medium">
        <color rgb="FF000000"/>
      </left>
      <right/>
      <top style="medium">
        <color indexed="64"/>
      </top>
      <bottom/>
      <diagonal/>
    </border>
    <border>
      <left style="dotted">
        <color indexed="64"/>
      </left>
      <right style="medium">
        <color rgb="FF000000"/>
      </right>
      <top style="medium">
        <color indexed="64"/>
      </top>
      <bottom/>
      <diagonal/>
    </border>
    <border>
      <left style="medium">
        <color rgb="FF000000"/>
      </left>
      <right/>
      <top style="thin">
        <color indexed="64"/>
      </top>
      <bottom/>
      <diagonal/>
    </border>
    <border>
      <left style="medium">
        <color rgb="FF000000"/>
      </left>
      <right/>
      <top style="thin">
        <color indexed="64"/>
      </top>
      <bottom style="medium">
        <color rgb="FF000000"/>
      </bottom>
      <diagonal/>
    </border>
    <border>
      <left style="medium">
        <color indexed="64"/>
      </left>
      <right/>
      <top style="thin">
        <color indexed="64"/>
      </top>
      <bottom style="medium">
        <color rgb="FF000000"/>
      </bottom>
      <diagonal/>
    </border>
  </borders>
  <cellStyleXfs count="192">
    <xf numFmtId="0" fontId="0" fillId="0" borderId="0"/>
    <xf numFmtId="0" fontId="2" fillId="0" borderId="0"/>
    <xf numFmtId="0" fontId="35" fillId="2" borderId="0" applyNumberFormat="0" applyBorder="0" applyAlignment="0" applyProtection="0"/>
    <xf numFmtId="0" fontId="26" fillId="12" borderId="1" applyNumberFormat="0" applyAlignment="0" applyProtection="0"/>
    <xf numFmtId="0" fontId="27" fillId="13" borderId="2" applyNumberFormat="0" applyAlignment="0" applyProtection="0"/>
    <xf numFmtId="166" fontId="4" fillId="0" borderId="0" applyFont="0" applyFill="0" applyBorder="0" applyAlignment="0" applyProtection="0"/>
    <xf numFmtId="165" fontId="4" fillId="0" borderId="0" applyFont="0" applyFill="0" applyBorder="0" applyAlignment="0" applyProtection="0"/>
    <xf numFmtId="0" fontId="39" fillId="0" borderId="0" applyNumberFormat="0" applyFill="0" applyBorder="0" applyAlignment="0" applyProtection="0"/>
    <xf numFmtId="0" fontId="29" fillId="3"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7" fillId="0" borderId="0" applyNumberFormat="0" applyFill="0" applyBorder="0" applyAlignment="0" applyProtection="0">
      <alignment vertical="top"/>
      <protection locked="0"/>
    </xf>
    <xf numFmtId="0" fontId="30" fillId="4" borderId="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28" fillId="0" borderId="3" applyNumberFormat="0" applyFill="0" applyAlignment="0" applyProtection="0"/>
    <xf numFmtId="166" fontId="4" fillId="0" borderId="0" applyFont="0" applyFill="0" applyBorder="0" applyAlignment="0" applyProtection="0"/>
    <xf numFmtId="166" fontId="48" fillId="0" borderId="0" applyFont="0" applyFill="0" applyBorder="0" applyAlignment="0" applyProtection="0"/>
    <xf numFmtId="166" fontId="4" fillId="0" borderId="0" applyFont="0" applyFill="0" applyBorder="0" applyAlignment="0" applyProtection="0"/>
    <xf numFmtId="0" fontId="34" fillId="14" borderId="0" applyNumberFormat="0" applyBorder="0" applyAlignment="0" applyProtection="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 fillId="0" borderId="0"/>
    <xf numFmtId="0" fontId="4" fillId="0" borderId="0"/>
    <xf numFmtId="0" fontId="4" fillId="0" borderId="0"/>
    <xf numFmtId="0" fontId="2"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 fillId="0" borderId="0"/>
    <xf numFmtId="0" fontId="48" fillId="0" borderId="0"/>
    <xf numFmtId="0" fontId="48" fillId="0" borderId="0"/>
    <xf numFmtId="0" fontId="48" fillId="0" borderId="0"/>
    <xf numFmtId="0" fontId="48" fillId="0" borderId="0"/>
    <xf numFmtId="0" fontId="48" fillId="0" borderId="0"/>
    <xf numFmtId="0" fontId="4" fillId="0" borderId="0"/>
    <xf numFmtId="0" fontId="2" fillId="0" borderId="0"/>
    <xf numFmtId="0" fontId="2" fillId="15" borderId="7" applyNumberFormat="0" applyFont="0" applyAlignment="0" applyProtection="0"/>
    <xf numFmtId="0" fontId="38" fillId="12" borderId="8"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4" fontId="10" fillId="14" borderId="9" applyNumberFormat="0" applyProtection="0">
      <alignment vertical="center"/>
    </xf>
    <xf numFmtId="4" fontId="11" fillId="16" borderId="9" applyNumberFormat="0" applyProtection="0">
      <alignment vertical="center"/>
    </xf>
    <xf numFmtId="4" fontId="10" fillId="16" borderId="9" applyNumberFormat="0" applyProtection="0">
      <alignment horizontal="left" vertical="center" indent="1"/>
    </xf>
    <xf numFmtId="0" fontId="10" fillId="16" borderId="9" applyNumberFormat="0" applyProtection="0">
      <alignment horizontal="left" vertical="top" indent="1"/>
    </xf>
    <xf numFmtId="4" fontId="10" fillId="17" borderId="0" applyNumberFormat="0" applyProtection="0">
      <alignment horizontal="left" vertical="center" indent="1"/>
    </xf>
    <xf numFmtId="4" fontId="10"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10" fillId="20" borderId="10" applyNumberFormat="0" applyProtection="0">
      <alignment horizontal="left" vertical="center" indent="1"/>
    </xf>
    <xf numFmtId="4" fontId="8" fillId="21" borderId="0" applyNumberFormat="0" applyProtection="0">
      <alignment horizontal="left" vertical="center" indent="1"/>
    </xf>
    <xf numFmtId="4" fontId="12"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4" fillId="22" borderId="9" applyNumberFormat="0" applyProtection="0">
      <alignment horizontal="left" vertical="center" indent="1"/>
    </xf>
    <xf numFmtId="0" fontId="4" fillId="22" borderId="9" applyNumberFormat="0" applyProtection="0">
      <alignment horizontal="left" vertical="top" indent="1"/>
    </xf>
    <xf numFmtId="0" fontId="4" fillId="17" borderId="9" applyNumberFormat="0" applyProtection="0">
      <alignment horizontal="left" vertical="center" indent="1"/>
    </xf>
    <xf numFmtId="0" fontId="4" fillId="17" borderId="9" applyNumberFormat="0" applyProtection="0">
      <alignment horizontal="left" vertical="top" indent="1"/>
    </xf>
    <xf numFmtId="0" fontId="4" fillId="23" borderId="9" applyNumberFormat="0" applyProtection="0">
      <alignment horizontal="left" vertical="center" indent="1"/>
    </xf>
    <xf numFmtId="0" fontId="4" fillId="23" borderId="9" applyNumberFormat="0" applyProtection="0">
      <alignment horizontal="left" vertical="top" indent="1"/>
    </xf>
    <xf numFmtId="0" fontId="4" fillId="24" borderId="9" applyNumberFormat="0" applyProtection="0">
      <alignment horizontal="left" vertical="center" indent="1"/>
    </xf>
    <xf numFmtId="0" fontId="4" fillId="24" borderId="9" applyNumberFormat="0" applyProtection="0">
      <alignment horizontal="left" vertical="top" indent="1"/>
    </xf>
    <xf numFmtId="0" fontId="2" fillId="25" borderId="11" applyNumberFormat="0">
      <protection locked="0"/>
    </xf>
    <xf numFmtId="4" fontId="8" fillId="26" borderId="9" applyNumberFormat="0" applyProtection="0">
      <alignment vertical="center"/>
    </xf>
    <xf numFmtId="4" fontId="13"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3"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4" fillId="27" borderId="0" applyNumberFormat="0" applyProtection="0">
      <alignment horizontal="left" vertical="center" indent="1"/>
    </xf>
    <xf numFmtId="4" fontId="9" fillId="21" borderId="9" applyNumberFormat="0" applyProtection="0">
      <alignment horizontal="right" vertical="center"/>
    </xf>
    <xf numFmtId="0" fontId="41" fillId="0" borderId="0" applyNumberFormat="0" applyFill="0" applyBorder="0" applyAlignment="0" applyProtection="0"/>
    <xf numFmtId="0" fontId="4" fillId="0" borderId="0">
      <alignment vertical="top"/>
    </xf>
    <xf numFmtId="0" fontId="4" fillId="0" borderId="0">
      <alignment vertical="top"/>
    </xf>
    <xf numFmtId="0" fontId="4" fillId="0" borderId="0"/>
    <xf numFmtId="0" fontId="2" fillId="0" borderId="0"/>
    <xf numFmtId="0" fontId="2" fillId="0" borderId="0">
      <alignment vertical="top"/>
    </xf>
    <xf numFmtId="0" fontId="4" fillId="0" borderId="0"/>
    <xf numFmtId="0" fontId="4" fillId="0" borderId="0">
      <alignment vertical="top"/>
    </xf>
    <xf numFmtId="0" fontId="2" fillId="0" borderId="0"/>
    <xf numFmtId="0" fontId="48" fillId="0" borderId="0"/>
    <xf numFmtId="0" fontId="4" fillId="0" borderId="0">
      <alignment vertical="top"/>
    </xf>
    <xf numFmtId="0" fontId="25" fillId="0" borderId="0"/>
    <xf numFmtId="0" fontId="4" fillId="0" borderId="0">
      <alignment vertical="top"/>
    </xf>
    <xf numFmtId="0" fontId="4" fillId="0" borderId="0">
      <alignment vertical="top"/>
    </xf>
    <xf numFmtId="0" fontId="49" fillId="0" borderId="0"/>
    <xf numFmtId="0" fontId="2" fillId="0" borderId="0"/>
    <xf numFmtId="0" fontId="24" fillId="0" borderId="0"/>
    <xf numFmtId="0" fontId="4" fillId="0" borderId="0"/>
    <xf numFmtId="0" fontId="2" fillId="0" borderId="0"/>
    <xf numFmtId="0" fontId="8" fillId="0" borderId="0">
      <alignment vertical="top"/>
    </xf>
    <xf numFmtId="0" fontId="8" fillId="0" borderId="0">
      <alignment vertical="top"/>
    </xf>
    <xf numFmtId="0" fontId="36" fillId="0" borderId="0" applyNumberFormat="0" applyFill="0" applyBorder="0" applyAlignment="0" applyProtection="0"/>
    <xf numFmtId="0" fontId="37" fillId="0" borderId="12" applyNumberFormat="0" applyFill="0" applyAlignment="0" applyProtection="0"/>
    <xf numFmtId="165" fontId="2" fillId="0" borderId="0" applyFont="0" applyFill="0" applyBorder="0" applyAlignment="0" applyProtection="0"/>
    <xf numFmtId="0" fontId="40" fillId="0" borderId="0" applyNumberFormat="0" applyFill="0" applyBorder="0" applyAlignment="0" applyProtection="0"/>
  </cellStyleXfs>
  <cellXfs count="764">
    <xf numFmtId="0" fontId="0" fillId="0" borderId="0" xfId="0"/>
    <xf numFmtId="165" fontId="2" fillId="30" borderId="20" xfId="190" applyFont="1" applyFill="1" applyBorder="1" applyAlignment="1" applyProtection="1">
      <alignment horizontal="center"/>
    </xf>
    <xf numFmtId="165" fontId="0" fillId="0" borderId="11" xfId="190" applyFont="1" applyBorder="1" applyAlignment="1" applyProtection="1">
      <alignment horizontal="center" vertical="center"/>
    </xf>
    <xf numFmtId="0" fontId="2" fillId="30" borderId="69" xfId="0" applyFont="1" applyFill="1" applyBorder="1" applyAlignment="1">
      <alignment vertical="center"/>
    </xf>
    <xf numFmtId="0" fontId="15" fillId="30" borderId="51" xfId="0" applyFont="1" applyFill="1" applyBorder="1" applyAlignment="1">
      <alignment horizontal="right" vertical="center"/>
    </xf>
    <xf numFmtId="0" fontId="3" fillId="31" borderId="51" xfId="190" applyNumberFormat="1" applyFont="1" applyFill="1" applyBorder="1" applyAlignment="1" applyProtection="1">
      <alignment horizontal="center"/>
      <protection locked="0"/>
    </xf>
    <xf numFmtId="0" fontId="17" fillId="30" borderId="0" xfId="0" applyFont="1" applyFill="1" applyAlignment="1">
      <alignment horizontal="center" vertical="center" wrapText="1"/>
    </xf>
    <xf numFmtId="0" fontId="4" fillId="30" borderId="0" xfId="0" applyFont="1" applyFill="1" applyAlignment="1">
      <alignment vertical="center"/>
    </xf>
    <xf numFmtId="0" fontId="18" fillId="30" borderId="0" xfId="13" applyFont="1" applyFill="1" applyAlignment="1" applyProtection="1">
      <alignment vertical="center"/>
    </xf>
    <xf numFmtId="0" fontId="4" fillId="30" borderId="0" xfId="173" applyFill="1" applyAlignment="1">
      <alignment vertical="center"/>
    </xf>
    <xf numFmtId="0" fontId="0" fillId="30" borderId="0" xfId="0" applyFill="1" applyAlignment="1">
      <alignment vertical="center"/>
    </xf>
    <xf numFmtId="167" fontId="2" fillId="31" borderId="35" xfId="190" applyNumberFormat="1" applyFont="1" applyFill="1" applyBorder="1" applyAlignment="1" applyProtection="1">
      <alignment vertical="center"/>
      <protection locked="0"/>
    </xf>
    <xf numFmtId="167" fontId="5" fillId="31" borderId="35" xfId="190" applyNumberFormat="1" applyFont="1" applyFill="1" applyBorder="1" applyAlignment="1" applyProtection="1">
      <alignment vertical="center"/>
      <protection locked="0"/>
    </xf>
    <xf numFmtId="168" fontId="55" fillId="30" borderId="35" xfId="121" applyNumberFormat="1" applyFont="1" applyFill="1" applyBorder="1" applyAlignment="1" applyProtection="1">
      <alignment vertical="center"/>
    </xf>
    <xf numFmtId="168" fontId="2" fillId="30" borderId="35" xfId="121" applyNumberFormat="1" applyFont="1" applyFill="1" applyBorder="1" applyAlignment="1" applyProtection="1">
      <alignment vertical="center"/>
    </xf>
    <xf numFmtId="168" fontId="5" fillId="30" borderId="35" xfId="121" applyNumberFormat="1" applyFont="1" applyFill="1" applyBorder="1" applyAlignment="1" applyProtection="1">
      <alignment horizontal="center" vertical="center" wrapText="1"/>
    </xf>
    <xf numFmtId="168" fontId="5" fillId="30" borderId="35" xfId="121" applyNumberFormat="1" applyFont="1" applyFill="1" applyBorder="1" applyAlignment="1" applyProtection="1">
      <alignment vertical="center"/>
    </xf>
    <xf numFmtId="168" fontId="51" fillId="30" borderId="35" xfId="121" applyNumberFormat="1" applyFont="1" applyFill="1" applyBorder="1" applyAlignment="1" applyProtection="1">
      <alignment vertical="center"/>
    </xf>
    <xf numFmtId="168" fontId="50" fillId="30" borderId="35" xfId="121" applyNumberFormat="1" applyFont="1" applyFill="1" applyBorder="1" applyAlignment="1" applyProtection="1">
      <alignment vertical="center"/>
    </xf>
    <xf numFmtId="168" fontId="3" fillId="30" borderId="35" xfId="121" quotePrefix="1" applyNumberFormat="1" applyFont="1" applyFill="1" applyBorder="1" applyAlignment="1" applyProtection="1">
      <alignment vertical="center"/>
    </xf>
    <xf numFmtId="168" fontId="50" fillId="30" borderId="35" xfId="121" quotePrefix="1" applyNumberFormat="1" applyFont="1" applyFill="1" applyBorder="1" applyAlignment="1" applyProtection="1">
      <alignment vertical="center"/>
    </xf>
    <xf numFmtId="168" fontId="2" fillId="30" borderId="42" xfId="121" applyNumberFormat="1" applyFont="1" applyFill="1" applyBorder="1" applyAlignment="1" applyProtection="1">
      <alignment vertical="center"/>
    </xf>
    <xf numFmtId="168" fontId="2" fillId="30" borderId="38" xfId="121" applyNumberFormat="1" applyFont="1" applyFill="1" applyBorder="1" applyAlignment="1" applyProtection="1">
      <alignment vertical="center"/>
    </xf>
    <xf numFmtId="168" fontId="2" fillId="30" borderId="0" xfId="121" applyNumberFormat="1" applyFont="1" applyFill="1" applyAlignment="1" applyProtection="1">
      <alignment vertical="center"/>
    </xf>
    <xf numFmtId="168" fontId="2" fillId="30" borderId="37" xfId="121" applyNumberFormat="1" applyFont="1" applyFill="1" applyBorder="1" applyAlignment="1" applyProtection="1">
      <alignment vertical="center"/>
    </xf>
    <xf numFmtId="168" fontId="3" fillId="30" borderId="35" xfId="121" applyNumberFormat="1" applyFont="1" applyFill="1" applyBorder="1" applyAlignment="1" applyProtection="1">
      <alignment vertical="center"/>
    </xf>
    <xf numFmtId="168" fontId="44" fillId="30" borderId="35" xfId="121" applyNumberFormat="1" applyFont="1" applyFill="1" applyBorder="1" applyAlignment="1" applyProtection="1">
      <alignment vertical="center"/>
    </xf>
    <xf numFmtId="0" fontId="0" fillId="29" borderId="0" xfId="0" applyFill="1" applyAlignment="1">
      <alignment vertical="center"/>
    </xf>
    <xf numFmtId="0" fontId="5" fillId="30" borderId="0" xfId="0" applyFont="1" applyFill="1" applyAlignment="1">
      <alignment vertical="center"/>
    </xf>
    <xf numFmtId="164" fontId="0" fillId="30" borderId="0" xfId="0" applyNumberFormat="1" applyFill="1" applyAlignment="1">
      <alignment vertical="center"/>
    </xf>
    <xf numFmtId="0" fontId="6" fillId="30" borderId="69" xfId="0" applyFont="1" applyFill="1" applyBorder="1" applyAlignment="1">
      <alignment horizontal="left" vertical="center"/>
    </xf>
    <xf numFmtId="0" fontId="6" fillId="30" borderId="0" xfId="0" applyFont="1" applyFill="1" applyAlignment="1">
      <alignment vertical="center"/>
    </xf>
    <xf numFmtId="0" fontId="5" fillId="30" borderId="0" xfId="0" applyFont="1" applyFill="1" applyAlignment="1">
      <alignment horizontal="left" vertical="center"/>
    </xf>
    <xf numFmtId="165" fontId="2" fillId="30" borderId="0" xfId="190" applyFont="1" applyFill="1" applyBorder="1" applyAlignment="1" applyProtection="1">
      <alignment vertical="center"/>
    </xf>
    <xf numFmtId="9" fontId="4" fillId="30" borderId="52" xfId="125" applyFont="1" applyFill="1" applyBorder="1" applyAlignment="1" applyProtection="1">
      <alignment vertical="center"/>
    </xf>
    <xf numFmtId="164" fontId="2" fillId="31" borderId="40" xfId="190" applyNumberFormat="1" applyFont="1" applyFill="1" applyBorder="1" applyAlignment="1" applyProtection="1">
      <alignment vertical="center"/>
      <protection locked="0"/>
    </xf>
    <xf numFmtId="164" fontId="2" fillId="30" borderId="40" xfId="190" applyNumberFormat="1" applyFont="1" applyFill="1" applyBorder="1" applyAlignment="1" applyProtection="1">
      <alignment vertical="center"/>
    </xf>
    <xf numFmtId="9" fontId="4" fillId="30" borderId="54" xfId="125" applyFont="1" applyFill="1" applyBorder="1" applyAlignment="1" applyProtection="1">
      <alignment vertical="center"/>
    </xf>
    <xf numFmtId="9" fontId="4" fillId="30" borderId="32" xfId="125" applyFont="1" applyFill="1" applyBorder="1" applyAlignment="1" applyProtection="1">
      <alignment vertical="center"/>
    </xf>
    <xf numFmtId="164" fontId="2" fillId="31" borderId="14" xfId="190" applyNumberFormat="1" applyFont="1" applyFill="1" applyBorder="1" applyAlignment="1" applyProtection="1">
      <alignment vertical="center"/>
      <protection locked="0"/>
    </xf>
    <xf numFmtId="164" fontId="2" fillId="30" borderId="14" xfId="190" applyNumberFormat="1" applyFont="1" applyFill="1" applyBorder="1" applyAlignment="1" applyProtection="1">
      <alignment vertical="center"/>
    </xf>
    <xf numFmtId="0" fontId="52" fillId="30" borderId="0" xfId="0" applyFont="1" applyFill="1" applyAlignment="1">
      <alignment vertical="center"/>
    </xf>
    <xf numFmtId="167" fontId="2" fillId="30" borderId="11" xfId="190" applyNumberFormat="1" applyFont="1" applyFill="1" applyBorder="1" applyAlignment="1" applyProtection="1">
      <alignment vertical="center"/>
    </xf>
    <xf numFmtId="10" fontId="4" fillId="30" borderId="52" xfId="125" applyNumberFormat="1" applyFont="1" applyFill="1" applyBorder="1" applyAlignment="1" applyProtection="1">
      <alignment vertical="center"/>
    </xf>
    <xf numFmtId="167" fontId="2" fillId="31" borderId="52" xfId="190" applyNumberFormat="1" applyFont="1" applyFill="1" applyBorder="1" applyAlignment="1" applyProtection="1">
      <alignment vertical="center"/>
      <protection locked="0"/>
    </xf>
    <xf numFmtId="167" fontId="2" fillId="30" borderId="52" xfId="190" applyNumberFormat="1" applyFont="1" applyFill="1" applyBorder="1" applyAlignment="1" applyProtection="1">
      <alignment vertical="center"/>
    </xf>
    <xf numFmtId="167" fontId="2" fillId="30" borderId="39" xfId="190" applyNumberFormat="1" applyFont="1" applyFill="1" applyBorder="1" applyAlignment="1" applyProtection="1">
      <alignment vertical="center"/>
    </xf>
    <xf numFmtId="10" fontId="4" fillId="30" borderId="55" xfId="125" applyNumberFormat="1" applyFont="1" applyFill="1" applyBorder="1" applyAlignment="1" applyProtection="1">
      <alignment vertical="center"/>
    </xf>
    <xf numFmtId="167" fontId="2" fillId="31" borderId="55" xfId="190" applyNumberFormat="1" applyFont="1" applyFill="1" applyBorder="1" applyAlignment="1" applyProtection="1">
      <alignment vertical="center"/>
      <protection locked="0"/>
    </xf>
    <xf numFmtId="167" fontId="2" fillId="30" borderId="55" xfId="190" applyNumberFormat="1" applyFont="1" applyFill="1" applyBorder="1" applyAlignment="1" applyProtection="1">
      <alignment vertical="center"/>
    </xf>
    <xf numFmtId="167" fontId="2" fillId="30" borderId="41" xfId="190" applyNumberFormat="1" applyFont="1" applyFill="1" applyBorder="1" applyAlignment="1" applyProtection="1">
      <alignment vertical="center"/>
    </xf>
    <xf numFmtId="10" fontId="4" fillId="30" borderId="41" xfId="125" applyNumberFormat="1" applyFont="1" applyFill="1" applyBorder="1" applyAlignment="1" applyProtection="1">
      <alignment vertical="center"/>
    </xf>
    <xf numFmtId="167" fontId="2" fillId="30" borderId="14" xfId="190" applyNumberFormat="1" applyFont="1" applyFill="1" applyBorder="1" applyAlignment="1" applyProtection="1">
      <alignment vertical="center"/>
    </xf>
    <xf numFmtId="0" fontId="56" fillId="30" borderId="0" xfId="0" applyFont="1" applyFill="1" applyAlignment="1">
      <alignment vertical="center"/>
    </xf>
    <xf numFmtId="10" fontId="4" fillId="30" borderId="67" xfId="125" applyNumberFormat="1" applyFont="1" applyFill="1" applyBorder="1" applyAlignment="1" applyProtection="1">
      <alignment vertical="center"/>
    </xf>
    <xf numFmtId="167" fontId="2" fillId="31" borderId="67" xfId="190" applyNumberFormat="1" applyFont="1" applyFill="1" applyBorder="1" applyAlignment="1" applyProtection="1">
      <alignment vertical="center"/>
      <protection locked="0"/>
    </xf>
    <xf numFmtId="167" fontId="2" fillId="30" borderId="67" xfId="190" applyNumberFormat="1" applyFont="1" applyFill="1" applyBorder="1" applyAlignment="1" applyProtection="1">
      <alignment vertical="center"/>
    </xf>
    <xf numFmtId="167" fontId="2" fillId="31" borderId="11" xfId="190" applyNumberFormat="1" applyFont="1" applyFill="1" applyBorder="1" applyAlignment="1" applyProtection="1">
      <alignment vertical="center"/>
      <protection locked="0"/>
    </xf>
    <xf numFmtId="167" fontId="2" fillId="30" borderId="0" xfId="190" applyNumberFormat="1" applyFont="1" applyFill="1" applyBorder="1" applyAlignment="1" applyProtection="1">
      <alignment vertical="center"/>
    </xf>
    <xf numFmtId="0" fontId="4" fillId="30" borderId="25" xfId="0" applyFont="1" applyFill="1" applyBorder="1" applyAlignment="1">
      <alignment vertical="center"/>
    </xf>
    <xf numFmtId="167" fontId="2" fillId="31" borderId="24" xfId="190" applyNumberFormat="1" applyFont="1" applyFill="1" applyBorder="1" applyAlignment="1" applyProtection="1">
      <alignment vertical="center"/>
      <protection locked="0"/>
    </xf>
    <xf numFmtId="167" fontId="2" fillId="30" borderId="24" xfId="190" applyNumberFormat="1" applyFont="1" applyFill="1" applyBorder="1" applyAlignment="1" applyProtection="1">
      <alignment vertical="center"/>
    </xf>
    <xf numFmtId="167" fontId="2" fillId="0" borderId="14" xfId="190" applyNumberFormat="1" applyFont="1" applyFill="1" applyBorder="1" applyAlignment="1" applyProtection="1">
      <alignment vertical="center"/>
    </xf>
    <xf numFmtId="167" fontId="4" fillId="30" borderId="32" xfId="190" applyNumberFormat="1" applyFont="1" applyFill="1" applyBorder="1" applyAlignment="1" applyProtection="1">
      <alignment vertical="center"/>
    </xf>
    <xf numFmtId="167" fontId="4" fillId="0" borderId="21" xfId="190" applyNumberFormat="1" applyFont="1" applyFill="1" applyBorder="1" applyAlignment="1" applyProtection="1">
      <alignment vertical="center"/>
    </xf>
    <xf numFmtId="167" fontId="3" fillId="30" borderId="32" xfId="190" applyNumberFormat="1" applyFont="1" applyFill="1" applyBorder="1" applyAlignment="1" applyProtection="1">
      <alignment vertical="center"/>
    </xf>
    <xf numFmtId="0" fontId="4" fillId="30" borderId="16" xfId="0" applyFont="1" applyFill="1" applyBorder="1" applyAlignment="1">
      <alignment vertical="center"/>
    </xf>
    <xf numFmtId="0" fontId="4" fillId="30" borderId="17" xfId="0" applyFont="1" applyFill="1" applyBorder="1" applyAlignment="1">
      <alignment vertical="center"/>
    </xf>
    <xf numFmtId="0" fontId="3" fillId="30" borderId="18" xfId="0" applyFont="1" applyFill="1" applyBorder="1" applyAlignment="1">
      <alignment horizontal="center" vertical="center"/>
    </xf>
    <xf numFmtId="0" fontId="4" fillId="30" borderId="19" xfId="0" applyFont="1" applyFill="1" applyBorder="1" applyAlignment="1">
      <alignment vertical="center"/>
    </xf>
    <xf numFmtId="1" fontId="3" fillId="30" borderId="18" xfId="0" applyNumberFormat="1" applyFont="1" applyFill="1" applyBorder="1" applyAlignment="1">
      <alignment horizontal="center" vertical="center"/>
    </xf>
    <xf numFmtId="0" fontId="4" fillId="30" borderId="30" xfId="0" applyFont="1" applyFill="1" applyBorder="1" applyAlignment="1">
      <alignment horizontal="left" vertical="center"/>
    </xf>
    <xf numFmtId="164" fontId="4" fillId="30" borderId="31" xfId="190" applyNumberFormat="1" applyFont="1" applyFill="1" applyBorder="1" applyAlignment="1">
      <alignment vertical="center"/>
    </xf>
    <xf numFmtId="0" fontId="4" fillId="30" borderId="28" xfId="0" applyFont="1" applyFill="1" applyBorder="1" applyAlignment="1">
      <alignment horizontal="left" vertical="center"/>
    </xf>
    <xf numFmtId="164" fontId="4" fillId="30" borderId="28" xfId="190" applyNumberFormat="1" applyFont="1" applyFill="1" applyBorder="1" applyAlignment="1">
      <alignment vertical="center"/>
    </xf>
    <xf numFmtId="0" fontId="4" fillId="30" borderId="13" xfId="0" applyFont="1" applyFill="1" applyBorder="1" applyAlignment="1">
      <alignment vertical="center"/>
    </xf>
    <xf numFmtId="0" fontId="4" fillId="30" borderId="29" xfId="0" applyFont="1" applyFill="1" applyBorder="1" applyAlignment="1">
      <alignment horizontal="left" vertical="center"/>
    </xf>
    <xf numFmtId="164" fontId="4" fillId="30" borderId="29" xfId="190" applyNumberFormat="1" applyFont="1" applyFill="1" applyBorder="1" applyAlignment="1">
      <alignment vertical="center"/>
    </xf>
    <xf numFmtId="0" fontId="4" fillId="30" borderId="22" xfId="0" applyFont="1" applyFill="1" applyBorder="1" applyAlignment="1">
      <alignment vertical="center"/>
    </xf>
    <xf numFmtId="0" fontId="4" fillId="30" borderId="23" xfId="0" applyFont="1" applyFill="1" applyBorder="1" applyAlignment="1">
      <alignment horizontal="left" vertical="center"/>
    </xf>
    <xf numFmtId="164" fontId="4" fillId="30" borderId="23" xfId="190" applyNumberFormat="1" applyFont="1" applyFill="1" applyBorder="1" applyAlignment="1">
      <alignment vertical="center"/>
    </xf>
    <xf numFmtId="0" fontId="4" fillId="30" borderId="14" xfId="0" applyFont="1" applyFill="1" applyBorder="1" applyAlignment="1">
      <alignment vertical="center"/>
    </xf>
    <xf numFmtId="164" fontId="4" fillId="30" borderId="32" xfId="190" applyNumberFormat="1" applyFont="1" applyFill="1" applyBorder="1" applyAlignment="1">
      <alignment vertical="center"/>
    </xf>
    <xf numFmtId="164" fontId="4" fillId="30" borderId="14" xfId="190" applyNumberFormat="1" applyFont="1" applyFill="1" applyBorder="1" applyAlignment="1">
      <alignment vertical="center"/>
    </xf>
    <xf numFmtId="0" fontId="4" fillId="30" borderId="23" xfId="0" applyFont="1" applyFill="1" applyBorder="1" applyAlignment="1">
      <alignment vertical="center"/>
    </xf>
    <xf numFmtId="164" fontId="6" fillId="30" borderId="24" xfId="190" applyNumberFormat="1" applyFont="1" applyFill="1" applyBorder="1" applyAlignment="1">
      <alignment vertical="center"/>
    </xf>
    <xf numFmtId="0" fontId="4" fillId="30" borderId="26" xfId="0" applyFont="1" applyFill="1" applyBorder="1" applyAlignment="1">
      <alignment vertical="center"/>
    </xf>
    <xf numFmtId="164" fontId="4" fillId="30" borderId="26" xfId="190" applyNumberFormat="1" applyFont="1" applyFill="1" applyBorder="1" applyAlignment="1">
      <alignment vertical="center"/>
    </xf>
    <xf numFmtId="0" fontId="2" fillId="30" borderId="13" xfId="0" applyFont="1" applyFill="1" applyBorder="1" applyAlignment="1">
      <alignment vertical="center"/>
    </xf>
    <xf numFmtId="0" fontId="4" fillId="30" borderId="28" xfId="0" applyFont="1" applyFill="1" applyBorder="1" applyAlignment="1">
      <alignment vertical="center"/>
    </xf>
    <xf numFmtId="0" fontId="2" fillId="30" borderId="28" xfId="0" applyFont="1" applyFill="1" applyBorder="1" applyAlignment="1">
      <alignment horizontal="left" vertical="center"/>
    </xf>
    <xf numFmtId="0" fontId="23" fillId="30" borderId="25" xfId="0" applyFont="1" applyFill="1" applyBorder="1" applyAlignment="1">
      <alignment vertical="center"/>
    </xf>
    <xf numFmtId="0" fontId="23" fillId="30" borderId="26" xfId="0" applyFont="1" applyFill="1" applyBorder="1" applyAlignment="1">
      <alignment vertical="center"/>
    </xf>
    <xf numFmtId="164" fontId="23" fillId="30" borderId="26" xfId="190" applyNumberFormat="1" applyFont="1" applyFill="1" applyBorder="1" applyAlignment="1">
      <alignment vertical="center"/>
    </xf>
    <xf numFmtId="0" fontId="3" fillId="30" borderId="13" xfId="0" applyFont="1" applyFill="1" applyBorder="1" applyAlignment="1">
      <alignment vertical="center"/>
    </xf>
    <xf numFmtId="0" fontId="3" fillId="30" borderId="14" xfId="0" applyFont="1" applyFill="1" applyBorder="1" applyAlignment="1">
      <alignment vertical="center"/>
    </xf>
    <xf numFmtId="164" fontId="3" fillId="30" borderId="14" xfId="190" applyNumberFormat="1" applyFont="1" applyFill="1" applyBorder="1" applyAlignment="1">
      <alignment vertical="center"/>
    </xf>
    <xf numFmtId="0" fontId="4" fillId="30" borderId="27" xfId="0" applyFont="1" applyFill="1" applyBorder="1" applyAlignment="1">
      <alignment vertical="center"/>
    </xf>
    <xf numFmtId="167" fontId="4" fillId="31" borderId="11" xfId="190" applyNumberFormat="1" applyFont="1" applyFill="1" applyBorder="1" applyAlignment="1" applyProtection="1">
      <alignment vertical="center"/>
      <protection locked="0"/>
    </xf>
    <xf numFmtId="167" fontId="4" fillId="30" borderId="0" xfId="190" applyNumberFormat="1" applyFont="1" applyFill="1" applyBorder="1" applyAlignment="1" applyProtection="1">
      <alignment vertical="center"/>
    </xf>
    <xf numFmtId="167" fontId="3" fillId="30" borderId="11" xfId="190" applyNumberFormat="1" applyFont="1" applyFill="1" applyBorder="1" applyAlignment="1" applyProtection="1">
      <alignment vertical="center"/>
    </xf>
    <xf numFmtId="167" fontId="6" fillId="30" borderId="0" xfId="190" applyNumberFormat="1" applyFont="1" applyFill="1" applyBorder="1" applyAlignment="1" applyProtection="1">
      <alignment vertical="center"/>
    </xf>
    <xf numFmtId="0" fontId="6" fillId="0" borderId="11" xfId="190" applyNumberFormat="1" applyFont="1" applyFill="1" applyBorder="1" applyAlignment="1" applyProtection="1">
      <alignment horizontal="center" vertical="center"/>
    </xf>
    <xf numFmtId="0" fontId="2" fillId="30" borderId="0" xfId="190" applyNumberFormat="1" applyFont="1" applyFill="1" applyBorder="1" applyAlignment="1" applyProtection="1">
      <alignment vertical="center"/>
    </xf>
    <xf numFmtId="0" fontId="6" fillId="30" borderId="0" xfId="190" applyNumberFormat="1" applyFont="1" applyFill="1" applyBorder="1" applyAlignment="1" applyProtection="1">
      <alignment horizontal="center" vertical="center"/>
    </xf>
    <xf numFmtId="167" fontId="4" fillId="30" borderId="11" xfId="190" applyNumberFormat="1" applyFont="1" applyFill="1" applyBorder="1" applyAlignment="1" applyProtection="1">
      <alignment vertical="center"/>
    </xf>
    <xf numFmtId="0" fontId="6" fillId="30" borderId="11" xfId="190" applyNumberFormat="1" applyFont="1" applyFill="1" applyBorder="1" applyAlignment="1" applyProtection="1">
      <alignment horizontal="center" vertical="center"/>
    </xf>
    <xf numFmtId="167" fontId="4" fillId="30" borderId="63" xfId="190" applyNumberFormat="1" applyFont="1" applyFill="1" applyBorder="1" applyAlignment="1" applyProtection="1">
      <alignment vertical="center"/>
    </xf>
    <xf numFmtId="0" fontId="6" fillId="0" borderId="63" xfId="190" applyNumberFormat="1" applyFont="1" applyFill="1" applyBorder="1" applyAlignment="1" applyProtection="1">
      <alignment horizontal="center" vertical="center"/>
    </xf>
    <xf numFmtId="167" fontId="4" fillId="0" borderId="11" xfId="190" applyNumberFormat="1" applyFont="1" applyFill="1" applyBorder="1" applyAlignment="1" applyProtection="1">
      <alignment vertical="center"/>
    </xf>
    <xf numFmtId="0" fontId="6" fillId="30" borderId="63" xfId="190" applyNumberFormat="1" applyFont="1" applyFill="1" applyBorder="1" applyAlignment="1" applyProtection="1">
      <alignment horizontal="center" vertical="center"/>
    </xf>
    <xf numFmtId="0" fontId="2" fillId="30" borderId="63" xfId="190" applyNumberFormat="1" applyFont="1" applyFill="1" applyBorder="1" applyAlignment="1" applyProtection="1">
      <alignment vertical="center"/>
    </xf>
    <xf numFmtId="165" fontId="4" fillId="30" borderId="0" xfId="190" applyFont="1" applyFill="1" applyBorder="1" applyAlignment="1" applyProtection="1">
      <alignment vertical="center"/>
    </xf>
    <xf numFmtId="3" fontId="2" fillId="30" borderId="11" xfId="190" applyNumberFormat="1" applyFont="1" applyFill="1" applyBorder="1" applyAlignment="1" applyProtection="1">
      <alignment horizontal="center" vertical="center"/>
    </xf>
    <xf numFmtId="0" fontId="58" fillId="0" borderId="0" xfId="13" applyFont="1" applyAlignment="1" applyProtection="1"/>
    <xf numFmtId="0" fontId="6" fillId="30" borderId="24" xfId="0" applyFont="1" applyFill="1" applyBorder="1" applyAlignment="1">
      <alignment horizontal="left" vertical="center" indent="2"/>
    </xf>
    <xf numFmtId="0" fontId="1" fillId="30" borderId="0" xfId="0" applyFont="1" applyFill="1" applyAlignment="1">
      <alignment horizontal="right" vertical="center"/>
    </xf>
    <xf numFmtId="167" fontId="1" fillId="31" borderId="35" xfId="190" applyNumberFormat="1" applyFont="1" applyFill="1" applyBorder="1" applyAlignment="1" applyProtection="1">
      <alignment vertical="center"/>
      <protection locked="0"/>
    </xf>
    <xf numFmtId="168" fontId="3" fillId="30" borderId="65" xfId="121" applyNumberFormat="1" applyFont="1" applyFill="1" applyBorder="1" applyAlignment="1" applyProtection="1">
      <alignment horizontal="center" vertical="center"/>
    </xf>
    <xf numFmtId="168" fontId="3" fillId="30" borderId="42" xfId="121" applyNumberFormat="1" applyFont="1" applyFill="1" applyBorder="1" applyAlignment="1" applyProtection="1">
      <alignment horizontal="center" vertical="center"/>
    </xf>
    <xf numFmtId="0" fontId="63" fillId="0" borderId="0" xfId="13" applyFont="1" applyFill="1" applyAlignment="1" applyProtection="1"/>
    <xf numFmtId="167" fontId="5" fillId="30" borderId="35" xfId="190" applyNumberFormat="1" applyFont="1" applyFill="1" applyBorder="1" applyAlignment="1" applyProtection="1">
      <alignment vertical="center"/>
    </xf>
    <xf numFmtId="168" fontId="5" fillId="30" borderId="35" xfId="121" applyNumberFormat="1" applyFont="1" applyFill="1" applyBorder="1" applyAlignment="1" applyProtection="1">
      <alignment vertical="top"/>
    </xf>
    <xf numFmtId="168" fontId="6" fillId="30" borderId="35" xfId="121" applyNumberFormat="1" applyFont="1" applyFill="1" applyBorder="1" applyAlignment="1" applyProtection="1">
      <alignment vertical="top"/>
    </xf>
    <xf numFmtId="168" fontId="17" fillId="30" borderId="37" xfId="121" applyNumberFormat="1" applyFont="1" applyFill="1" applyBorder="1" applyAlignment="1" applyProtection="1">
      <alignment vertical="top"/>
    </xf>
    <xf numFmtId="168" fontId="46" fillId="30" borderId="35" xfId="121" applyNumberFormat="1" applyFont="1" applyFill="1" applyBorder="1" applyAlignment="1" applyProtection="1">
      <alignment vertical="top"/>
    </xf>
    <xf numFmtId="168" fontId="17" fillId="30" borderId="38" xfId="121" applyNumberFormat="1" applyFont="1" applyFill="1" applyBorder="1" applyAlignment="1" applyProtection="1">
      <alignment vertical="top"/>
    </xf>
    <xf numFmtId="168" fontId="3" fillId="30" borderId="0" xfId="121" applyNumberFormat="1" applyFont="1" applyFill="1" applyAlignment="1" applyProtection="1">
      <alignment vertical="top"/>
    </xf>
    <xf numFmtId="168" fontId="3" fillId="30" borderId="0" xfId="121" applyNumberFormat="1" applyFont="1" applyFill="1" applyAlignment="1" applyProtection="1">
      <alignment vertical="center"/>
    </xf>
    <xf numFmtId="168" fontId="3" fillId="30" borderId="49" xfId="121" applyNumberFormat="1" applyFont="1" applyFill="1" applyBorder="1" applyAlignment="1" applyProtection="1">
      <alignment horizontal="center" vertical="center" wrapText="1"/>
    </xf>
    <xf numFmtId="168" fontId="3" fillId="30" borderId="49" xfId="121" applyNumberFormat="1" applyFont="1" applyFill="1" applyBorder="1" applyAlignment="1" applyProtection="1">
      <alignment horizontal="center" vertical="center"/>
    </xf>
    <xf numFmtId="168" fontId="3" fillId="30" borderId="35" xfId="121" applyNumberFormat="1" applyFont="1" applyFill="1" applyBorder="1" applyAlignment="1" applyProtection="1">
      <alignment horizontal="center" vertical="top"/>
    </xf>
    <xf numFmtId="0" fontId="6" fillId="30" borderId="11" xfId="190" applyNumberFormat="1" applyFont="1" applyFill="1" applyBorder="1" applyAlignment="1" applyProtection="1">
      <alignment vertical="center"/>
    </xf>
    <xf numFmtId="3" fontId="4" fillId="30" borderId="11" xfId="190" applyNumberFormat="1" applyFont="1" applyFill="1" applyBorder="1" applyAlignment="1" applyProtection="1">
      <alignment horizontal="center" vertical="center"/>
    </xf>
    <xf numFmtId="167" fontId="1" fillId="30" borderId="11" xfId="190" applyNumberFormat="1" applyFont="1" applyFill="1" applyBorder="1" applyAlignment="1" applyProtection="1">
      <alignment vertical="center"/>
    </xf>
    <xf numFmtId="0" fontId="0" fillId="30" borderId="0" xfId="0" applyFill="1" applyAlignment="1">
      <alignment vertical="center" wrapText="1"/>
    </xf>
    <xf numFmtId="167" fontId="64" fillId="31" borderId="11" xfId="190" applyNumberFormat="1" applyFont="1" applyFill="1" applyBorder="1" applyAlignment="1" applyProtection="1">
      <alignment vertical="center"/>
      <protection locked="0"/>
    </xf>
    <xf numFmtId="0" fontId="65" fillId="30" borderId="11" xfId="190" applyNumberFormat="1" applyFont="1" applyFill="1" applyBorder="1" applyAlignment="1" applyProtection="1">
      <alignment horizontal="center" vertical="center"/>
    </xf>
    <xf numFmtId="167" fontId="2" fillId="0" borderId="35" xfId="190" applyNumberFormat="1" applyFont="1" applyFill="1" applyBorder="1" applyAlignment="1" applyProtection="1">
      <alignment vertical="center"/>
    </xf>
    <xf numFmtId="0" fontId="6" fillId="35" borderId="79" xfId="0" applyFont="1" applyFill="1" applyBorder="1" applyAlignment="1">
      <alignment vertical="center"/>
    </xf>
    <xf numFmtId="0" fontId="66" fillId="35" borderId="11" xfId="0" applyFont="1" applyFill="1" applyBorder="1" applyAlignment="1">
      <alignment horizontal="right" vertical="center"/>
    </xf>
    <xf numFmtId="0" fontId="1" fillId="30" borderId="77" xfId="0" applyFont="1" applyFill="1" applyBorder="1" applyAlignment="1">
      <alignment horizontal="right" vertical="center"/>
    </xf>
    <xf numFmtId="0" fontId="66" fillId="0" borderId="79" xfId="0" applyFont="1" applyBorder="1" applyAlignment="1">
      <alignment vertical="center"/>
    </xf>
    <xf numFmtId="10" fontId="66" fillId="0" borderId="11" xfId="0" applyNumberFormat="1" applyFont="1" applyBorder="1" applyAlignment="1">
      <alignment horizontal="right" vertical="center"/>
    </xf>
    <xf numFmtId="0" fontId="66" fillId="0" borderId="77" xfId="0" applyFont="1" applyBorder="1" applyAlignment="1">
      <alignment horizontal="right" vertical="center"/>
    </xf>
    <xf numFmtId="0" fontId="66" fillId="0" borderId="79" xfId="0" applyFont="1" applyBorder="1" applyAlignment="1">
      <alignment vertical="center" wrapText="1"/>
    </xf>
    <xf numFmtId="0" fontId="1" fillId="0" borderId="77" xfId="0" applyFont="1" applyBorder="1" applyAlignment="1">
      <alignment horizontal="right" vertical="center"/>
    </xf>
    <xf numFmtId="0" fontId="1" fillId="30" borderId="79" xfId="0" applyFont="1" applyFill="1" applyBorder="1" applyAlignment="1">
      <alignment vertical="center"/>
    </xf>
    <xf numFmtId="0" fontId="1" fillId="30" borderId="11" xfId="0" applyFont="1" applyFill="1" applyBorder="1" applyAlignment="1">
      <alignment horizontal="right" vertical="center"/>
    </xf>
    <xf numFmtId="0" fontId="1" fillId="0" borderId="79" xfId="0" applyFont="1" applyBorder="1" applyAlignment="1">
      <alignment vertical="center"/>
    </xf>
    <xf numFmtId="10" fontId="1" fillId="0" borderId="11" xfId="0" applyNumberFormat="1" applyFont="1" applyBorder="1" applyAlignment="1">
      <alignment horizontal="right" vertical="center"/>
    </xf>
    <xf numFmtId="0" fontId="66" fillId="0" borderId="71" xfId="0" applyFont="1" applyBorder="1" applyAlignment="1">
      <alignment vertical="center"/>
    </xf>
    <xf numFmtId="10" fontId="66" fillId="0" borderId="85" xfId="0" applyNumberFormat="1" applyFont="1" applyBorder="1" applyAlignment="1">
      <alignment horizontal="right" vertical="center"/>
    </xf>
    <xf numFmtId="0" fontId="1" fillId="0" borderId="80" xfId="0" applyFont="1" applyBorder="1" applyAlignment="1">
      <alignment horizontal="right" vertical="center"/>
    </xf>
    <xf numFmtId="167" fontId="1" fillId="0" borderId="35" xfId="190" applyNumberFormat="1" applyFont="1" applyFill="1" applyBorder="1" applyAlignment="1" applyProtection="1">
      <alignment vertical="center"/>
    </xf>
    <xf numFmtId="165" fontId="0" fillId="0" borderId="59" xfId="190" applyFont="1" applyBorder="1" applyAlignment="1" applyProtection="1">
      <alignment horizontal="center" vertical="center"/>
    </xf>
    <xf numFmtId="168" fontId="1" fillId="30" borderId="35" xfId="121" applyNumberFormat="1" applyFont="1" applyFill="1" applyBorder="1" applyAlignment="1" applyProtection="1">
      <alignment vertical="center"/>
    </xf>
    <xf numFmtId="0" fontId="15" fillId="30" borderId="51" xfId="0" applyFont="1" applyFill="1" applyBorder="1" applyAlignment="1">
      <alignment vertical="center"/>
    </xf>
    <xf numFmtId="0" fontId="3" fillId="30" borderId="51" xfId="0" applyFont="1" applyFill="1" applyBorder="1" applyAlignment="1">
      <alignment horizontal="center" vertical="center"/>
    </xf>
    <xf numFmtId="0" fontId="1" fillId="30" borderId="69" xfId="0" applyFont="1" applyFill="1" applyBorder="1" applyAlignment="1">
      <alignment vertical="center"/>
    </xf>
    <xf numFmtId="0" fontId="4" fillId="30" borderId="87" xfId="0" applyFont="1" applyFill="1" applyBorder="1" applyAlignment="1">
      <alignment horizontal="left" vertical="center"/>
    </xf>
    <xf numFmtId="0" fontId="1" fillId="30" borderId="70" xfId="0" applyFont="1" applyFill="1" applyBorder="1" applyAlignment="1">
      <alignment vertical="center"/>
    </xf>
    <xf numFmtId="164" fontId="1" fillId="30" borderId="87" xfId="0" applyNumberFormat="1" applyFont="1" applyFill="1" applyBorder="1" applyAlignment="1">
      <alignment vertical="center"/>
    </xf>
    <xf numFmtId="164" fontId="1" fillId="30" borderId="69" xfId="0" applyNumberFormat="1" applyFont="1" applyFill="1" applyBorder="1" applyAlignment="1">
      <alignment vertical="center"/>
    </xf>
    <xf numFmtId="10" fontId="1" fillId="30" borderId="69" xfId="121" applyNumberFormat="1" applyFont="1" applyFill="1" applyBorder="1" applyAlignment="1" applyProtection="1">
      <alignment horizontal="right" vertical="center"/>
    </xf>
    <xf numFmtId="164" fontId="1" fillId="30" borderId="70" xfId="0" applyNumberFormat="1" applyFont="1" applyFill="1" applyBorder="1" applyAlignment="1">
      <alignment vertical="center"/>
    </xf>
    <xf numFmtId="0" fontId="1" fillId="30" borderId="56" xfId="0" applyFont="1" applyFill="1" applyBorder="1" applyAlignment="1">
      <alignment vertical="center"/>
    </xf>
    <xf numFmtId="164" fontId="1" fillId="30" borderId="56" xfId="0" applyNumberFormat="1" applyFont="1" applyFill="1" applyBorder="1" applyAlignment="1">
      <alignment vertical="center"/>
    </xf>
    <xf numFmtId="0" fontId="20" fillId="30" borderId="69" xfId="0" applyFont="1" applyFill="1" applyBorder="1" applyAlignment="1">
      <alignment vertical="center"/>
    </xf>
    <xf numFmtId="164" fontId="20" fillId="30" borderId="69" xfId="0" applyNumberFormat="1" applyFont="1" applyFill="1" applyBorder="1" applyAlignment="1">
      <alignment vertical="center"/>
    </xf>
    <xf numFmtId="168" fontId="1" fillId="30" borderId="35" xfId="121" applyNumberFormat="1" applyFont="1" applyFill="1" applyBorder="1" applyAlignment="1" applyProtection="1">
      <alignment vertical="top"/>
    </xf>
    <xf numFmtId="168" fontId="1" fillId="30" borderId="42" xfId="121" applyNumberFormat="1" applyFont="1" applyFill="1" applyBorder="1" applyAlignment="1" applyProtection="1">
      <alignment vertical="top"/>
    </xf>
    <xf numFmtId="168" fontId="1" fillId="30" borderId="0" xfId="121" applyNumberFormat="1" applyFont="1" applyFill="1" applyAlignment="1" applyProtection="1">
      <alignment vertical="top"/>
    </xf>
    <xf numFmtId="168" fontId="1" fillId="30" borderId="0" xfId="121" applyNumberFormat="1" applyFont="1" applyFill="1" applyAlignment="1" applyProtection="1">
      <alignment vertical="center"/>
    </xf>
    <xf numFmtId="164" fontId="3" fillId="30" borderId="11" xfId="190" applyNumberFormat="1" applyFont="1" applyFill="1" applyBorder="1" applyAlignment="1" applyProtection="1">
      <alignment vertical="center"/>
    </xf>
    <xf numFmtId="10" fontId="4" fillId="30" borderId="66" xfId="125" applyNumberFormat="1" applyFont="1" applyFill="1" applyBorder="1" applyAlignment="1" applyProtection="1">
      <alignment vertical="center"/>
    </xf>
    <xf numFmtId="10" fontId="4" fillId="30" borderId="39" xfId="125" applyNumberFormat="1" applyFont="1" applyFill="1" applyBorder="1" applyAlignment="1" applyProtection="1">
      <alignment vertical="center"/>
    </xf>
    <xf numFmtId="167" fontId="1" fillId="30" borderId="0" xfId="190" applyNumberFormat="1" applyFont="1" applyFill="1" applyBorder="1" applyAlignment="1" applyProtection="1">
      <alignment vertical="center"/>
    </xf>
    <xf numFmtId="167" fontId="1" fillId="31" borderId="11" xfId="190" applyNumberFormat="1" applyFont="1" applyFill="1" applyBorder="1" applyAlignment="1" applyProtection="1">
      <alignment vertical="center"/>
      <protection locked="0"/>
    </xf>
    <xf numFmtId="167" fontId="1" fillId="0" borderId="59" xfId="190" applyNumberFormat="1" applyFont="1" applyBorder="1" applyAlignment="1" applyProtection="1">
      <alignment horizontal="center" vertical="center"/>
    </xf>
    <xf numFmtId="167" fontId="1" fillId="0" borderId="0" xfId="190" applyNumberFormat="1" applyFont="1" applyFill="1" applyBorder="1" applyAlignment="1" applyProtection="1">
      <alignment vertical="center"/>
    </xf>
    <xf numFmtId="167" fontId="1" fillId="0" borderId="63" xfId="190" applyNumberFormat="1" applyFont="1" applyFill="1" applyBorder="1" applyAlignment="1" applyProtection="1">
      <alignment vertical="center"/>
    </xf>
    <xf numFmtId="167" fontId="4" fillId="31" borderId="11" xfId="190" applyNumberFormat="1" applyFont="1" applyFill="1" applyBorder="1" applyAlignment="1" applyProtection="1">
      <alignment vertical="center" wrapText="1"/>
      <protection locked="0"/>
    </xf>
    <xf numFmtId="0" fontId="6" fillId="0" borderId="11" xfId="190" applyNumberFormat="1" applyFont="1" applyFill="1" applyBorder="1" applyAlignment="1" applyProtection="1">
      <alignment horizontal="center" vertical="center" wrapText="1"/>
    </xf>
    <xf numFmtId="0" fontId="2" fillId="30" borderId="0" xfId="190" applyNumberFormat="1" applyFont="1" applyFill="1" applyBorder="1" applyAlignment="1" applyProtection="1">
      <alignment vertical="center" wrapText="1"/>
    </xf>
    <xf numFmtId="167" fontId="4" fillId="30" borderId="0" xfId="190" applyNumberFormat="1" applyFont="1" applyFill="1" applyBorder="1" applyAlignment="1" applyProtection="1">
      <alignment vertical="center" wrapText="1"/>
    </xf>
    <xf numFmtId="167" fontId="1" fillId="0" borderId="0" xfId="190" applyNumberFormat="1" applyFont="1" applyFill="1" applyBorder="1" applyAlignment="1" applyProtection="1">
      <alignment vertical="center" wrapText="1"/>
    </xf>
    <xf numFmtId="0" fontId="6" fillId="30" borderId="0" xfId="190" applyNumberFormat="1" applyFont="1" applyFill="1" applyBorder="1" applyAlignment="1" applyProtection="1">
      <alignment horizontal="center" vertical="center" wrapText="1"/>
    </xf>
    <xf numFmtId="0" fontId="2" fillId="30" borderId="11" xfId="190" applyNumberFormat="1" applyFont="1" applyFill="1" applyBorder="1" applyAlignment="1" applyProtection="1">
      <alignment vertical="center" wrapText="1"/>
    </xf>
    <xf numFmtId="167" fontId="4" fillId="30" borderId="11" xfId="190" applyNumberFormat="1" applyFont="1" applyFill="1" applyBorder="1" applyAlignment="1" applyProtection="1">
      <alignment vertical="center" wrapText="1"/>
    </xf>
    <xf numFmtId="0" fontId="6" fillId="30" borderId="11" xfId="190" applyNumberFormat="1" applyFont="1" applyFill="1" applyBorder="1" applyAlignment="1" applyProtection="1">
      <alignment horizontal="center" vertical="center" wrapText="1"/>
    </xf>
    <xf numFmtId="167" fontId="4" fillId="34" borderId="11" xfId="190" applyNumberFormat="1" applyFont="1" applyFill="1" applyBorder="1" applyAlignment="1" applyProtection="1">
      <alignment vertical="center" wrapText="1"/>
    </xf>
    <xf numFmtId="0" fontId="6" fillId="0" borderId="0" xfId="190" applyNumberFormat="1" applyFont="1" applyFill="1" applyBorder="1" applyAlignment="1" applyProtection="1">
      <alignment horizontal="center" vertical="center"/>
    </xf>
    <xf numFmtId="167" fontId="1" fillId="0" borderId="59" xfId="190" applyNumberFormat="1" applyFont="1" applyBorder="1" applyAlignment="1" applyProtection="1">
      <alignment horizontal="right" vertical="center"/>
    </xf>
    <xf numFmtId="167" fontId="1" fillId="0" borderId="11" xfId="190" applyNumberFormat="1" applyFont="1" applyBorder="1" applyAlignment="1" applyProtection="1">
      <alignment horizontal="right" vertical="center"/>
    </xf>
    <xf numFmtId="167" fontId="1" fillId="0" borderId="92" xfId="190" applyNumberFormat="1" applyFont="1" applyFill="1" applyBorder="1" applyAlignment="1" applyProtection="1">
      <alignment vertical="center"/>
    </xf>
    <xf numFmtId="167" fontId="1" fillId="30" borderId="61" xfId="190" applyNumberFormat="1" applyFont="1" applyFill="1" applyBorder="1" applyAlignment="1" applyProtection="1">
      <alignment vertical="center"/>
    </xf>
    <xf numFmtId="0" fontId="3" fillId="30" borderId="15" xfId="0" applyFont="1" applyFill="1" applyBorder="1" applyAlignment="1">
      <alignment vertical="center"/>
    </xf>
    <xf numFmtId="164" fontId="3" fillId="30" borderId="11" xfId="190" applyNumberFormat="1" applyFont="1" applyFill="1" applyBorder="1" applyAlignment="1">
      <alignment vertical="center"/>
    </xf>
    <xf numFmtId="164" fontId="1" fillId="30" borderId="11" xfId="190" applyNumberFormat="1" applyFont="1" applyFill="1" applyBorder="1" applyAlignment="1">
      <alignment vertical="center"/>
    </xf>
    <xf numFmtId="0" fontId="4" fillId="30" borderId="68" xfId="0" applyFont="1" applyFill="1" applyBorder="1" applyAlignment="1">
      <alignment vertical="center"/>
    </xf>
    <xf numFmtId="0" fontId="1" fillId="30" borderId="15" xfId="0" applyFont="1" applyFill="1" applyBorder="1" applyAlignment="1">
      <alignment horizontal="right" vertical="center"/>
    </xf>
    <xf numFmtId="0" fontId="20" fillId="30" borderId="0" xfId="0" applyFont="1" applyFill="1" applyAlignment="1">
      <alignment vertical="center"/>
    </xf>
    <xf numFmtId="164" fontId="20" fillId="30" borderId="0" xfId="190" applyNumberFormat="1" applyFont="1" applyFill="1" applyBorder="1" applyAlignment="1">
      <alignment vertical="center"/>
    </xf>
    <xf numFmtId="3" fontId="3" fillId="30" borderId="32" xfId="0" applyNumberFormat="1" applyFont="1" applyFill="1" applyBorder="1" applyAlignment="1">
      <alignment horizontal="center" vertical="center" wrapText="1"/>
    </xf>
    <xf numFmtId="3" fontId="3" fillId="30" borderId="21" xfId="0" applyNumberFormat="1" applyFont="1" applyFill="1" applyBorder="1" applyAlignment="1">
      <alignment horizontal="center" vertical="center" wrapText="1"/>
    </xf>
    <xf numFmtId="167" fontId="20" fillId="31" borderId="11" xfId="190" applyNumberFormat="1" applyFont="1" applyFill="1" applyBorder="1" applyAlignment="1" applyProtection="1">
      <alignment vertical="center"/>
      <protection locked="0"/>
    </xf>
    <xf numFmtId="167" fontId="20" fillId="30" borderId="11" xfId="190" applyNumberFormat="1" applyFont="1" applyFill="1" applyBorder="1" applyAlignment="1" applyProtection="1">
      <alignment vertical="center"/>
    </xf>
    <xf numFmtId="167" fontId="20" fillId="0" borderId="11" xfId="190" applyNumberFormat="1" applyFont="1" applyFill="1" applyBorder="1" applyAlignment="1" applyProtection="1">
      <alignment vertical="center"/>
    </xf>
    <xf numFmtId="167" fontId="69" fillId="31" borderId="11" xfId="190" applyNumberFormat="1" applyFont="1" applyFill="1" applyBorder="1" applyAlignment="1" applyProtection="1">
      <alignment vertical="center"/>
      <protection locked="0"/>
    </xf>
    <xf numFmtId="167" fontId="3" fillId="0" borderId="92" xfId="190" applyNumberFormat="1" applyFont="1" applyFill="1" applyBorder="1" applyAlignment="1" applyProtection="1">
      <alignment vertical="center"/>
    </xf>
    <xf numFmtId="167" fontId="3" fillId="30" borderId="61" xfId="190" applyNumberFormat="1" applyFont="1" applyFill="1" applyBorder="1" applyAlignment="1" applyProtection="1">
      <alignment vertical="center"/>
    </xf>
    <xf numFmtId="167" fontId="20" fillId="30" borderId="0" xfId="190" applyNumberFormat="1" applyFont="1" applyFill="1" applyBorder="1" applyAlignment="1" applyProtection="1">
      <alignment horizontal="right" vertical="center"/>
    </xf>
    <xf numFmtId="0" fontId="68" fillId="0" borderId="0" xfId="13" applyFont="1" applyFill="1" applyAlignment="1" applyProtection="1"/>
    <xf numFmtId="0" fontId="68" fillId="0" borderId="0" xfId="13" applyFont="1" applyAlignment="1" applyProtection="1"/>
    <xf numFmtId="167" fontId="1" fillId="30" borderId="14" xfId="190" applyNumberFormat="1" applyFont="1" applyFill="1" applyBorder="1" applyAlignment="1" applyProtection="1">
      <alignment vertical="center"/>
    </xf>
    <xf numFmtId="167" fontId="1" fillId="31" borderId="33" xfId="190" applyNumberFormat="1" applyFont="1" applyFill="1" applyBorder="1" applyAlignment="1" applyProtection="1">
      <alignment vertical="center"/>
      <protection locked="0"/>
    </xf>
    <xf numFmtId="167" fontId="1" fillId="30" borderId="24" xfId="190" applyNumberFormat="1" applyFont="1" applyFill="1" applyBorder="1" applyAlignment="1" applyProtection="1">
      <alignment vertical="center"/>
    </xf>
    <xf numFmtId="167" fontId="1" fillId="30" borderId="33" xfId="190" applyNumberFormat="1" applyFont="1" applyFill="1" applyBorder="1" applyAlignment="1" applyProtection="1">
      <alignment vertical="center"/>
    </xf>
    <xf numFmtId="167" fontId="1" fillId="31" borderId="57" xfId="190" applyNumberFormat="1" applyFont="1" applyFill="1" applyBorder="1" applyAlignment="1" applyProtection="1">
      <alignment vertical="center"/>
      <protection locked="0"/>
    </xf>
    <xf numFmtId="167" fontId="4" fillId="33" borderId="11" xfId="190" applyNumberFormat="1" applyFont="1" applyFill="1" applyBorder="1" applyAlignment="1" applyProtection="1">
      <alignment vertical="center"/>
      <protection locked="0"/>
    </xf>
    <xf numFmtId="167" fontId="2" fillId="30" borderId="66" xfId="190" applyNumberFormat="1" applyFont="1" applyFill="1" applyBorder="1" applyAlignment="1" applyProtection="1">
      <alignment vertical="center"/>
    </xf>
    <xf numFmtId="3" fontId="51" fillId="31" borderId="70" xfId="190" applyNumberFormat="1" applyFont="1" applyFill="1" applyBorder="1" applyAlignment="1" applyProtection="1">
      <alignment vertical="center"/>
      <protection locked="0"/>
    </xf>
    <xf numFmtId="0" fontId="50" fillId="38" borderId="16" xfId="0" applyFont="1" applyFill="1" applyBorder="1" applyAlignment="1">
      <alignment horizontal="center" vertical="center" wrapText="1"/>
    </xf>
    <xf numFmtId="0" fontId="50" fillId="38" borderId="16" xfId="0" applyFont="1" applyFill="1" applyBorder="1" applyAlignment="1">
      <alignment horizontal="center" vertical="center"/>
    </xf>
    <xf numFmtId="0" fontId="50" fillId="38" borderId="99" xfId="0" applyFont="1" applyFill="1" applyBorder="1" applyAlignment="1">
      <alignment horizontal="center" vertical="center"/>
    </xf>
    <xf numFmtId="0" fontId="50" fillId="38" borderId="100" xfId="0" applyFont="1" applyFill="1" applyBorder="1" applyAlignment="1">
      <alignment horizontal="center" vertical="center"/>
    </xf>
    <xf numFmtId="0" fontId="70" fillId="38" borderId="16" xfId="0" applyFont="1" applyFill="1" applyBorder="1" applyAlignment="1">
      <alignment vertical="center" wrapText="1"/>
    </xf>
    <xf numFmtId="0" fontId="70" fillId="30" borderId="22" xfId="0" applyFont="1" applyFill="1" applyBorder="1" applyAlignment="1">
      <alignment vertical="center" wrapText="1"/>
    </xf>
    <xf numFmtId="3" fontId="70" fillId="30" borderId="22" xfId="0" applyNumberFormat="1" applyFont="1" applyFill="1" applyBorder="1" applyAlignment="1">
      <alignment vertical="center"/>
    </xf>
    <xf numFmtId="3" fontId="70" fillId="30" borderId="84" xfId="0" applyNumberFormat="1" applyFont="1" applyFill="1" applyBorder="1" applyAlignment="1">
      <alignment vertical="center"/>
    </xf>
    <xf numFmtId="3" fontId="70" fillId="30" borderId="97" xfId="0" applyNumberFormat="1" applyFont="1" applyFill="1" applyBorder="1" applyAlignment="1">
      <alignment vertical="center"/>
    </xf>
    <xf numFmtId="0" fontId="51" fillId="38" borderId="22" xfId="0" applyFont="1" applyFill="1" applyBorder="1" applyAlignment="1">
      <alignment vertical="center" wrapText="1"/>
    </xf>
    <xf numFmtId="0" fontId="51" fillId="30" borderId="22" xfId="0" applyFont="1" applyFill="1" applyBorder="1" applyAlignment="1">
      <alignment vertical="center" wrapText="1"/>
    </xf>
    <xf numFmtId="3" fontId="51" fillId="30" borderId="22" xfId="190" applyNumberFormat="1" applyFont="1" applyFill="1" applyBorder="1" applyAlignment="1">
      <alignment vertical="center"/>
    </xf>
    <xf numFmtId="3" fontId="51" fillId="30" borderId="84" xfId="190" applyNumberFormat="1" applyFont="1" applyFill="1" applyBorder="1" applyAlignment="1">
      <alignment vertical="center"/>
    </xf>
    <xf numFmtId="3" fontId="51" fillId="30" borderId="97" xfId="190" applyNumberFormat="1" applyFont="1" applyFill="1" applyBorder="1" applyAlignment="1">
      <alignment vertical="center"/>
    </xf>
    <xf numFmtId="0" fontId="71" fillId="38" borderId="22" xfId="0" applyFont="1" applyFill="1" applyBorder="1" applyAlignment="1">
      <alignment horizontal="left" vertical="center" wrapText="1" indent="2"/>
    </xf>
    <xf numFmtId="3" fontId="71" fillId="30" borderId="22" xfId="0" applyNumberFormat="1" applyFont="1" applyFill="1" applyBorder="1" applyAlignment="1">
      <alignment vertical="center"/>
    </xf>
    <xf numFmtId="3" fontId="71" fillId="30" borderId="84" xfId="0" applyNumberFormat="1" applyFont="1" applyFill="1" applyBorder="1" applyAlignment="1">
      <alignment vertical="center"/>
    </xf>
    <xf numFmtId="3" fontId="71" fillId="30" borderId="97" xfId="0" applyNumberFormat="1" applyFont="1" applyFill="1" applyBorder="1" applyAlignment="1">
      <alignment vertical="center"/>
    </xf>
    <xf numFmtId="0" fontId="51" fillId="0" borderId="22" xfId="0" applyFont="1" applyBorder="1" applyAlignment="1">
      <alignment vertical="center" wrapText="1"/>
    </xf>
    <xf numFmtId="169" fontId="51" fillId="0" borderId="22" xfId="190" applyNumberFormat="1" applyFont="1" applyBorder="1" applyAlignment="1">
      <alignment vertical="center"/>
    </xf>
    <xf numFmtId="169" fontId="51" fillId="0" borderId="84" xfId="190" applyNumberFormat="1" applyFont="1" applyBorder="1" applyAlignment="1">
      <alignment vertical="center"/>
    </xf>
    <xf numFmtId="169" fontId="51" fillId="0" borderId="97" xfId="190" applyNumberFormat="1" applyFont="1" applyBorder="1" applyAlignment="1">
      <alignment vertical="center"/>
    </xf>
    <xf numFmtId="169" fontId="70" fillId="30" borderId="22" xfId="0" applyNumberFormat="1" applyFont="1" applyFill="1" applyBorder="1" applyAlignment="1">
      <alignment vertical="center"/>
    </xf>
    <xf numFmtId="169" fontId="70" fillId="30" borderId="84" xfId="0" applyNumberFormat="1" applyFont="1" applyFill="1" applyBorder="1" applyAlignment="1">
      <alignment vertical="center"/>
    </xf>
    <xf numFmtId="169" fontId="70" fillId="30" borderId="97" xfId="0" applyNumberFormat="1" applyFont="1" applyFill="1" applyBorder="1" applyAlignment="1">
      <alignment vertical="center"/>
    </xf>
    <xf numFmtId="0" fontId="70" fillId="38" borderId="22" xfId="0" applyFont="1" applyFill="1" applyBorder="1" applyAlignment="1">
      <alignment vertical="center" wrapText="1"/>
    </xf>
    <xf numFmtId="0" fontId="71" fillId="30" borderId="22" xfId="0" applyFont="1" applyFill="1" applyBorder="1" applyAlignment="1">
      <alignment horizontal="left" vertical="center" wrapText="1" indent="2"/>
    </xf>
    <xf numFmtId="3" fontId="71" fillId="30" borderId="22" xfId="190" applyNumberFormat="1" applyFont="1" applyFill="1" applyBorder="1" applyAlignment="1">
      <alignment vertical="center"/>
    </xf>
    <xf numFmtId="3" fontId="71" fillId="30" borderId="84" xfId="190" applyNumberFormat="1" applyFont="1" applyFill="1" applyBorder="1" applyAlignment="1">
      <alignment vertical="center"/>
    </xf>
    <xf numFmtId="3" fontId="71" fillId="30" borderId="97" xfId="190" applyNumberFormat="1" applyFont="1" applyFill="1" applyBorder="1" applyAlignment="1">
      <alignment vertical="center"/>
    </xf>
    <xf numFmtId="0" fontId="71" fillId="0" borderId="22" xfId="0" applyFont="1" applyBorder="1" applyAlignment="1">
      <alignment horizontal="left" vertical="center" wrapText="1"/>
    </xf>
    <xf numFmtId="169" fontId="71" fillId="0" borderId="22" xfId="190" applyNumberFormat="1" applyFont="1" applyBorder="1" applyAlignment="1">
      <alignment vertical="center"/>
    </xf>
    <xf numFmtId="169" fontId="71" fillId="0" borderId="84" xfId="190" applyNumberFormat="1" applyFont="1" applyBorder="1" applyAlignment="1">
      <alignment vertical="center"/>
    </xf>
    <xf numFmtId="169" fontId="71" fillId="0" borderId="97" xfId="190" applyNumberFormat="1" applyFont="1" applyBorder="1" applyAlignment="1">
      <alignment vertical="center"/>
    </xf>
    <xf numFmtId="0" fontId="71" fillId="39" borderId="22" xfId="0" applyFont="1" applyFill="1" applyBorder="1" applyAlignment="1">
      <alignment horizontal="left" vertical="center" wrapText="1" indent="2"/>
    </xf>
    <xf numFmtId="3" fontId="71" fillId="34" borderId="22" xfId="190" applyNumberFormat="1" applyFont="1" applyFill="1" applyBorder="1" applyAlignment="1">
      <alignment vertical="center"/>
    </xf>
    <xf numFmtId="3" fontId="71" fillId="34" borderId="84" xfId="190" applyNumberFormat="1" applyFont="1" applyFill="1" applyBorder="1" applyAlignment="1">
      <alignment vertical="center"/>
    </xf>
    <xf numFmtId="0" fontId="70" fillId="0" borderId="22" xfId="0" applyFont="1" applyBorder="1" applyAlignment="1">
      <alignment vertical="center" wrapText="1"/>
    </xf>
    <xf numFmtId="169" fontId="51" fillId="30" borderId="22" xfId="190" applyNumberFormat="1" applyFont="1" applyFill="1" applyBorder="1" applyAlignment="1">
      <alignment vertical="center"/>
    </xf>
    <xf numFmtId="169" fontId="51" fillId="30" borderId="84" xfId="190" applyNumberFormat="1" applyFont="1" applyFill="1" applyBorder="1" applyAlignment="1">
      <alignment vertical="center"/>
    </xf>
    <xf numFmtId="169" fontId="51" fillId="30" borderId="97" xfId="190" applyNumberFormat="1" applyFont="1" applyFill="1" applyBorder="1" applyAlignment="1">
      <alignment vertical="center"/>
    </xf>
    <xf numFmtId="0" fontId="71" fillId="0" borderId="22" xfId="0" applyFont="1" applyBorder="1" applyAlignment="1">
      <alignment horizontal="left" vertical="center" wrapText="1" indent="2"/>
    </xf>
    <xf numFmtId="169" fontId="71" fillId="30" borderId="22" xfId="190" applyNumberFormat="1" applyFont="1" applyFill="1" applyBorder="1" applyAlignment="1">
      <alignment vertical="center"/>
    </xf>
    <xf numFmtId="169" fontId="71" fillId="30" borderId="84" xfId="190" applyNumberFormat="1" applyFont="1" applyFill="1" applyBorder="1" applyAlignment="1">
      <alignment vertical="center"/>
    </xf>
    <xf numFmtId="0" fontId="70" fillId="38" borderId="98" xfId="0" applyFont="1" applyFill="1" applyBorder="1" applyAlignment="1">
      <alignment vertical="center" wrapText="1"/>
    </xf>
    <xf numFmtId="0" fontId="50" fillId="38" borderId="93" xfId="0" applyFont="1" applyFill="1" applyBorder="1" applyAlignment="1">
      <alignment horizontal="center" vertical="center" wrapText="1"/>
    </xf>
    <xf numFmtId="0" fontId="50" fillId="38" borderId="103" xfId="0" applyFont="1" applyFill="1" applyBorder="1" applyAlignment="1">
      <alignment horizontal="center" vertical="center"/>
    </xf>
    <xf numFmtId="0" fontId="50" fillId="38" borderId="104" xfId="0" applyFont="1" applyFill="1" applyBorder="1" applyAlignment="1">
      <alignment horizontal="center" vertical="center"/>
    </xf>
    <xf numFmtId="0" fontId="50" fillId="38" borderId="105" xfId="0" applyFont="1" applyFill="1" applyBorder="1" applyAlignment="1">
      <alignment horizontal="center" vertical="center"/>
    </xf>
    <xf numFmtId="0" fontId="70" fillId="38" borderId="106" xfId="0" applyFont="1" applyFill="1" applyBorder="1" applyAlignment="1">
      <alignment vertical="center" wrapText="1"/>
    </xf>
    <xf numFmtId="0" fontId="51" fillId="30" borderId="108" xfId="0" applyFont="1" applyFill="1" applyBorder="1" applyAlignment="1">
      <alignment vertical="center" wrapText="1"/>
    </xf>
    <xf numFmtId="3" fontId="70" fillId="30" borderId="94" xfId="0" applyNumberFormat="1" applyFont="1" applyFill="1" applyBorder="1" applyAlignment="1">
      <alignment vertical="center"/>
    </xf>
    <xf numFmtId="0" fontId="51" fillId="38" borderId="108" xfId="0" applyFont="1" applyFill="1" applyBorder="1" applyAlignment="1">
      <alignment vertical="center" wrapText="1"/>
    </xf>
    <xf numFmtId="0" fontId="70" fillId="30" borderId="108" xfId="0" applyFont="1" applyFill="1" applyBorder="1" applyAlignment="1">
      <alignment vertical="center" wrapText="1"/>
    </xf>
    <xf numFmtId="0" fontId="70" fillId="38" borderId="108" xfId="0" applyFont="1" applyFill="1" applyBorder="1" applyAlignment="1">
      <alignment vertical="center" wrapText="1"/>
    </xf>
    <xf numFmtId="3" fontId="51" fillId="30" borderId="94" xfId="190" applyNumberFormat="1" applyFont="1" applyFill="1" applyBorder="1" applyAlignment="1">
      <alignment vertical="center"/>
    </xf>
    <xf numFmtId="0" fontId="71" fillId="38" borderId="108" xfId="0" applyFont="1" applyFill="1" applyBorder="1" applyAlignment="1">
      <alignment horizontal="left" vertical="center" wrapText="1" indent="2"/>
    </xf>
    <xf numFmtId="0" fontId="71" fillId="30" borderId="108" xfId="0" applyFont="1" applyFill="1" applyBorder="1" applyAlignment="1">
      <alignment horizontal="left" vertical="center" wrapText="1" indent="2"/>
    </xf>
    <xf numFmtId="3" fontId="71" fillId="30" borderId="94" xfId="190" applyNumberFormat="1" applyFont="1" applyFill="1" applyBorder="1" applyAlignment="1">
      <alignment vertical="center"/>
    </xf>
    <xf numFmtId="0" fontId="71" fillId="0" borderId="108" xfId="0" applyFont="1" applyBorder="1" applyAlignment="1">
      <alignment horizontal="left" vertical="center" wrapText="1"/>
    </xf>
    <xf numFmtId="3" fontId="71" fillId="29" borderId="22" xfId="190" applyNumberFormat="1" applyFont="1" applyFill="1" applyBorder="1" applyAlignment="1">
      <alignment vertical="center"/>
    </xf>
    <xf numFmtId="3" fontId="71" fillId="29" borderId="84" xfId="190" applyNumberFormat="1" applyFont="1" applyFill="1" applyBorder="1" applyAlignment="1">
      <alignment vertical="center"/>
    </xf>
    <xf numFmtId="3" fontId="71" fillId="29" borderId="94" xfId="190" applyNumberFormat="1" applyFont="1" applyFill="1" applyBorder="1" applyAlignment="1">
      <alignment vertical="center"/>
    </xf>
    <xf numFmtId="0" fontId="71" fillId="39" borderId="109" xfId="0" applyFont="1" applyFill="1" applyBorder="1" applyAlignment="1">
      <alignment horizontal="left" vertical="center" wrapText="1" indent="2"/>
    </xf>
    <xf numFmtId="0" fontId="72" fillId="38" borderId="18" xfId="0" applyFont="1" applyFill="1" applyBorder="1" applyAlignment="1">
      <alignment horizontal="center" vertical="center"/>
    </xf>
    <xf numFmtId="3" fontId="70" fillId="30" borderId="56" xfId="0" applyNumberFormat="1" applyFont="1" applyFill="1" applyBorder="1" applyAlignment="1">
      <alignment vertical="center"/>
    </xf>
    <xf numFmtId="0" fontId="50" fillId="38" borderId="18" xfId="0" applyFont="1" applyFill="1" applyBorder="1" applyAlignment="1">
      <alignment horizontal="center" vertical="center"/>
    </xf>
    <xf numFmtId="0" fontId="1" fillId="30" borderId="0" xfId="0" applyFont="1" applyFill="1" applyAlignment="1">
      <alignment vertical="center"/>
    </xf>
    <xf numFmtId="0" fontId="2" fillId="30" borderId="0" xfId="0" applyFont="1" applyFill="1" applyAlignment="1">
      <alignment horizontal="center" vertical="center"/>
    </xf>
    <xf numFmtId="167" fontId="1" fillId="30" borderId="0" xfId="0" applyNumberFormat="1" applyFont="1" applyFill="1" applyAlignment="1">
      <alignment vertical="center"/>
    </xf>
    <xf numFmtId="0" fontId="0" fillId="30" borderId="0" xfId="0" applyFill="1" applyAlignment="1">
      <alignment horizontal="center" vertical="center"/>
    </xf>
    <xf numFmtId="0" fontId="6" fillId="0" borderId="0" xfId="0" applyFont="1" applyAlignment="1">
      <alignment vertical="center"/>
    </xf>
    <xf numFmtId="0" fontId="0" fillId="30" borderId="88" xfId="0" applyFill="1" applyBorder="1" applyAlignment="1">
      <alignment vertical="center"/>
    </xf>
    <xf numFmtId="0" fontId="3" fillId="30" borderId="44" xfId="0" applyFont="1" applyFill="1" applyBorder="1" applyAlignment="1">
      <alignment horizontal="center" vertical="center"/>
    </xf>
    <xf numFmtId="0" fontId="3" fillId="30" borderId="89" xfId="0" applyFont="1" applyFill="1" applyBorder="1" applyAlignment="1">
      <alignment vertical="center"/>
    </xf>
    <xf numFmtId="0" fontId="0" fillId="30" borderId="90" xfId="0" applyFill="1" applyBorder="1" applyAlignment="1">
      <alignment vertical="center"/>
    </xf>
    <xf numFmtId="0" fontId="3" fillId="30" borderId="0" xfId="0" applyFont="1" applyFill="1" applyAlignment="1">
      <alignment horizontal="center" vertical="center"/>
    </xf>
    <xf numFmtId="0" fontId="3" fillId="30" borderId="91" xfId="0" applyFont="1" applyFill="1" applyBorder="1" applyAlignment="1">
      <alignment vertical="center"/>
    </xf>
    <xf numFmtId="0" fontId="0" fillId="30" borderId="62" xfId="0" applyFill="1" applyBorder="1" applyAlignment="1">
      <alignment vertical="center"/>
    </xf>
    <xf numFmtId="0" fontId="3" fillId="30" borderId="48" xfId="0" applyFont="1" applyFill="1" applyBorder="1" applyAlignment="1">
      <alignment horizontal="center" vertical="center"/>
    </xf>
    <xf numFmtId="0" fontId="3" fillId="30" borderId="92" xfId="0" applyFont="1" applyFill="1" applyBorder="1" applyAlignment="1">
      <alignment vertical="center"/>
    </xf>
    <xf numFmtId="0" fontId="1" fillId="0" borderId="60" xfId="0" applyFont="1" applyBorder="1" applyAlignment="1">
      <alignment horizontal="center" vertical="center"/>
    </xf>
    <xf numFmtId="0" fontId="1" fillId="30" borderId="60" xfId="0" applyFont="1" applyFill="1" applyBorder="1" applyAlignment="1">
      <alignment horizontal="center" vertical="center"/>
    </xf>
    <xf numFmtId="167" fontId="3" fillId="30" borderId="60" xfId="0" applyNumberFormat="1" applyFont="1" applyFill="1" applyBorder="1" applyAlignment="1">
      <alignment horizontal="center" vertical="center"/>
    </xf>
    <xf numFmtId="4" fontId="5" fillId="0" borderId="59" xfId="184" applyNumberFormat="1" applyFont="1" applyBorder="1" applyAlignment="1">
      <alignment horizontal="center" vertical="center"/>
    </xf>
    <xf numFmtId="0" fontId="5" fillId="0" borderId="59" xfId="184" applyFont="1" applyBorder="1" applyAlignment="1">
      <alignment horizontal="center" vertical="center"/>
    </xf>
    <xf numFmtId="4" fontId="4" fillId="0" borderId="11" xfId="184" applyNumberFormat="1" applyBorder="1" applyAlignment="1">
      <alignment vertical="center"/>
    </xf>
    <xf numFmtId="0" fontId="2" fillId="0" borderId="11" xfId="184" applyFont="1" applyBorder="1" applyAlignment="1">
      <alignment horizontal="center" vertical="center"/>
    </xf>
    <xf numFmtId="0" fontId="4" fillId="0" borderId="11" xfId="184" applyBorder="1" applyAlignment="1">
      <alignment horizontal="center" vertical="center"/>
    </xf>
    <xf numFmtId="4" fontId="4" fillId="0" borderId="11" xfId="184" applyNumberFormat="1" applyBorder="1" applyAlignment="1">
      <alignment horizontal="left" vertical="center"/>
    </xf>
    <xf numFmtId="4" fontId="4" fillId="0" borderId="11" xfId="184" applyNumberFormat="1" applyBorder="1" applyAlignment="1">
      <alignment horizontal="left" vertical="center" wrapText="1"/>
    </xf>
    <xf numFmtId="4" fontId="4" fillId="30" borderId="11" xfId="184" applyNumberFormat="1" applyFill="1" applyBorder="1" applyAlignment="1">
      <alignment vertical="center" wrapText="1"/>
    </xf>
    <xf numFmtId="0" fontId="2" fillId="30" borderId="11" xfId="184" applyFont="1" applyFill="1" applyBorder="1" applyAlignment="1">
      <alignment horizontal="center" vertical="center"/>
    </xf>
    <xf numFmtId="4" fontId="4" fillId="0" borderId="11" xfId="184" applyNumberFormat="1" applyBorder="1" applyAlignment="1">
      <alignment vertical="center" wrapText="1"/>
    </xf>
    <xf numFmtId="4" fontId="4" fillId="30" borderId="11" xfId="184" applyNumberFormat="1" applyFill="1" applyBorder="1" applyAlignment="1">
      <alignment horizontal="left" vertical="center" wrapText="1"/>
    </xf>
    <xf numFmtId="0" fontId="2" fillId="0" borderId="11" xfId="0" applyFont="1" applyBorder="1" applyAlignment="1">
      <alignment horizontal="center" vertical="center"/>
    </xf>
    <xf numFmtId="4" fontId="2" fillId="0" borderId="11" xfId="184" applyNumberFormat="1" applyFont="1" applyBorder="1" applyAlignment="1">
      <alignment horizontal="left" vertical="center"/>
    </xf>
    <xf numFmtId="4" fontId="2" fillId="0" borderId="11" xfId="184" applyNumberFormat="1" applyFont="1" applyBorder="1" applyAlignment="1">
      <alignment horizontal="left" vertical="center" wrapText="1"/>
    </xf>
    <xf numFmtId="4" fontId="4" fillId="30" borderId="0" xfId="184" applyNumberFormat="1" applyFill="1" applyAlignment="1">
      <alignment horizontal="left" vertical="center"/>
    </xf>
    <xf numFmtId="0" fontId="4" fillId="30" borderId="0" xfId="184" applyFill="1" applyAlignment="1">
      <alignment horizontal="center" vertical="center"/>
    </xf>
    <xf numFmtId="4" fontId="3" fillId="30" borderId="11" xfId="184" applyNumberFormat="1" applyFont="1" applyFill="1" applyBorder="1" applyAlignment="1">
      <alignment horizontal="left" vertical="center"/>
    </xf>
    <xf numFmtId="0" fontId="2" fillId="30" borderId="11" xfId="0" applyFont="1" applyFill="1" applyBorder="1" applyAlignment="1">
      <alignment horizontal="center" vertical="center"/>
    </xf>
    <xf numFmtId="0" fontId="4" fillId="30" borderId="11" xfId="0" applyFont="1" applyFill="1" applyBorder="1" applyAlignment="1">
      <alignment horizontal="center" vertical="center"/>
    </xf>
    <xf numFmtId="4" fontId="20" fillId="30" borderId="0" xfId="184" applyNumberFormat="1" applyFont="1" applyFill="1" applyAlignment="1">
      <alignment horizontal="left" vertical="center"/>
    </xf>
    <xf numFmtId="0" fontId="45" fillId="30" borderId="0" xfId="0" applyFont="1" applyFill="1" applyAlignment="1">
      <alignment horizontal="center" vertical="center"/>
    </xf>
    <xf numFmtId="0" fontId="45" fillId="30" borderId="0" xfId="0" applyFont="1" applyFill="1" applyAlignment="1">
      <alignment vertical="center"/>
    </xf>
    <xf numFmtId="0" fontId="4" fillId="30" borderId="0" xfId="0" applyFont="1" applyFill="1" applyAlignment="1">
      <alignment horizontal="center" vertical="center"/>
    </xf>
    <xf numFmtId="4" fontId="5" fillId="30" borderId="0" xfId="184" applyNumberFormat="1" applyFont="1" applyFill="1" applyAlignment="1">
      <alignment horizontal="left" vertical="center"/>
    </xf>
    <xf numFmtId="0" fontId="1" fillId="30" borderId="11" xfId="0" applyFont="1" applyFill="1" applyBorder="1" applyAlignment="1">
      <alignment horizontal="center" vertical="center"/>
    </xf>
    <xf numFmtId="167" fontId="3" fillId="30" borderId="11" xfId="0" applyNumberFormat="1" applyFont="1" applyFill="1" applyBorder="1" applyAlignment="1">
      <alignment horizontal="center" vertical="center"/>
    </xf>
    <xf numFmtId="0" fontId="1" fillId="30" borderId="0" xfId="0" applyFont="1" applyFill="1" applyAlignment="1">
      <alignment vertical="center" wrapText="1"/>
    </xf>
    <xf numFmtId="0" fontId="1" fillId="30" borderId="11" xfId="0" applyFont="1" applyFill="1" applyBorder="1" applyAlignment="1">
      <alignment vertical="center" wrapText="1"/>
    </xf>
    <xf numFmtId="167" fontId="1" fillId="0" borderId="11" xfId="190" applyNumberFormat="1" applyFont="1" applyFill="1" applyBorder="1" applyAlignment="1" applyProtection="1">
      <alignment vertical="center" wrapText="1"/>
    </xf>
    <xf numFmtId="0" fontId="2" fillId="30" borderId="0" xfId="0" applyFont="1" applyFill="1" applyAlignment="1">
      <alignment vertical="center" wrapText="1"/>
    </xf>
    <xf numFmtId="167" fontId="1" fillId="0" borderId="11" xfId="190" applyNumberFormat="1" applyFont="1" applyFill="1" applyBorder="1" applyAlignment="1" applyProtection="1">
      <alignment vertical="center"/>
    </xf>
    <xf numFmtId="4" fontId="4" fillId="0" borderId="0" xfId="184" applyNumberFormat="1" applyAlignment="1">
      <alignment horizontal="left" vertical="center" wrapText="1"/>
    </xf>
    <xf numFmtId="0" fontId="2" fillId="0" borderId="0" xfId="184" applyFont="1" applyAlignment="1">
      <alignment horizontal="center" vertical="center"/>
    </xf>
    <xf numFmtId="4" fontId="1" fillId="0" borderId="11" xfId="184" applyNumberFormat="1" applyFont="1" applyBorder="1" applyAlignment="1">
      <alignment horizontal="left" vertical="center" wrapText="1"/>
    </xf>
    <xf numFmtId="0" fontId="4" fillId="30" borderId="11" xfId="0" applyFont="1" applyFill="1" applyBorder="1" applyAlignment="1">
      <alignment vertical="center" wrapText="1"/>
    </xf>
    <xf numFmtId="0" fontId="4" fillId="30" borderId="0" xfId="0" applyFont="1" applyFill="1" applyAlignment="1">
      <alignment vertical="center" wrapText="1"/>
    </xf>
    <xf numFmtId="0" fontId="2" fillId="30" borderId="0" xfId="184" applyFont="1" applyFill="1" applyAlignment="1">
      <alignment horizontal="center" vertical="center"/>
    </xf>
    <xf numFmtId="4" fontId="1" fillId="0" borderId="11" xfId="184" applyNumberFormat="1" applyFont="1" applyBorder="1" applyAlignment="1">
      <alignment horizontal="left" vertical="center"/>
    </xf>
    <xf numFmtId="0" fontId="1" fillId="0" borderId="11" xfId="0" applyFont="1" applyBorder="1" applyAlignment="1">
      <alignment vertical="center" wrapText="1"/>
    </xf>
    <xf numFmtId="0" fontId="6" fillId="0" borderId="11" xfId="0" applyFont="1" applyBorder="1" applyAlignment="1">
      <alignment horizontal="left" vertical="center" wrapText="1" indent="2"/>
    </xf>
    <xf numFmtId="0" fontId="4" fillId="0" borderId="11" xfId="0" applyFont="1" applyBorder="1" applyAlignment="1">
      <alignment vertical="center"/>
    </xf>
    <xf numFmtId="167" fontId="4" fillId="0" borderId="11" xfId="0" applyNumberFormat="1" applyFont="1" applyBorder="1" applyAlignment="1">
      <alignment vertical="center"/>
    </xf>
    <xf numFmtId="0" fontId="6" fillId="0" borderId="11" xfId="0" applyFont="1" applyBorder="1" applyAlignment="1">
      <alignment horizontal="left" vertical="center" indent="2"/>
    </xf>
    <xf numFmtId="0" fontId="4" fillId="30" borderId="63" xfId="0" applyFont="1" applyFill="1" applyBorder="1" applyAlignment="1">
      <alignment vertical="center" wrapText="1"/>
    </xf>
    <xf numFmtId="0" fontId="2" fillId="30" borderId="63" xfId="184" applyFont="1" applyFill="1" applyBorder="1" applyAlignment="1">
      <alignment horizontal="center" vertical="center"/>
    </xf>
    <xf numFmtId="0" fontId="65" fillId="30" borderId="0" xfId="0" applyFont="1" applyFill="1" applyAlignment="1">
      <alignment vertical="center"/>
    </xf>
    <xf numFmtId="0" fontId="2" fillId="30" borderId="63" xfId="0" applyFont="1" applyFill="1" applyBorder="1" applyAlignment="1">
      <alignment vertical="center" wrapText="1"/>
    </xf>
    <xf numFmtId="0" fontId="2" fillId="0" borderId="11" xfId="0" applyFont="1" applyBorder="1" applyAlignment="1">
      <alignment vertical="center" wrapText="1"/>
    </xf>
    <xf numFmtId="0" fontId="6" fillId="30" borderId="63" xfId="0" applyFont="1" applyFill="1" applyBorder="1" applyAlignment="1">
      <alignment horizontal="right" vertical="center" wrapText="1"/>
    </xf>
    <xf numFmtId="0" fontId="0" fillId="0" borderId="11" xfId="0" applyBorder="1" applyAlignment="1">
      <alignment vertical="center" wrapText="1"/>
    </xf>
    <xf numFmtId="0" fontId="0" fillId="0" borderId="0" xfId="0" applyAlignment="1">
      <alignment vertical="center"/>
    </xf>
    <xf numFmtId="0" fontId="2" fillId="30" borderId="11" xfId="0" applyFont="1" applyFill="1" applyBorder="1" applyAlignment="1">
      <alignment vertical="center" wrapText="1"/>
    </xf>
    <xf numFmtId="167" fontId="4" fillId="30" borderId="0" xfId="0" applyNumberFormat="1" applyFont="1" applyFill="1" applyAlignment="1">
      <alignment vertical="center"/>
    </xf>
    <xf numFmtId="167" fontId="1" fillId="0" borderId="0" xfId="0" applyNumberFormat="1" applyFont="1" applyAlignment="1">
      <alignment vertical="center"/>
    </xf>
    <xf numFmtId="0" fontId="2" fillId="30" borderId="44" xfId="0" applyFont="1" applyFill="1" applyBorder="1" applyAlignment="1">
      <alignment horizontal="center" vertical="center"/>
    </xf>
    <xf numFmtId="0" fontId="3" fillId="0" borderId="44" xfId="0" applyFont="1" applyBorder="1" applyAlignment="1">
      <alignment horizontal="center" vertical="center"/>
    </xf>
    <xf numFmtId="0" fontId="0" fillId="30" borderId="89" xfId="0" applyFill="1" applyBorder="1" applyAlignment="1">
      <alignment horizontal="center" vertical="center"/>
    </xf>
    <xf numFmtId="16" fontId="1" fillId="30" borderId="0" xfId="0" applyNumberFormat="1" applyFont="1" applyFill="1" applyAlignment="1">
      <alignment vertical="center"/>
    </xf>
    <xf numFmtId="4" fontId="3" fillId="30" borderId="88" xfId="184" applyNumberFormat="1" applyFont="1" applyFill="1" applyBorder="1" applyAlignment="1">
      <alignment horizontal="left" vertical="center"/>
    </xf>
    <xf numFmtId="0" fontId="2" fillId="30" borderId="89" xfId="0" applyFont="1" applyFill="1" applyBorder="1" applyAlignment="1">
      <alignment horizontal="center" vertical="center"/>
    </xf>
    <xf numFmtId="4" fontId="3" fillId="30" borderId="62" xfId="184" applyNumberFormat="1" applyFont="1" applyFill="1" applyBorder="1" applyAlignment="1">
      <alignment horizontal="left" vertical="center"/>
    </xf>
    <xf numFmtId="0" fontId="3" fillId="30" borderId="92" xfId="184" applyFont="1" applyFill="1" applyBorder="1" applyAlignment="1">
      <alignment horizontal="center" vertical="center"/>
    </xf>
    <xf numFmtId="10" fontId="4" fillId="0" borderId="41" xfId="125" applyNumberFormat="1" applyFont="1" applyFill="1" applyBorder="1" applyAlignment="1" applyProtection="1">
      <alignment vertical="center"/>
    </xf>
    <xf numFmtId="10" fontId="1" fillId="0" borderId="41" xfId="125" applyNumberFormat="1" applyFont="1" applyFill="1" applyBorder="1" applyAlignment="1" applyProtection="1">
      <alignment vertical="center"/>
    </xf>
    <xf numFmtId="10" fontId="4" fillId="30" borderId="18" xfId="125" applyNumberFormat="1" applyFont="1" applyFill="1" applyBorder="1" applyAlignment="1" applyProtection="1">
      <alignment vertical="center"/>
    </xf>
    <xf numFmtId="10" fontId="4" fillId="30" borderId="32" xfId="125" applyNumberFormat="1" applyFont="1" applyFill="1" applyBorder="1" applyAlignment="1" applyProtection="1">
      <alignment vertical="center"/>
    </xf>
    <xf numFmtId="10" fontId="1" fillId="30" borderId="32" xfId="125" applyNumberFormat="1" applyFont="1" applyFill="1" applyBorder="1" applyAlignment="1" applyProtection="1">
      <alignment vertical="center"/>
    </xf>
    <xf numFmtId="10" fontId="4" fillId="30" borderId="21" xfId="125" applyNumberFormat="1" applyFont="1" applyFill="1" applyBorder="1" applyAlignment="1" applyProtection="1">
      <alignment vertical="center"/>
    </xf>
    <xf numFmtId="4" fontId="5" fillId="0" borderId="11" xfId="184" applyNumberFormat="1" applyFont="1" applyBorder="1" applyAlignment="1">
      <alignment horizontal="center" vertical="center"/>
    </xf>
    <xf numFmtId="0" fontId="5" fillId="0" borderId="11" xfId="184" applyFont="1" applyBorder="1" applyAlignment="1">
      <alignment horizontal="center" vertical="center"/>
    </xf>
    <xf numFmtId="4" fontId="4" fillId="30" borderId="11" xfId="184" applyNumberFormat="1" applyFill="1" applyBorder="1" applyAlignment="1">
      <alignment vertical="center"/>
    </xf>
    <xf numFmtId="0" fontId="4" fillId="30" borderId="11" xfId="184" applyFill="1" applyBorder="1" applyAlignment="1">
      <alignment horizontal="center" vertical="center"/>
    </xf>
    <xf numFmtId="0" fontId="20" fillId="30" borderId="11" xfId="0" applyFont="1" applyFill="1" applyBorder="1" applyAlignment="1">
      <alignment horizontal="left" vertical="center" wrapText="1" indent="2"/>
    </xf>
    <xf numFmtId="0" fontId="20" fillId="30" borderId="11" xfId="0" applyFont="1" applyFill="1" applyBorder="1" applyAlignment="1">
      <alignment horizontal="center" vertical="center"/>
    </xf>
    <xf numFmtId="0" fontId="20" fillId="30" borderId="11" xfId="0" applyFont="1" applyFill="1" applyBorder="1" applyAlignment="1">
      <alignment horizontal="left" vertical="center" indent="2"/>
    </xf>
    <xf numFmtId="4" fontId="20" fillId="30" borderId="60" xfId="184" applyNumberFormat="1" applyFont="1" applyFill="1" applyBorder="1" applyAlignment="1">
      <alignment horizontal="left" vertical="center" indent="2"/>
    </xf>
    <xf numFmtId="0" fontId="20" fillId="30" borderId="11" xfId="184" applyFont="1" applyFill="1" applyBorder="1" applyAlignment="1">
      <alignment horizontal="center" vertical="center"/>
    </xf>
    <xf numFmtId="4" fontId="4" fillId="30" borderId="0" xfId="184" applyNumberFormat="1" applyFill="1" applyAlignment="1">
      <alignment vertical="center"/>
    </xf>
    <xf numFmtId="4" fontId="2" fillId="30" borderId="11" xfId="184" applyNumberFormat="1" applyFont="1" applyFill="1" applyBorder="1" applyAlignment="1">
      <alignment vertical="center" wrapText="1"/>
    </xf>
    <xf numFmtId="167" fontId="0" fillId="30" borderId="0" xfId="0" applyNumberFormat="1" applyFill="1" applyAlignment="1">
      <alignment vertical="center"/>
    </xf>
    <xf numFmtId="4" fontId="3" fillId="30" borderId="11" xfId="184" applyNumberFormat="1" applyFont="1" applyFill="1" applyBorder="1" applyAlignment="1">
      <alignment vertical="center"/>
    </xf>
    <xf numFmtId="0" fontId="0" fillId="30" borderId="11" xfId="0" applyFill="1" applyBorder="1" applyAlignment="1">
      <alignment horizontal="center" vertical="center"/>
    </xf>
    <xf numFmtId="167" fontId="1" fillId="0" borderId="11" xfId="0" applyNumberFormat="1" applyFont="1" applyBorder="1" applyAlignment="1">
      <alignment vertical="center"/>
    </xf>
    <xf numFmtId="167" fontId="3" fillId="0" borderId="11" xfId="0" applyNumberFormat="1" applyFont="1" applyBorder="1" applyAlignment="1">
      <alignment vertical="center"/>
    </xf>
    <xf numFmtId="167" fontId="20" fillId="30" borderId="0" xfId="0" applyNumberFormat="1" applyFont="1" applyFill="1" applyAlignment="1">
      <alignment horizontal="right" vertical="center"/>
    </xf>
    <xf numFmtId="167" fontId="6" fillId="30" borderId="0" xfId="0" applyNumberFormat="1" applyFont="1" applyFill="1" applyAlignment="1">
      <alignment horizontal="right" vertical="center"/>
    </xf>
    <xf numFmtId="0" fontId="4" fillId="0" borderId="11" xfId="0" applyFont="1" applyBorder="1" applyAlignment="1">
      <alignment vertical="center" wrapText="1"/>
    </xf>
    <xf numFmtId="0" fontId="6" fillId="30" borderId="11" xfId="0" applyFont="1" applyFill="1" applyBorder="1" applyAlignment="1">
      <alignment horizontal="left" vertical="center" wrapText="1" indent="2"/>
    </xf>
    <xf numFmtId="0" fontId="2" fillId="30" borderId="0" xfId="0" applyFont="1" applyFill="1" applyAlignment="1">
      <alignment vertical="center"/>
    </xf>
    <xf numFmtId="0" fontId="2" fillId="30" borderId="11" xfId="0" applyFont="1" applyFill="1" applyBorder="1" applyAlignment="1">
      <alignment horizontal="left" vertical="center" wrapText="1"/>
    </xf>
    <xf numFmtId="0" fontId="65" fillId="30" borderId="0" xfId="0" applyFont="1" applyFill="1" applyAlignment="1">
      <alignment horizontal="left" vertical="center"/>
    </xf>
    <xf numFmtId="0" fontId="64" fillId="30" borderId="0" xfId="0" applyFont="1" applyFill="1" applyAlignment="1">
      <alignment vertical="center"/>
    </xf>
    <xf numFmtId="16" fontId="0" fillId="30" borderId="0" xfId="0" applyNumberFormat="1" applyFill="1" applyAlignment="1">
      <alignment vertical="center"/>
    </xf>
    <xf numFmtId="0" fontId="52" fillId="0" borderId="0" xfId="170" applyFont="1"/>
    <xf numFmtId="0" fontId="3" fillId="0" borderId="0" xfId="170" applyFont="1"/>
    <xf numFmtId="0" fontId="3" fillId="0" borderId="0" xfId="170" applyFont="1" applyAlignment="1">
      <alignment horizontal="center"/>
    </xf>
    <xf numFmtId="0" fontId="2" fillId="0" borderId="0" xfId="170" applyFont="1"/>
    <xf numFmtId="14" fontId="3" fillId="0" borderId="0" xfId="170" applyNumberFormat="1" applyFont="1"/>
    <xf numFmtId="0" fontId="42" fillId="0" borderId="0" xfId="170" applyFont="1"/>
    <xf numFmtId="0" fontId="42" fillId="32" borderId="0" xfId="170" applyFont="1" applyFill="1"/>
    <xf numFmtId="0" fontId="16" fillId="32" borderId="13" xfId="170" applyFont="1" applyFill="1" applyBorder="1"/>
    <xf numFmtId="0" fontId="16" fillId="32" borderId="0" xfId="170" applyFont="1" applyFill="1"/>
    <xf numFmtId="15" fontId="47" fillId="0" borderId="0" xfId="170" applyNumberFormat="1" applyFont="1"/>
    <xf numFmtId="0" fontId="5" fillId="0" borderId="0" xfId="170" applyFont="1" applyAlignment="1">
      <alignment horizontal="center"/>
    </xf>
    <xf numFmtId="0" fontId="2" fillId="30" borderId="0" xfId="170" applyFont="1" applyFill="1"/>
    <xf numFmtId="0" fontId="3" fillId="30" borderId="0" xfId="170" applyFont="1" applyFill="1"/>
    <xf numFmtId="0" fontId="3" fillId="30" borderId="0" xfId="0" applyFont="1" applyFill="1"/>
    <xf numFmtId="0" fontId="3" fillId="30" borderId="51" xfId="0" applyFont="1" applyFill="1" applyBorder="1"/>
    <xf numFmtId="0" fontId="2" fillId="30" borderId="0" xfId="0" applyFont="1" applyFill="1"/>
    <xf numFmtId="0" fontId="3" fillId="0" borderId="0" xfId="170" applyFont="1" applyAlignment="1">
      <alignment horizontal="left"/>
    </xf>
    <xf numFmtId="0" fontId="2" fillId="0" borderId="0" xfId="170" applyFont="1" applyAlignment="1">
      <alignment horizontal="left"/>
    </xf>
    <xf numFmtId="0" fontId="4" fillId="0" borderId="0" xfId="170"/>
    <xf numFmtId="0" fontId="0" fillId="0" borderId="0" xfId="170" applyFont="1"/>
    <xf numFmtId="0" fontId="2" fillId="0" borderId="0" xfId="1"/>
    <xf numFmtId="0" fontId="53" fillId="16" borderId="11" xfId="183" applyFont="1" applyFill="1" applyBorder="1"/>
    <xf numFmtId="0" fontId="53" fillId="0" borderId="0" xfId="170" applyFont="1"/>
    <xf numFmtId="0" fontId="53" fillId="28" borderId="0" xfId="183" applyFont="1" applyFill="1"/>
    <xf numFmtId="0" fontId="53" fillId="30" borderId="11" xfId="183" applyFont="1" applyFill="1" applyBorder="1" applyAlignment="1">
      <alignment horizontal="left" vertical="top" wrapText="1"/>
    </xf>
    <xf numFmtId="0" fontId="53" fillId="30" borderId="0" xfId="170" applyFont="1" applyFill="1"/>
    <xf numFmtId="0" fontId="54" fillId="28" borderId="0" xfId="183" applyFont="1" applyFill="1"/>
    <xf numFmtId="0" fontId="53" fillId="33" borderId="11" xfId="183" applyFont="1" applyFill="1" applyBorder="1"/>
    <xf numFmtId="0" fontId="53" fillId="0" borderId="0" xfId="1" applyFont="1"/>
    <xf numFmtId="0" fontId="53" fillId="34" borderId="11" xfId="183" applyFont="1" applyFill="1" applyBorder="1" applyAlignment="1">
      <alignment horizontal="left" vertical="top" wrapText="1"/>
    </xf>
    <xf numFmtId="0" fontId="2" fillId="0" borderId="0" xfId="170" applyFont="1" applyAlignment="1">
      <alignment vertical="top" wrapText="1"/>
    </xf>
    <xf numFmtId="0" fontId="62" fillId="0" borderId="0" xfId="170" applyFont="1"/>
    <xf numFmtId="0" fontId="1" fillId="0" borderId="0" xfId="170" applyFont="1"/>
    <xf numFmtId="0" fontId="22" fillId="30" borderId="0" xfId="185" applyFont="1" applyFill="1" applyAlignment="1">
      <alignment horizontal="center" vertical="center"/>
    </xf>
    <xf numFmtId="0" fontId="2" fillId="30" borderId="0" xfId="171" applyFill="1" applyAlignment="1">
      <alignment vertical="center"/>
    </xf>
    <xf numFmtId="0" fontId="22" fillId="30" borderId="0" xfId="185" applyFont="1" applyFill="1" applyAlignment="1">
      <alignment vertical="center"/>
    </xf>
    <xf numFmtId="0" fontId="5" fillId="30" borderId="0" xfId="171" applyFont="1" applyFill="1" applyAlignment="1">
      <alignment vertical="center"/>
    </xf>
    <xf numFmtId="0" fontId="2" fillId="30" borderId="0" xfId="171" applyFill="1" applyAlignment="1">
      <alignment horizontal="center" vertical="center"/>
    </xf>
    <xf numFmtId="0" fontId="6" fillId="30" borderId="0" xfId="171" applyFont="1" applyFill="1" applyAlignment="1">
      <alignment vertical="center"/>
    </xf>
    <xf numFmtId="4" fontId="3" fillId="30" borderId="65" xfId="185" applyNumberFormat="1" applyFont="1" applyFill="1" applyBorder="1" applyAlignment="1">
      <alignment horizontal="center" vertical="center"/>
    </xf>
    <xf numFmtId="0" fontId="2" fillId="30" borderId="0" xfId="175" applyFill="1" applyAlignment="1">
      <alignment vertical="center"/>
    </xf>
    <xf numFmtId="4" fontId="3" fillId="30" borderId="42" xfId="185" applyNumberFormat="1" applyFont="1" applyFill="1" applyBorder="1" applyAlignment="1">
      <alignment horizontal="center" vertical="center"/>
    </xf>
    <xf numFmtId="0" fontId="2" fillId="30" borderId="34" xfId="171" applyFill="1" applyBorder="1" applyAlignment="1">
      <alignment vertical="center"/>
    </xf>
    <xf numFmtId="0" fontId="2" fillId="30" borderId="35" xfId="171" applyFill="1" applyBorder="1" applyAlignment="1">
      <alignment vertical="center"/>
    </xf>
    <xf numFmtId="167" fontId="2" fillId="30" borderId="35" xfId="171" applyNumberFormat="1" applyFill="1" applyBorder="1" applyAlignment="1">
      <alignment vertical="center"/>
    </xf>
    <xf numFmtId="0" fontId="5" fillId="30" borderId="34" xfId="171" applyFont="1" applyFill="1" applyBorder="1" applyAlignment="1">
      <alignment horizontal="left" vertical="center"/>
    </xf>
    <xf numFmtId="0" fontId="3" fillId="30" borderId="0" xfId="171" applyFont="1" applyFill="1" applyAlignment="1">
      <alignment horizontal="left" vertical="center"/>
    </xf>
    <xf numFmtId="0" fontId="5" fillId="30" borderId="35" xfId="171" applyFont="1" applyFill="1" applyBorder="1" applyAlignment="1">
      <alignment horizontal="center" vertical="center"/>
    </xf>
    <xf numFmtId="167" fontId="55" fillId="30" borderId="35" xfId="171" applyNumberFormat="1" applyFont="1" applyFill="1" applyBorder="1" applyAlignment="1">
      <alignment vertical="center"/>
    </xf>
    <xf numFmtId="4" fontId="2" fillId="30" borderId="35" xfId="171" applyNumberFormat="1" applyFill="1" applyBorder="1" applyAlignment="1">
      <alignment vertical="center"/>
    </xf>
    <xf numFmtId="4" fontId="5" fillId="30" borderId="35" xfId="171" applyNumberFormat="1" applyFont="1" applyFill="1" applyBorder="1" applyAlignment="1">
      <alignment horizontal="center" vertical="center" wrapText="1"/>
    </xf>
    <xf numFmtId="167" fontId="5" fillId="30" borderId="35" xfId="171" applyNumberFormat="1" applyFont="1" applyFill="1" applyBorder="1" applyAlignment="1">
      <alignment vertical="center"/>
    </xf>
    <xf numFmtId="167" fontId="51" fillId="30" borderId="35" xfId="171" applyNumberFormat="1" applyFont="1" applyFill="1" applyBorder="1" applyAlignment="1">
      <alignment vertical="center"/>
    </xf>
    <xf numFmtId="0" fontId="3" fillId="30" borderId="35" xfId="171" applyFont="1" applyFill="1" applyBorder="1" applyAlignment="1">
      <alignment horizontal="center" vertical="center"/>
    </xf>
    <xf numFmtId="167" fontId="50" fillId="30" borderId="35" xfId="171" applyNumberFormat="1" applyFont="1" applyFill="1" applyBorder="1" applyAlignment="1">
      <alignment vertical="center"/>
    </xf>
    <xf numFmtId="37" fontId="2" fillId="30" borderId="0" xfId="171" applyNumberFormat="1" applyFill="1" applyAlignment="1">
      <alignment vertical="center"/>
    </xf>
    <xf numFmtId="0" fontId="3" fillId="30" borderId="0" xfId="171" quotePrefix="1" applyFont="1" applyFill="1" applyAlignment="1">
      <alignment horizontal="left" vertical="center"/>
    </xf>
    <xf numFmtId="0" fontId="3" fillId="30" borderId="35" xfId="171" quotePrefix="1" applyFont="1" applyFill="1" applyBorder="1" applyAlignment="1">
      <alignment horizontal="center" vertical="center"/>
    </xf>
    <xf numFmtId="0" fontId="3" fillId="30" borderId="35" xfId="171" quotePrefix="1" applyFont="1" applyFill="1" applyBorder="1" applyAlignment="1">
      <alignment horizontal="left" vertical="center"/>
    </xf>
    <xf numFmtId="167" fontId="3" fillId="30" borderId="35" xfId="171" quotePrefix="1" applyNumberFormat="1" applyFont="1" applyFill="1" applyBorder="1" applyAlignment="1">
      <alignment vertical="center"/>
    </xf>
    <xf numFmtId="167" fontId="50" fillId="30" borderId="35" xfId="171" quotePrefix="1" applyNumberFormat="1" applyFont="1" applyFill="1" applyBorder="1" applyAlignment="1">
      <alignment vertical="center"/>
    </xf>
    <xf numFmtId="167" fontId="2" fillId="30" borderId="42" xfId="171" applyNumberFormat="1" applyFill="1" applyBorder="1" applyAlignment="1">
      <alignment vertical="center"/>
    </xf>
    <xf numFmtId="0" fontId="2" fillId="30" borderId="43" xfId="171" applyFill="1" applyBorder="1" applyAlignment="1">
      <alignment vertical="center"/>
    </xf>
    <xf numFmtId="0" fontId="2" fillId="30" borderId="44" xfId="171" applyFill="1" applyBorder="1" applyAlignment="1">
      <alignment vertical="center"/>
    </xf>
    <xf numFmtId="0" fontId="2" fillId="30" borderId="37" xfId="171" applyFill="1" applyBorder="1" applyAlignment="1">
      <alignment vertical="center"/>
    </xf>
    <xf numFmtId="0" fontId="5" fillId="30" borderId="36" xfId="171" applyFont="1" applyFill="1" applyBorder="1" applyAlignment="1">
      <alignment horizontal="left" vertical="center"/>
    </xf>
    <xf numFmtId="0" fontId="2" fillId="30" borderId="45" xfId="171" applyFill="1" applyBorder="1" applyAlignment="1">
      <alignment vertical="center"/>
    </xf>
    <xf numFmtId="0" fontId="2" fillId="30" borderId="46" xfId="171" applyFill="1" applyBorder="1" applyAlignment="1">
      <alignment vertical="center"/>
    </xf>
    <xf numFmtId="0" fontId="2" fillId="30" borderId="38" xfId="171" applyFill="1" applyBorder="1" applyAlignment="1">
      <alignment vertical="center"/>
    </xf>
    <xf numFmtId="4" fontId="2" fillId="30" borderId="38" xfId="171" applyNumberFormat="1" applyFill="1" applyBorder="1" applyAlignment="1">
      <alignment vertical="center"/>
    </xf>
    <xf numFmtId="4" fontId="2" fillId="30" borderId="0" xfId="171" applyNumberFormat="1" applyFill="1" applyAlignment="1">
      <alignment vertical="center"/>
    </xf>
    <xf numFmtId="0" fontId="2" fillId="30" borderId="34" xfId="171" applyFill="1" applyBorder="1" applyAlignment="1">
      <alignment horizontal="center" vertical="center"/>
    </xf>
    <xf numFmtId="167" fontId="2" fillId="30" borderId="37" xfId="171" applyNumberFormat="1" applyFill="1" applyBorder="1" applyAlignment="1">
      <alignment vertical="center"/>
    </xf>
    <xf numFmtId="0" fontId="5" fillId="30" borderId="34" xfId="171" quotePrefix="1" applyFont="1" applyFill="1" applyBorder="1" applyAlignment="1">
      <alignment horizontal="center" vertical="center"/>
    </xf>
    <xf numFmtId="0" fontId="3" fillId="30" borderId="34" xfId="171" applyFont="1" applyFill="1" applyBorder="1" applyAlignment="1">
      <alignment horizontal="center" vertical="center"/>
    </xf>
    <xf numFmtId="167" fontId="50" fillId="0" borderId="35" xfId="171" applyNumberFormat="1" applyFont="1" applyBorder="1" applyAlignment="1">
      <alignment vertical="center"/>
    </xf>
    <xf numFmtId="0" fontId="2" fillId="30" borderId="0" xfId="171" applyFill="1" applyAlignment="1">
      <alignment horizontal="left" vertical="center"/>
    </xf>
    <xf numFmtId="0" fontId="3" fillId="30" borderId="0" xfId="171" applyFont="1" applyFill="1" applyAlignment="1">
      <alignment vertical="center"/>
    </xf>
    <xf numFmtId="167" fontId="3" fillId="30" borderId="35" xfId="171" applyNumberFormat="1" applyFont="1" applyFill="1" applyBorder="1" applyAlignment="1">
      <alignment vertical="center"/>
    </xf>
    <xf numFmtId="0" fontId="5" fillId="30" borderId="34" xfId="171" applyFont="1" applyFill="1" applyBorder="1" applyAlignment="1">
      <alignment horizontal="center" vertical="center"/>
    </xf>
    <xf numFmtId="0" fontId="5" fillId="30" borderId="34" xfId="171" applyFont="1" applyFill="1" applyBorder="1" applyAlignment="1">
      <alignment vertical="center"/>
    </xf>
    <xf numFmtId="167" fontId="1" fillId="30" borderId="35" xfId="171" applyNumberFormat="1" applyFont="1" applyFill="1" applyBorder="1" applyAlignment="1">
      <alignment vertical="center"/>
    </xf>
    <xf numFmtId="0" fontId="1" fillId="30" borderId="34" xfId="171" applyFont="1" applyFill="1" applyBorder="1" applyAlignment="1">
      <alignment horizontal="center" vertical="center"/>
    </xf>
    <xf numFmtId="0" fontId="43" fillId="30" borderId="0" xfId="171" applyFont="1" applyFill="1" applyAlignment="1">
      <alignment vertical="center"/>
    </xf>
    <xf numFmtId="0" fontId="2" fillId="30" borderId="0" xfId="171" quotePrefix="1" applyFill="1" applyAlignment="1">
      <alignment vertical="center"/>
    </xf>
    <xf numFmtId="167" fontId="43" fillId="30" borderId="35" xfId="171" applyNumberFormat="1" applyFont="1" applyFill="1" applyBorder="1" applyAlignment="1">
      <alignment vertical="center"/>
    </xf>
    <xf numFmtId="0" fontId="2" fillId="30" borderId="47" xfId="171" applyFill="1" applyBorder="1" applyAlignment="1">
      <alignment vertical="center"/>
    </xf>
    <xf numFmtId="0" fontId="2" fillId="30" borderId="48" xfId="171" applyFill="1" applyBorder="1" applyAlignment="1">
      <alignment vertical="center"/>
    </xf>
    <xf numFmtId="0" fontId="2" fillId="30" borderId="47" xfId="171" applyFill="1" applyBorder="1" applyAlignment="1">
      <alignment horizontal="center" vertical="center"/>
    </xf>
    <xf numFmtId="167" fontId="1" fillId="30" borderId="42" xfId="171" applyNumberFormat="1" applyFont="1" applyFill="1" applyBorder="1" applyAlignment="1">
      <alignment vertical="center"/>
    </xf>
    <xf numFmtId="0" fontId="2" fillId="30" borderId="36" xfId="171" applyFill="1" applyBorder="1" applyAlignment="1">
      <alignment vertical="center"/>
    </xf>
    <xf numFmtId="0" fontId="5" fillId="30" borderId="36" xfId="171" applyFont="1" applyFill="1" applyBorder="1" applyAlignment="1">
      <alignment horizontal="center" vertical="center"/>
    </xf>
    <xf numFmtId="167" fontId="3" fillId="30" borderId="38" xfId="171" applyNumberFormat="1" applyFont="1" applyFill="1" applyBorder="1" applyAlignment="1">
      <alignment vertical="center"/>
    </xf>
    <xf numFmtId="167" fontId="2" fillId="30" borderId="0" xfId="171" applyNumberFormat="1" applyFill="1" applyAlignment="1">
      <alignment vertical="center"/>
    </xf>
    <xf numFmtId="167" fontId="6" fillId="30" borderId="0" xfId="171" applyNumberFormat="1" applyFont="1" applyFill="1" applyAlignment="1">
      <alignment vertical="center"/>
    </xf>
    <xf numFmtId="167" fontId="6" fillId="0" borderId="0" xfId="171" applyNumberFormat="1" applyFont="1" applyAlignment="1">
      <alignment vertical="center"/>
    </xf>
    <xf numFmtId="0" fontId="2" fillId="30" borderId="0" xfId="171" applyFill="1" applyAlignment="1">
      <alignment vertical="top"/>
    </xf>
    <xf numFmtId="0" fontId="21" fillId="30" borderId="0" xfId="185" applyFont="1" applyFill="1" applyAlignment="1">
      <alignment vertical="top"/>
    </xf>
    <xf numFmtId="0" fontId="21" fillId="30" borderId="0" xfId="185" applyFont="1" applyFill="1" applyAlignment="1">
      <alignment horizontal="center" vertical="top"/>
    </xf>
    <xf numFmtId="0" fontId="56" fillId="30" borderId="0" xfId="185" applyFont="1" applyFill="1" applyAlignment="1">
      <alignment vertical="top"/>
    </xf>
    <xf numFmtId="0" fontId="59" fillId="30" borderId="0" xfId="185" applyFont="1" applyFill="1" applyAlignment="1">
      <alignment vertical="top"/>
    </xf>
    <xf numFmtId="0" fontId="59" fillId="30" borderId="0" xfId="185" applyFont="1" applyFill="1" applyAlignment="1">
      <alignment horizontal="center" vertical="top"/>
    </xf>
    <xf numFmtId="0" fontId="5" fillId="30" borderId="0" xfId="171" applyFont="1" applyFill="1" applyAlignment="1">
      <alignment vertical="top" wrapText="1"/>
    </xf>
    <xf numFmtId="0" fontId="2" fillId="30" borderId="0" xfId="171" applyFill="1" applyAlignment="1">
      <alignment horizontal="center" vertical="top"/>
    </xf>
    <xf numFmtId="0" fontId="56" fillId="30" borderId="0" xfId="171" applyFont="1" applyFill="1" applyAlignment="1">
      <alignment vertical="top"/>
    </xf>
    <xf numFmtId="0" fontId="6" fillId="30" borderId="0" xfId="171" applyFont="1" applyFill="1" applyAlignment="1">
      <alignment vertical="top"/>
    </xf>
    <xf numFmtId="0" fontId="3" fillId="30" borderId="0" xfId="185" applyFont="1" applyFill="1" applyAlignment="1">
      <alignment vertical="top"/>
    </xf>
    <xf numFmtId="0" fontId="3" fillId="30" borderId="0" xfId="185" applyFont="1" applyFill="1" applyAlignment="1">
      <alignment horizontal="center" vertical="top"/>
    </xf>
    <xf numFmtId="0" fontId="60" fillId="30" borderId="0" xfId="185" applyFont="1" applyFill="1" applyAlignment="1">
      <alignment vertical="top"/>
    </xf>
    <xf numFmtId="4" fontId="45" fillId="30" borderId="0" xfId="185" applyNumberFormat="1" applyFont="1" applyFill="1" applyAlignment="1">
      <alignment vertical="center"/>
    </xf>
    <xf numFmtId="4" fontId="5" fillId="30" borderId="34" xfId="185" applyNumberFormat="1" applyFont="1" applyFill="1" applyBorder="1" applyAlignment="1">
      <alignment horizontal="centerContinuous" vertical="center"/>
    </xf>
    <xf numFmtId="4" fontId="5" fillId="30" borderId="0" xfId="185" applyNumberFormat="1" applyFont="1" applyFill="1" applyAlignment="1">
      <alignment horizontal="centerContinuous" vertical="center"/>
    </xf>
    <xf numFmtId="4" fontId="5" fillId="30" borderId="35" xfId="185" applyNumberFormat="1" applyFont="1" applyFill="1" applyBorder="1" applyAlignment="1">
      <alignment horizontal="center" vertical="center"/>
    </xf>
    <xf numFmtId="4" fontId="3" fillId="30" borderId="49" xfId="185" applyNumberFormat="1" applyFont="1" applyFill="1" applyBorder="1" applyAlignment="1">
      <alignment horizontal="center" vertical="center" wrapText="1"/>
    </xf>
    <xf numFmtId="4" fontId="3" fillId="30" borderId="49" xfId="185" applyNumberFormat="1" applyFont="1" applyFill="1" applyBorder="1" applyAlignment="1">
      <alignment horizontal="center" vertical="center"/>
    </xf>
    <xf numFmtId="4" fontId="5" fillId="30" borderId="34" xfId="185" applyNumberFormat="1" applyFont="1" applyFill="1" applyBorder="1" applyAlignment="1">
      <alignment horizontal="centerContinuous" vertical="top"/>
    </xf>
    <xf numFmtId="4" fontId="5" fillId="30" borderId="0" xfId="185" applyNumberFormat="1" applyFont="1" applyFill="1" applyAlignment="1">
      <alignment horizontal="centerContinuous" vertical="top"/>
    </xf>
    <xf numFmtId="4" fontId="5" fillId="30" borderId="35" xfId="185" applyNumberFormat="1" applyFont="1" applyFill="1" applyBorder="1" applyAlignment="1">
      <alignment horizontal="center" vertical="top"/>
    </xf>
    <xf numFmtId="4" fontId="3" fillId="30" borderId="35" xfId="185" applyNumberFormat="1" applyFont="1" applyFill="1" applyBorder="1" applyAlignment="1">
      <alignment horizontal="center" vertical="top"/>
    </xf>
    <xf numFmtId="4" fontId="45" fillId="30" borderId="0" xfId="185" applyNumberFormat="1" applyFont="1" applyFill="1" applyAlignment="1">
      <alignment vertical="top"/>
    </xf>
    <xf numFmtId="4" fontId="2" fillId="30" borderId="34" xfId="185" applyNumberFormat="1" applyFill="1" applyBorder="1" applyAlignment="1">
      <alignment vertical="top"/>
    </xf>
    <xf numFmtId="4" fontId="2" fillId="30" borderId="0" xfId="185" applyNumberFormat="1" applyFill="1" applyAlignment="1">
      <alignment vertical="top"/>
    </xf>
    <xf numFmtId="0" fontId="2" fillId="30" borderId="35" xfId="185" applyFill="1" applyBorder="1" applyAlignment="1">
      <alignment horizontal="center"/>
    </xf>
    <xf numFmtId="4" fontId="2" fillId="30" borderId="35" xfId="185" applyNumberFormat="1" applyFill="1" applyBorder="1" applyAlignment="1">
      <alignment vertical="top"/>
    </xf>
    <xf numFmtId="4" fontId="5" fillId="30" borderId="34" xfId="185" applyNumberFormat="1" applyFont="1" applyFill="1" applyBorder="1" applyAlignment="1">
      <alignment horizontal="left" vertical="top"/>
    </xf>
    <xf numFmtId="4" fontId="5" fillId="30" borderId="0" xfId="185" applyNumberFormat="1" applyFont="1" applyFill="1" applyAlignment="1">
      <alignment vertical="top"/>
    </xf>
    <xf numFmtId="0" fontId="5" fillId="30" borderId="35" xfId="185" applyFont="1" applyFill="1" applyBorder="1" applyAlignment="1">
      <alignment horizontal="center"/>
    </xf>
    <xf numFmtId="167" fontId="5" fillId="30" borderId="35" xfId="185" applyNumberFormat="1" applyFont="1" applyFill="1" applyBorder="1" applyAlignment="1">
      <alignment vertical="top"/>
    </xf>
    <xf numFmtId="4" fontId="2" fillId="30" borderId="34" xfId="185" applyNumberFormat="1" applyFill="1" applyBorder="1" applyAlignment="1">
      <alignment horizontal="left" vertical="top"/>
    </xf>
    <xf numFmtId="167" fontId="2" fillId="30" borderId="35" xfId="185" applyNumberFormat="1" applyFill="1" applyBorder="1" applyAlignment="1">
      <alignment vertical="top"/>
    </xf>
    <xf numFmtId="4" fontId="2" fillId="30" borderId="0" xfId="185" applyNumberFormat="1" applyFill="1" applyAlignment="1">
      <alignment horizontal="left" vertical="top"/>
    </xf>
    <xf numFmtId="4" fontId="5" fillId="30" borderId="34" xfId="185" applyNumberFormat="1" applyFont="1" applyFill="1" applyBorder="1" applyAlignment="1">
      <alignment vertical="top"/>
    </xf>
    <xf numFmtId="4" fontId="5" fillId="30" borderId="0" xfId="185" applyNumberFormat="1" applyFont="1" applyFill="1" applyAlignment="1">
      <alignment horizontal="left" vertical="top"/>
    </xf>
    <xf numFmtId="4" fontId="1" fillId="30" borderId="0" xfId="185" applyNumberFormat="1" applyFont="1" applyFill="1" applyAlignment="1">
      <alignment vertical="top"/>
    </xf>
    <xf numFmtId="4" fontId="6" fillId="30" borderId="34" xfId="185" applyNumberFormat="1" applyFont="1" applyFill="1" applyBorder="1" applyAlignment="1">
      <alignment vertical="top"/>
    </xf>
    <xf numFmtId="4" fontId="6" fillId="30" borderId="0" xfId="185" applyNumberFormat="1" applyFont="1" applyFill="1" applyAlignment="1">
      <alignment horizontal="left" vertical="top"/>
    </xf>
    <xf numFmtId="4" fontId="6" fillId="30" borderId="0" xfId="185" applyNumberFormat="1" applyFont="1" applyFill="1" applyAlignment="1">
      <alignment vertical="top"/>
    </xf>
    <xf numFmtId="0" fontId="6" fillId="30" borderId="35" xfId="185" applyFont="1" applyFill="1" applyBorder="1" applyAlignment="1">
      <alignment horizontal="center"/>
    </xf>
    <xf numFmtId="167" fontId="6" fillId="30" borderId="35" xfId="185" applyNumberFormat="1" applyFont="1" applyFill="1" applyBorder="1" applyAlignment="1">
      <alignment vertical="top"/>
    </xf>
    <xf numFmtId="0" fontId="6" fillId="30" borderId="35" xfId="185" applyFont="1" applyFill="1" applyBorder="1" applyAlignment="1">
      <alignment horizontal="center" vertical="top"/>
    </xf>
    <xf numFmtId="0" fontId="5" fillId="30" borderId="35" xfId="185" applyFont="1" applyFill="1" applyBorder="1" applyAlignment="1">
      <alignment horizontal="center" vertical="top"/>
    </xf>
    <xf numFmtId="0" fontId="2" fillId="30" borderId="35" xfId="185" applyFill="1" applyBorder="1" applyAlignment="1">
      <alignment horizontal="center" vertical="top"/>
    </xf>
    <xf numFmtId="167" fontId="2" fillId="30" borderId="42" xfId="185" applyNumberFormat="1" applyFill="1" applyBorder="1" applyAlignment="1">
      <alignment vertical="top"/>
    </xf>
    <xf numFmtId="4" fontId="17" fillId="30" borderId="34" xfId="185" applyNumberFormat="1" applyFont="1" applyFill="1" applyBorder="1" applyAlignment="1">
      <alignment horizontal="right" vertical="top"/>
    </xf>
    <xf numFmtId="4" fontId="17" fillId="30" borderId="0" xfId="171" applyNumberFormat="1" applyFont="1" applyFill="1" applyAlignment="1">
      <alignment horizontal="right" vertical="top"/>
    </xf>
    <xf numFmtId="4" fontId="17" fillId="30" borderId="50" xfId="171" applyNumberFormat="1" applyFont="1" applyFill="1" applyBorder="1" applyAlignment="1">
      <alignment horizontal="right" vertical="top"/>
    </xf>
    <xf numFmtId="0" fontId="17" fillId="30" borderId="37" xfId="185" applyFont="1" applyFill="1" applyBorder="1" applyAlignment="1">
      <alignment horizontal="center" vertical="top"/>
    </xf>
    <xf numFmtId="167" fontId="17" fillId="30" borderId="37" xfId="185" applyNumberFormat="1" applyFont="1" applyFill="1" applyBorder="1" applyAlignment="1">
      <alignment vertical="top"/>
    </xf>
    <xf numFmtId="4" fontId="46" fillId="30" borderId="34" xfId="171" applyNumberFormat="1" applyFont="1" applyFill="1" applyBorder="1" applyAlignment="1">
      <alignment horizontal="right" vertical="top"/>
    </xf>
    <xf numFmtId="4" fontId="46" fillId="30" borderId="0" xfId="171" applyNumberFormat="1" applyFont="1" applyFill="1" applyAlignment="1">
      <alignment horizontal="right" vertical="top"/>
    </xf>
    <xf numFmtId="4" fontId="46" fillId="30" borderId="50" xfId="171" applyNumberFormat="1" applyFont="1" applyFill="1" applyBorder="1" applyAlignment="1">
      <alignment horizontal="right" vertical="top"/>
    </xf>
    <xf numFmtId="0" fontId="46" fillId="30" borderId="35" xfId="171" applyFont="1" applyFill="1" applyBorder="1" applyAlignment="1">
      <alignment horizontal="center" vertical="top"/>
    </xf>
    <xf numFmtId="167" fontId="46" fillId="30" borderId="35" xfId="185" applyNumberFormat="1" applyFont="1" applyFill="1" applyBorder="1" applyAlignment="1">
      <alignment vertical="top"/>
    </xf>
    <xf numFmtId="4" fontId="17" fillId="30" borderId="36" xfId="171" applyNumberFormat="1" applyFont="1" applyFill="1" applyBorder="1" applyAlignment="1">
      <alignment horizontal="right" vertical="top"/>
    </xf>
    <xf numFmtId="4" fontId="17" fillId="30" borderId="45" xfId="171" applyNumberFormat="1" applyFont="1" applyFill="1" applyBorder="1" applyAlignment="1">
      <alignment horizontal="right" vertical="top"/>
    </xf>
    <xf numFmtId="4" fontId="17" fillId="30" borderId="46" xfId="171" applyNumberFormat="1" applyFont="1" applyFill="1" applyBorder="1" applyAlignment="1">
      <alignment horizontal="right" vertical="top"/>
    </xf>
    <xf numFmtId="0" fontId="17" fillId="30" borderId="38" xfId="171" applyFont="1" applyFill="1" applyBorder="1" applyAlignment="1">
      <alignment horizontal="center" vertical="top"/>
    </xf>
    <xf numFmtId="167" fontId="17" fillId="30" borderId="38" xfId="171" applyNumberFormat="1" applyFont="1" applyFill="1" applyBorder="1" applyAlignment="1">
      <alignment vertical="top"/>
    </xf>
    <xf numFmtId="4" fontId="3" fillId="30" borderId="0" xfId="185" applyNumberFormat="1" applyFont="1" applyFill="1" applyAlignment="1">
      <alignment vertical="top"/>
    </xf>
    <xf numFmtId="0" fontId="2" fillId="30" borderId="0" xfId="185" applyFill="1" applyAlignment="1">
      <alignment horizontal="center" vertical="top"/>
    </xf>
    <xf numFmtId="167" fontId="15" fillId="30" borderId="35" xfId="185" applyNumberFormat="1" applyFont="1" applyFill="1" applyBorder="1" applyAlignment="1">
      <alignment vertical="top"/>
    </xf>
    <xf numFmtId="4" fontId="2" fillId="30" borderId="0" xfId="185" applyNumberFormat="1" applyFill="1" applyAlignment="1">
      <alignment horizontal="center" vertical="top"/>
    </xf>
    <xf numFmtId="167" fontId="2" fillId="30" borderId="0" xfId="185" applyNumberFormat="1" applyFill="1" applyAlignment="1">
      <alignment vertical="top"/>
    </xf>
    <xf numFmtId="4" fontId="6" fillId="30" borderId="0" xfId="185" applyNumberFormat="1" applyFont="1" applyFill="1" applyAlignment="1">
      <alignment horizontal="center" vertical="top"/>
    </xf>
    <xf numFmtId="167" fontId="6" fillId="30" borderId="0" xfId="185" applyNumberFormat="1" applyFont="1" applyFill="1" applyAlignment="1">
      <alignment vertical="top"/>
    </xf>
    <xf numFmtId="167" fontId="15" fillId="30" borderId="0" xfId="185" applyNumberFormat="1" applyFont="1" applyFill="1" applyAlignment="1">
      <alignment vertical="top"/>
    </xf>
    <xf numFmtId="4" fontId="15" fillId="30" borderId="0" xfId="185" quotePrefix="1" applyNumberFormat="1" applyFont="1" applyFill="1" applyAlignment="1">
      <alignment vertical="top"/>
    </xf>
    <xf numFmtId="0" fontId="52" fillId="30" borderId="0" xfId="185" applyFont="1" applyFill="1" applyAlignment="1">
      <alignment vertical="top"/>
    </xf>
    <xf numFmtId="0" fontId="52" fillId="30" borderId="0" xfId="171" applyFont="1" applyFill="1" applyAlignment="1">
      <alignment vertical="top"/>
    </xf>
    <xf numFmtId="0" fontId="2" fillId="30" borderId="0" xfId="185" applyFill="1" applyAlignment="1">
      <alignment vertical="top"/>
    </xf>
    <xf numFmtId="0" fontId="3" fillId="30" borderId="0" xfId="185" applyFont="1" applyFill="1" applyAlignment="1">
      <alignment vertical="center"/>
    </xf>
    <xf numFmtId="0" fontId="3" fillId="30" borderId="0" xfId="185" applyFont="1" applyFill="1" applyAlignment="1">
      <alignment horizontal="center" vertical="center"/>
    </xf>
    <xf numFmtId="4" fontId="3" fillId="30" borderId="35" xfId="185" applyNumberFormat="1" applyFont="1" applyFill="1" applyBorder="1" applyAlignment="1">
      <alignment horizontal="center" vertical="center"/>
    </xf>
    <xf numFmtId="167" fontId="3" fillId="30" borderId="0" xfId="185" applyNumberFormat="1" applyFont="1" applyFill="1" applyAlignment="1">
      <alignment vertical="top"/>
    </xf>
    <xf numFmtId="167" fontId="5" fillId="30" borderId="35" xfId="185" applyNumberFormat="1" applyFont="1" applyFill="1" applyBorder="1" applyAlignment="1" applyProtection="1">
      <alignment vertical="top"/>
      <protection locked="0"/>
    </xf>
    <xf numFmtId="0" fontId="3" fillId="30" borderId="11" xfId="0" applyFont="1" applyFill="1" applyBorder="1" applyAlignment="1">
      <alignment horizontal="center" vertical="center"/>
    </xf>
    <xf numFmtId="0" fontId="3" fillId="30" borderId="11" xfId="0" applyFont="1" applyFill="1" applyBorder="1" applyAlignment="1">
      <alignment vertical="center"/>
    </xf>
    <xf numFmtId="0" fontId="6" fillId="30" borderId="0" xfId="0" quotePrefix="1" applyFont="1" applyFill="1" applyAlignment="1">
      <alignment vertical="center"/>
    </xf>
    <xf numFmtId="0" fontId="6" fillId="0" borderId="0" xfId="0" applyFont="1" applyAlignment="1">
      <alignment vertical="top"/>
    </xf>
    <xf numFmtId="0" fontId="6" fillId="0" borderId="0" xfId="0" applyFont="1" applyAlignment="1">
      <alignment vertical="top" wrapText="1"/>
    </xf>
    <xf numFmtId="0" fontId="1" fillId="30" borderId="18" xfId="173" applyFont="1" applyFill="1" applyBorder="1" applyAlignment="1">
      <alignment vertical="center" wrapText="1"/>
    </xf>
    <xf numFmtId="0" fontId="2" fillId="30" borderId="18" xfId="173" applyFont="1" applyFill="1" applyBorder="1" applyAlignment="1">
      <alignment horizontal="center" vertical="center" wrapText="1"/>
    </xf>
    <xf numFmtId="0" fontId="4" fillId="30" borderId="18" xfId="0" applyFont="1" applyFill="1" applyBorder="1" applyAlignment="1">
      <alignment horizontal="center" vertical="center" wrapText="1"/>
    </xf>
    <xf numFmtId="0" fontId="4" fillId="30" borderId="32" xfId="173" applyFill="1" applyBorder="1" applyAlignment="1">
      <alignment vertical="center" wrapText="1"/>
    </xf>
    <xf numFmtId="0" fontId="4" fillId="30" borderId="32" xfId="173" applyFill="1" applyBorder="1" applyAlignment="1">
      <alignment horizontal="center" vertical="center" wrapText="1"/>
    </xf>
    <xf numFmtId="0" fontId="4" fillId="30" borderId="32" xfId="0" applyFont="1" applyFill="1" applyBorder="1" applyAlignment="1">
      <alignment horizontal="center" vertical="center" wrapText="1"/>
    </xf>
    <xf numFmtId="0" fontId="4" fillId="30" borderId="13" xfId="173" applyFill="1" applyBorder="1" applyAlignment="1">
      <alignment vertical="center"/>
    </xf>
    <xf numFmtId="49" fontId="3" fillId="30" borderId="32" xfId="173" applyNumberFormat="1" applyFont="1" applyFill="1" applyBorder="1" applyAlignment="1">
      <alignment horizontal="right" vertical="center"/>
    </xf>
    <xf numFmtId="0" fontId="4" fillId="30" borderId="21" xfId="0" quotePrefix="1" applyFont="1" applyFill="1" applyBorder="1" applyAlignment="1">
      <alignment horizontal="center" vertical="center"/>
    </xf>
    <xf numFmtId="0" fontId="1" fillId="30" borderId="21" xfId="0" quotePrefix="1" applyFont="1" applyFill="1" applyBorder="1" applyAlignment="1">
      <alignment horizontal="center" vertical="center"/>
    </xf>
    <xf numFmtId="0" fontId="0" fillId="30" borderId="21" xfId="0" applyFill="1" applyBorder="1" applyAlignment="1">
      <alignment vertical="center"/>
    </xf>
    <xf numFmtId="0" fontId="4" fillId="30" borderId="39" xfId="173" applyFill="1" applyBorder="1" applyAlignment="1">
      <alignment vertical="center"/>
    </xf>
    <xf numFmtId="0" fontId="4" fillId="30" borderId="53" xfId="173" applyFill="1" applyBorder="1" applyAlignment="1">
      <alignment horizontal="left" vertical="center" wrapText="1"/>
    </xf>
    <xf numFmtId="0" fontId="4" fillId="30" borderId="13" xfId="173" applyFill="1" applyBorder="1" applyAlignment="1">
      <alignment horizontal="left" vertical="center" wrapText="1"/>
    </xf>
    <xf numFmtId="0" fontId="3" fillId="30" borderId="16" xfId="173" applyFont="1" applyFill="1" applyBorder="1" applyAlignment="1">
      <alignment vertical="center"/>
    </xf>
    <xf numFmtId="0" fontId="3" fillId="30" borderId="18" xfId="173" applyFont="1" applyFill="1" applyBorder="1" applyAlignment="1">
      <alignment vertical="center"/>
    </xf>
    <xf numFmtId="164" fontId="0" fillId="30" borderId="18" xfId="0" applyNumberFormat="1" applyFill="1" applyBorder="1" applyAlignment="1">
      <alignment vertical="center"/>
    </xf>
    <xf numFmtId="0" fontId="3" fillId="30" borderId="13" xfId="173" applyFont="1" applyFill="1" applyBorder="1" applyAlignment="1">
      <alignment vertical="center"/>
    </xf>
    <xf numFmtId="0" fontId="3" fillId="30" borderId="32" xfId="173" applyFont="1" applyFill="1" applyBorder="1" applyAlignment="1">
      <alignment vertical="center"/>
    </xf>
    <xf numFmtId="164" fontId="3" fillId="30" borderId="32" xfId="0" applyNumberFormat="1" applyFont="1" applyFill="1" applyBorder="1" applyAlignment="1">
      <alignment vertical="center"/>
    </xf>
    <xf numFmtId="0" fontId="3" fillId="30" borderId="19" xfId="173" applyFont="1" applyFill="1" applyBorder="1" applyAlignment="1">
      <alignment vertical="center"/>
    </xf>
    <xf numFmtId="0" fontId="3" fillId="30" borderId="21" xfId="173" applyFont="1" applyFill="1" applyBorder="1" applyAlignment="1">
      <alignment vertical="center"/>
    </xf>
    <xf numFmtId="164" fontId="0" fillId="30" borderId="21" xfId="0" applyNumberFormat="1" applyFill="1" applyBorder="1" applyAlignment="1">
      <alignment vertical="center"/>
    </xf>
    <xf numFmtId="0" fontId="19" fillId="30" borderId="0" xfId="173" applyFont="1" applyFill="1" applyAlignment="1">
      <alignment horizontal="right" vertical="center"/>
    </xf>
    <xf numFmtId="0" fontId="20" fillId="30" borderId="0" xfId="0" applyFont="1" applyFill="1" applyAlignment="1">
      <alignment horizontal="right" vertical="center"/>
    </xf>
    <xf numFmtId="0" fontId="6" fillId="30" borderId="0" xfId="0" applyFont="1" applyFill="1" applyAlignment="1">
      <alignment horizontal="right" vertical="center"/>
    </xf>
    <xf numFmtId="0" fontId="4" fillId="30" borderId="18" xfId="173" applyFill="1" applyBorder="1" applyAlignment="1">
      <alignment vertical="center" wrapText="1"/>
    </xf>
    <xf numFmtId="0" fontId="4" fillId="30" borderId="18" xfId="173" applyFill="1" applyBorder="1" applyAlignment="1">
      <alignment horizontal="center" vertical="center" wrapText="1"/>
    </xf>
    <xf numFmtId="167" fontId="0" fillId="30" borderId="18" xfId="0" applyNumberFormat="1" applyFill="1" applyBorder="1" applyAlignment="1">
      <alignment vertical="center"/>
    </xf>
    <xf numFmtId="167" fontId="3" fillId="30" borderId="32" xfId="0" applyNumberFormat="1" applyFont="1" applyFill="1" applyBorder="1" applyAlignment="1">
      <alignment vertical="center"/>
    </xf>
    <xf numFmtId="0" fontId="3" fillId="30" borderId="0" xfId="0" applyFont="1" applyFill="1" applyAlignment="1">
      <alignment vertical="center"/>
    </xf>
    <xf numFmtId="167" fontId="0" fillId="30" borderId="21" xfId="0" applyNumberFormat="1" applyFill="1" applyBorder="1" applyAlignment="1">
      <alignment vertical="center"/>
    </xf>
    <xf numFmtId="0" fontId="61" fillId="30" borderId="0" xfId="0" quotePrefix="1" applyFont="1" applyFill="1" applyAlignment="1">
      <alignment vertical="center"/>
    </xf>
    <xf numFmtId="0" fontId="6" fillId="0" borderId="0" xfId="0" quotePrefix="1" applyFont="1" applyAlignment="1">
      <alignment vertical="top"/>
    </xf>
    <xf numFmtId="14" fontId="0" fillId="0" borderId="11" xfId="0" applyNumberFormat="1" applyBorder="1" applyAlignment="1">
      <alignment vertical="center"/>
    </xf>
    <xf numFmtId="14" fontId="0" fillId="30" borderId="11" xfId="0" applyNumberFormat="1" applyFill="1" applyBorder="1" applyAlignment="1">
      <alignment vertical="center"/>
    </xf>
    <xf numFmtId="3" fontId="0" fillId="30" borderId="0" xfId="0" applyNumberFormat="1" applyFill="1" applyAlignment="1">
      <alignment vertical="center"/>
    </xf>
    <xf numFmtId="0" fontId="6" fillId="30" borderId="0" xfId="0" applyFont="1" applyFill="1" applyAlignment="1">
      <alignment horizontal="left" vertical="center" wrapText="1"/>
    </xf>
    <xf numFmtId="0" fontId="4" fillId="30" borderId="72" xfId="0" applyFont="1" applyFill="1" applyBorder="1" applyAlignment="1">
      <alignment vertical="center"/>
    </xf>
    <xf numFmtId="14" fontId="3" fillId="30" borderId="72" xfId="0" applyNumberFormat="1" applyFont="1" applyFill="1" applyBorder="1" applyAlignment="1">
      <alignment vertical="center"/>
    </xf>
    <xf numFmtId="14" fontId="3" fillId="30" borderId="73" xfId="0" applyNumberFormat="1" applyFont="1" applyFill="1" applyBorder="1" applyAlignment="1">
      <alignment horizontal="center" vertical="center"/>
    </xf>
    <xf numFmtId="14" fontId="3" fillId="30" borderId="58" xfId="0" applyNumberFormat="1" applyFont="1" applyFill="1" applyBorder="1" applyAlignment="1">
      <alignment vertical="center"/>
    </xf>
    <xf numFmtId="3" fontId="4" fillId="30" borderId="13" xfId="0" applyNumberFormat="1" applyFont="1" applyFill="1" applyBorder="1" applyAlignment="1">
      <alignment vertical="center" wrapText="1"/>
    </xf>
    <xf numFmtId="3" fontId="3" fillId="30" borderId="0" xfId="0" applyNumberFormat="1" applyFont="1" applyFill="1" applyAlignment="1">
      <alignment horizontal="center" vertical="center" wrapText="1"/>
    </xf>
    <xf numFmtId="3" fontId="4" fillId="30" borderId="14" xfId="0" applyNumberFormat="1" applyFont="1" applyFill="1" applyBorder="1" applyAlignment="1">
      <alignment vertical="center" wrapText="1"/>
    </xf>
    <xf numFmtId="0" fontId="4" fillId="30" borderId="13" xfId="0" applyFont="1" applyFill="1" applyBorder="1" applyAlignment="1">
      <alignment horizontal="center" vertical="center"/>
    </xf>
    <xf numFmtId="3" fontId="4" fillId="30" borderId="19" xfId="0" applyNumberFormat="1" applyFont="1" applyFill="1" applyBorder="1" applyAlignment="1">
      <alignment vertical="center" wrapText="1"/>
    </xf>
    <xf numFmtId="3" fontId="3" fillId="30" borderId="20" xfId="0" applyNumberFormat="1" applyFont="1" applyFill="1" applyBorder="1" applyAlignment="1">
      <alignment horizontal="center" vertical="center" wrapText="1"/>
    </xf>
    <xf numFmtId="3" fontId="4" fillId="30" borderId="27" xfId="0" applyNumberFormat="1" applyFont="1" applyFill="1" applyBorder="1" applyAlignment="1">
      <alignment vertical="center" wrapText="1"/>
    </xf>
    <xf numFmtId="0" fontId="4" fillId="30" borderId="56" xfId="0" applyFont="1" applyFill="1" applyBorder="1" applyAlignment="1">
      <alignment vertical="center"/>
    </xf>
    <xf numFmtId="3" fontId="4" fillId="30" borderId="32" xfId="0" applyNumberFormat="1" applyFont="1" applyFill="1" applyBorder="1" applyAlignment="1">
      <alignment vertical="center"/>
    </xf>
    <xf numFmtId="0" fontId="0" fillId="30" borderId="14" xfId="0" applyFill="1" applyBorder="1" applyAlignment="1">
      <alignment vertical="center"/>
    </xf>
    <xf numFmtId="0" fontId="15" fillId="30" borderId="32" xfId="0" applyFont="1" applyFill="1" applyBorder="1" applyAlignment="1">
      <alignment horizontal="center" vertical="center"/>
    </xf>
    <xf numFmtId="0" fontId="4" fillId="30" borderId="32" xfId="0" applyFont="1" applyFill="1" applyBorder="1" applyAlignment="1">
      <alignment vertical="center" wrapText="1"/>
    </xf>
    <xf numFmtId="0" fontId="4" fillId="0" borderId="57" xfId="0" applyFont="1" applyBorder="1" applyAlignment="1">
      <alignment vertical="center" wrapText="1"/>
    </xf>
    <xf numFmtId="0" fontId="2" fillId="30" borderId="57" xfId="0" applyFont="1" applyFill="1" applyBorder="1" applyAlignment="1">
      <alignment vertical="center" wrapText="1"/>
    </xf>
    <xf numFmtId="0" fontId="6" fillId="30" borderId="32" xfId="0" applyFont="1" applyFill="1" applyBorder="1" applyAlignment="1">
      <alignment horizontal="left" vertical="center" wrapText="1"/>
    </xf>
    <xf numFmtId="0" fontId="6" fillId="30" borderId="33" xfId="0" applyFont="1" applyFill="1" applyBorder="1" applyAlignment="1">
      <alignment horizontal="left" vertical="center" wrapText="1" indent="2"/>
    </xf>
    <xf numFmtId="0" fontId="6" fillId="30" borderId="57" xfId="0" applyFont="1" applyFill="1" applyBorder="1" applyAlignment="1">
      <alignment horizontal="left" vertical="center" wrapText="1" indent="2"/>
    </xf>
    <xf numFmtId="0" fontId="15" fillId="30" borderId="32" xfId="0" applyFont="1" applyFill="1" applyBorder="1" applyAlignment="1">
      <alignment horizontal="center" vertical="center" wrapText="1"/>
    </xf>
    <xf numFmtId="0" fontId="4" fillId="0" borderId="57" xfId="0" applyFont="1" applyBorder="1" applyAlignment="1">
      <alignment vertical="center"/>
    </xf>
    <xf numFmtId="0" fontId="4" fillId="0" borderId="21" xfId="0" applyFont="1" applyBorder="1" applyAlignment="1">
      <alignment vertical="center" wrapText="1"/>
    </xf>
    <xf numFmtId="0" fontId="4" fillId="30" borderId="32" xfId="0" applyFont="1" applyFill="1" applyBorder="1" applyAlignment="1">
      <alignment vertical="center"/>
    </xf>
    <xf numFmtId="0" fontId="3" fillId="30" borderId="32" xfId="0" applyFont="1" applyFill="1" applyBorder="1" applyAlignment="1">
      <alignment vertical="center"/>
    </xf>
    <xf numFmtId="0" fontId="4" fillId="30" borderId="21" xfId="0" applyFont="1" applyFill="1" applyBorder="1" applyAlignment="1">
      <alignment vertical="center"/>
    </xf>
    <xf numFmtId="3" fontId="4" fillId="30" borderId="21" xfId="0" applyNumberFormat="1" applyFont="1" applyFill="1" applyBorder="1" applyAlignment="1">
      <alignment vertical="center"/>
    </xf>
    <xf numFmtId="3" fontId="1" fillId="30" borderId="0" xfId="0" applyNumberFormat="1" applyFont="1" applyFill="1" applyAlignment="1">
      <alignment vertical="center"/>
    </xf>
    <xf numFmtId="3" fontId="4" fillId="30" borderId="0" xfId="0" applyNumberFormat="1" applyFont="1" applyFill="1" applyAlignment="1">
      <alignment vertical="center"/>
    </xf>
    <xf numFmtId="3" fontId="51" fillId="31" borderId="16" xfId="190" applyNumberFormat="1" applyFont="1" applyFill="1" applyBorder="1" applyAlignment="1" applyProtection="1">
      <alignment vertical="center"/>
      <protection locked="0"/>
    </xf>
    <xf numFmtId="3" fontId="51" fillId="31" borderId="99" xfId="190" applyNumberFormat="1" applyFont="1" applyFill="1" applyBorder="1" applyAlignment="1" applyProtection="1">
      <alignment vertical="center"/>
      <protection locked="0"/>
    </xf>
    <xf numFmtId="3" fontId="51" fillId="37" borderId="100" xfId="190" applyNumberFormat="1" applyFont="1" applyFill="1" applyBorder="1" applyAlignment="1" applyProtection="1">
      <alignment vertical="center"/>
      <protection locked="0"/>
    </xf>
    <xf numFmtId="3" fontId="51" fillId="31" borderId="22" xfId="190" applyNumberFormat="1" applyFont="1" applyFill="1" applyBorder="1" applyAlignment="1" applyProtection="1">
      <alignment vertical="center"/>
      <protection locked="0"/>
    </xf>
    <xf numFmtId="3" fontId="51" fillId="31" borderId="84" xfId="190" applyNumberFormat="1" applyFont="1" applyFill="1" applyBorder="1" applyAlignment="1" applyProtection="1">
      <alignment vertical="center"/>
      <protection locked="0"/>
    </xf>
    <xf numFmtId="3" fontId="51" fillId="37" borderId="84" xfId="190" applyNumberFormat="1" applyFont="1" applyFill="1" applyBorder="1" applyAlignment="1" applyProtection="1">
      <alignment vertical="center"/>
      <protection locked="0"/>
    </xf>
    <xf numFmtId="3" fontId="51" fillId="37" borderId="97" xfId="190" applyNumberFormat="1" applyFont="1" applyFill="1" applyBorder="1" applyAlignment="1" applyProtection="1">
      <alignment vertical="center"/>
      <protection locked="0"/>
    </xf>
    <xf numFmtId="3" fontId="51" fillId="37" borderId="22" xfId="190" applyNumberFormat="1" applyFont="1" applyFill="1" applyBorder="1" applyAlignment="1" applyProtection="1">
      <alignment vertical="center"/>
      <protection locked="0"/>
    </xf>
    <xf numFmtId="3" fontId="51" fillId="31" borderId="97" xfId="190" applyNumberFormat="1" applyFont="1" applyFill="1" applyBorder="1" applyAlignment="1" applyProtection="1">
      <alignment vertical="center"/>
      <protection locked="0"/>
    </xf>
    <xf numFmtId="3" fontId="71" fillId="31" borderId="22" xfId="190" applyNumberFormat="1" applyFont="1" applyFill="1" applyBorder="1" applyAlignment="1" applyProtection="1">
      <alignment vertical="center"/>
      <protection locked="0"/>
    </xf>
    <xf numFmtId="3" fontId="71" fillId="31" borderId="84" xfId="190" applyNumberFormat="1" applyFont="1" applyFill="1" applyBorder="1" applyAlignment="1" applyProtection="1">
      <alignment vertical="center"/>
      <protection locked="0"/>
    </xf>
    <xf numFmtId="3" fontId="71" fillId="31" borderId="97" xfId="190" applyNumberFormat="1" applyFont="1" applyFill="1" applyBorder="1" applyAlignment="1" applyProtection="1">
      <alignment vertical="center"/>
      <protection locked="0"/>
    </xf>
    <xf numFmtId="3" fontId="71" fillId="37" borderId="22" xfId="190" applyNumberFormat="1" applyFont="1" applyFill="1" applyBorder="1" applyAlignment="1" applyProtection="1">
      <alignment vertical="center"/>
      <protection locked="0"/>
    </xf>
    <xf numFmtId="3" fontId="71" fillId="37" borderId="84" xfId="190" applyNumberFormat="1" applyFont="1" applyFill="1" applyBorder="1" applyAlignment="1" applyProtection="1">
      <alignment vertical="center"/>
      <protection locked="0"/>
    </xf>
    <xf numFmtId="169" fontId="71" fillId="37" borderId="22" xfId="190" applyNumberFormat="1" applyFont="1" applyFill="1" applyBorder="1" applyAlignment="1" applyProtection="1">
      <alignment vertical="center"/>
      <protection locked="0"/>
    </xf>
    <xf numFmtId="169" fontId="71" fillId="37" borderId="84" xfId="190" applyNumberFormat="1" applyFont="1" applyFill="1" applyBorder="1" applyAlignment="1" applyProtection="1">
      <alignment vertical="center"/>
      <protection locked="0"/>
    </xf>
    <xf numFmtId="3" fontId="51" fillId="31" borderId="98" xfId="190" applyNumberFormat="1" applyFont="1" applyFill="1" applyBorder="1" applyAlignment="1" applyProtection="1">
      <alignment vertical="center"/>
      <protection locked="0"/>
    </xf>
    <xf numFmtId="3" fontId="51" fillId="31" borderId="101" xfId="190" applyNumberFormat="1" applyFont="1" applyFill="1" applyBorder="1" applyAlignment="1" applyProtection="1">
      <alignment vertical="center"/>
      <protection locked="0"/>
    </xf>
    <xf numFmtId="3" fontId="51" fillId="31" borderId="18" xfId="190" applyNumberFormat="1" applyFont="1" applyFill="1" applyBorder="1" applyAlignment="1" applyProtection="1">
      <alignment vertical="center"/>
      <protection locked="0"/>
    </xf>
    <xf numFmtId="3" fontId="51" fillId="31" borderId="56" xfId="190" applyNumberFormat="1" applyFont="1" applyFill="1" applyBorder="1" applyAlignment="1" applyProtection="1">
      <alignment vertical="center"/>
      <protection locked="0"/>
    </xf>
    <xf numFmtId="169" fontId="51" fillId="31" borderId="22" xfId="190" applyNumberFormat="1" applyFont="1" applyFill="1" applyBorder="1" applyAlignment="1" applyProtection="1">
      <alignment vertical="center"/>
      <protection locked="0"/>
    </xf>
    <xf numFmtId="169" fontId="51" fillId="31" borderId="98" xfId="190" applyNumberFormat="1" applyFont="1" applyFill="1" applyBorder="1" applyAlignment="1" applyProtection="1">
      <alignment vertical="center"/>
      <protection locked="0"/>
    </xf>
    <xf numFmtId="3" fontId="51" fillId="31" borderId="107" xfId="190" applyNumberFormat="1" applyFont="1" applyFill="1" applyBorder="1" applyAlignment="1" applyProtection="1">
      <alignment vertical="center"/>
      <protection locked="0"/>
    </xf>
    <xf numFmtId="3" fontId="51" fillId="31" borderId="94" xfId="190" applyNumberFormat="1" applyFont="1" applyFill="1" applyBorder="1" applyAlignment="1" applyProtection="1">
      <alignment vertical="center"/>
      <protection locked="0"/>
    </xf>
    <xf numFmtId="3" fontId="71" fillId="31" borderId="94" xfId="190" applyNumberFormat="1" applyFont="1" applyFill="1" applyBorder="1" applyAlignment="1" applyProtection="1">
      <alignment vertical="center"/>
      <protection locked="0"/>
    </xf>
    <xf numFmtId="3" fontId="71" fillId="31" borderId="110" xfId="190" applyNumberFormat="1" applyFont="1" applyFill="1" applyBorder="1" applyAlignment="1" applyProtection="1">
      <alignment vertical="center"/>
      <protection locked="0"/>
    </xf>
    <xf numFmtId="3" fontId="71" fillId="31" borderId="95" xfId="190" applyNumberFormat="1" applyFont="1" applyFill="1" applyBorder="1" applyAlignment="1" applyProtection="1">
      <alignment vertical="center"/>
      <protection locked="0"/>
    </xf>
    <xf numFmtId="3" fontId="71" fillId="31" borderId="96" xfId="190" applyNumberFormat="1" applyFont="1" applyFill="1" applyBorder="1" applyAlignment="1" applyProtection="1">
      <alignment vertical="center"/>
      <protection locked="0"/>
    </xf>
    <xf numFmtId="0" fontId="0" fillId="0" borderId="0" xfId="0" applyProtection="1">
      <protection locked="0"/>
    </xf>
    <xf numFmtId="3" fontId="51" fillId="31" borderId="102" xfId="190" applyNumberFormat="1" applyFont="1" applyFill="1" applyBorder="1" applyAlignment="1" applyProtection="1">
      <alignment vertical="center"/>
      <protection locked="0"/>
    </xf>
    <xf numFmtId="0" fontId="3" fillId="30" borderId="15" xfId="1" applyFont="1" applyFill="1" applyBorder="1" applyAlignment="1">
      <alignment horizontal="left"/>
    </xf>
    <xf numFmtId="0" fontId="3" fillId="30" borderId="63" xfId="1" applyFont="1" applyFill="1" applyBorder="1" applyAlignment="1">
      <alignment horizontal="left"/>
    </xf>
    <xf numFmtId="0" fontId="3" fillId="30" borderId="61" xfId="1" applyFont="1" applyFill="1" applyBorder="1" applyAlignment="1">
      <alignment horizontal="left"/>
    </xf>
    <xf numFmtId="0" fontId="3" fillId="31" borderId="72" xfId="190" applyNumberFormat="1" applyFont="1" applyFill="1" applyBorder="1" applyAlignment="1" applyProtection="1">
      <alignment horizontal="center"/>
      <protection locked="0"/>
    </xf>
    <xf numFmtId="0" fontId="3" fillId="31" borderId="73" xfId="190" applyNumberFormat="1" applyFont="1" applyFill="1" applyBorder="1" applyAlignment="1" applyProtection="1">
      <alignment horizontal="center"/>
      <protection locked="0"/>
    </xf>
    <xf numFmtId="0" fontId="3" fillId="31" borderId="58" xfId="190" applyNumberFormat="1" applyFont="1" applyFill="1" applyBorder="1" applyAlignment="1" applyProtection="1">
      <alignment horizontal="center"/>
      <protection locked="0"/>
    </xf>
    <xf numFmtId="0" fontId="3" fillId="31" borderId="72" xfId="0" applyFont="1" applyFill="1" applyBorder="1" applyAlignment="1" applyProtection="1">
      <alignment horizontal="center"/>
      <protection locked="0"/>
    </xf>
    <xf numFmtId="0" fontId="3" fillId="31" borderId="73" xfId="0" applyFont="1" applyFill="1" applyBorder="1" applyAlignment="1" applyProtection="1">
      <alignment horizontal="center"/>
      <protection locked="0"/>
    </xf>
    <xf numFmtId="0" fontId="3" fillId="31" borderId="58" xfId="0" applyFont="1" applyFill="1" applyBorder="1" applyAlignment="1" applyProtection="1">
      <alignment horizontal="center"/>
      <protection locked="0"/>
    </xf>
    <xf numFmtId="0" fontId="2" fillId="0" borderId="0" xfId="170" applyFont="1" applyAlignment="1">
      <alignment horizontal="left" vertical="center" wrapText="1"/>
    </xf>
    <xf numFmtId="0" fontId="4" fillId="0" borderId="0" xfId="170" applyAlignment="1">
      <alignment horizontal="left" vertical="center" wrapText="1"/>
    </xf>
    <xf numFmtId="0" fontId="17" fillId="30" borderId="72" xfId="0" applyFont="1" applyFill="1" applyBorder="1" applyAlignment="1">
      <alignment horizontal="center" vertical="center"/>
    </xf>
    <xf numFmtId="0" fontId="17" fillId="30" borderId="73" xfId="0" applyFont="1" applyFill="1" applyBorder="1" applyAlignment="1">
      <alignment horizontal="center" vertical="center"/>
    </xf>
    <xf numFmtId="0" fontId="17" fillId="30" borderId="58" xfId="0" applyFont="1" applyFill="1" applyBorder="1" applyAlignment="1">
      <alignment horizontal="center" vertical="center"/>
    </xf>
    <xf numFmtId="0" fontId="67" fillId="0" borderId="83" xfId="0" applyFont="1" applyBorder="1" applyAlignment="1">
      <alignment horizontal="left" vertical="top"/>
    </xf>
    <xf numFmtId="0" fontId="67" fillId="0" borderId="63" xfId="0" applyFont="1" applyBorder="1" applyAlignment="1">
      <alignment horizontal="left" vertical="top"/>
    </xf>
    <xf numFmtId="0" fontId="67" fillId="0" borderId="78" xfId="0" applyFont="1" applyBorder="1" applyAlignment="1">
      <alignment horizontal="left" vertical="top"/>
    </xf>
    <xf numFmtId="0" fontId="46" fillId="35" borderId="81" xfId="0" applyFont="1" applyFill="1" applyBorder="1" applyAlignment="1">
      <alignment horizontal="center" vertical="center"/>
    </xf>
    <xf numFmtId="0" fontId="46" fillId="35" borderId="86" xfId="0" applyFont="1" applyFill="1" applyBorder="1" applyAlignment="1">
      <alignment horizontal="center" vertical="center"/>
    </xf>
    <xf numFmtId="0" fontId="46" fillId="35" borderId="82" xfId="0" applyFont="1" applyFill="1" applyBorder="1" applyAlignment="1">
      <alignment horizontal="center" vertical="center"/>
    </xf>
    <xf numFmtId="0" fontId="3" fillId="30" borderId="0" xfId="171" applyFont="1" applyFill="1" applyAlignment="1">
      <alignment horizontal="left" vertical="center" wrapText="1"/>
    </xf>
    <xf numFmtId="0" fontId="3" fillId="30" borderId="50" xfId="171" applyFont="1" applyFill="1" applyBorder="1" applyAlignment="1">
      <alignment horizontal="left" vertical="center" wrapText="1"/>
    </xf>
    <xf numFmtId="0" fontId="5" fillId="30" borderId="74" xfId="171" applyFont="1" applyFill="1" applyBorder="1" applyAlignment="1">
      <alignment horizontal="center" vertical="center"/>
    </xf>
    <xf numFmtId="0" fontId="5" fillId="30" borderId="76" xfId="171" applyFont="1" applyFill="1" applyBorder="1" applyAlignment="1">
      <alignment horizontal="center" vertical="center"/>
    </xf>
    <xf numFmtId="0" fontId="5" fillId="30" borderId="75" xfId="171" applyFont="1" applyFill="1" applyBorder="1" applyAlignment="1">
      <alignment horizontal="center" vertical="center"/>
    </xf>
    <xf numFmtId="0" fontId="5" fillId="30" borderId="47" xfId="171" applyFont="1" applyFill="1" applyBorder="1" applyAlignment="1">
      <alignment horizontal="center" vertical="center"/>
    </xf>
    <xf numFmtId="0" fontId="5" fillId="30" borderId="48" xfId="171" applyFont="1" applyFill="1" applyBorder="1" applyAlignment="1">
      <alignment horizontal="center" vertical="center"/>
    </xf>
    <xf numFmtId="0" fontId="5" fillId="30" borderId="64" xfId="171" applyFont="1" applyFill="1" applyBorder="1" applyAlignment="1">
      <alignment horizontal="center" vertical="center"/>
    </xf>
    <xf numFmtId="0" fontId="5" fillId="30" borderId="65" xfId="171" applyFont="1" applyFill="1" applyBorder="1" applyAlignment="1">
      <alignment horizontal="center" vertical="center"/>
    </xf>
    <xf numFmtId="0" fontId="5" fillId="30" borderId="42" xfId="171" applyFont="1" applyFill="1" applyBorder="1" applyAlignment="1">
      <alignment horizontal="center" vertical="center"/>
    </xf>
    <xf numFmtId="168" fontId="3" fillId="30" borderId="74" xfId="121" applyNumberFormat="1" applyFont="1" applyFill="1" applyBorder="1" applyAlignment="1" applyProtection="1">
      <alignment horizontal="center" vertical="center"/>
    </xf>
    <xf numFmtId="168" fontId="3" fillId="30" borderId="47" xfId="121" applyNumberFormat="1" applyFont="1" applyFill="1" applyBorder="1" applyAlignment="1" applyProtection="1">
      <alignment horizontal="center" vertical="center"/>
    </xf>
    <xf numFmtId="4" fontId="3" fillId="30" borderId="74" xfId="185" applyNumberFormat="1" applyFont="1" applyFill="1" applyBorder="1" applyAlignment="1">
      <alignment horizontal="center" vertical="center"/>
    </xf>
    <xf numFmtId="4" fontId="3" fillId="30" borderId="47" xfId="185" applyNumberFormat="1" applyFont="1" applyFill="1" applyBorder="1" applyAlignment="1">
      <alignment horizontal="center" vertical="center"/>
    </xf>
    <xf numFmtId="168" fontId="3" fillId="30" borderId="65" xfId="121" applyNumberFormat="1" applyFont="1" applyFill="1" applyBorder="1" applyAlignment="1" applyProtection="1">
      <alignment horizontal="center" vertical="center"/>
    </xf>
    <xf numFmtId="168" fontId="3" fillId="30" borderId="42" xfId="121" applyNumberFormat="1" applyFont="1" applyFill="1" applyBorder="1" applyAlignment="1" applyProtection="1">
      <alignment horizontal="center" vertical="center"/>
    </xf>
    <xf numFmtId="0" fontId="22" fillId="36" borderId="72" xfId="185" applyFont="1" applyFill="1" applyBorder="1" applyAlignment="1">
      <alignment horizontal="center" vertical="center"/>
    </xf>
    <xf numFmtId="0" fontId="22" fillId="36" borderId="73" xfId="185" applyFont="1" applyFill="1" applyBorder="1" applyAlignment="1">
      <alignment horizontal="center" vertical="center"/>
    </xf>
    <xf numFmtId="0" fontId="22" fillId="36" borderId="58" xfId="185" applyFont="1" applyFill="1" applyBorder="1" applyAlignment="1">
      <alignment horizontal="center" vertical="center"/>
    </xf>
    <xf numFmtId="4" fontId="3" fillId="30" borderId="65" xfId="185" applyNumberFormat="1" applyFont="1" applyFill="1" applyBorder="1" applyAlignment="1">
      <alignment horizontal="center" vertical="center"/>
    </xf>
    <xf numFmtId="4" fontId="3" fillId="30" borderId="42" xfId="185" applyNumberFormat="1" applyFont="1" applyFill="1" applyBorder="1" applyAlignment="1">
      <alignment horizontal="center" vertical="center"/>
    </xf>
    <xf numFmtId="0" fontId="17" fillId="30" borderId="72" xfId="171" applyFont="1" applyFill="1" applyBorder="1" applyAlignment="1">
      <alignment horizontal="center" vertical="center"/>
    </xf>
    <xf numFmtId="0" fontId="17" fillId="30" borderId="73" xfId="171" applyFont="1" applyFill="1" applyBorder="1" applyAlignment="1">
      <alignment horizontal="center" vertical="center"/>
    </xf>
    <xf numFmtId="0" fontId="17" fillId="30" borderId="58" xfId="171" applyFont="1" applyFill="1" applyBorder="1" applyAlignment="1">
      <alignment horizontal="center" vertical="center"/>
    </xf>
    <xf numFmtId="0" fontId="3" fillId="0" borderId="0" xfId="171" applyFont="1" applyAlignment="1">
      <alignment horizontal="left" vertical="center" wrapText="1"/>
    </xf>
    <xf numFmtId="0" fontId="3" fillId="0" borderId="50" xfId="171" applyFont="1" applyBorder="1" applyAlignment="1">
      <alignment horizontal="left" vertical="center" wrapText="1"/>
    </xf>
    <xf numFmtId="4" fontId="5" fillId="30" borderId="34" xfId="185" applyNumberFormat="1" applyFont="1" applyFill="1" applyBorder="1" applyAlignment="1">
      <alignment horizontal="left" vertical="top" wrapText="1"/>
    </xf>
    <xf numFmtId="4" fontId="5" fillId="30" borderId="0" xfId="185" applyNumberFormat="1" applyFont="1" applyFill="1" applyAlignment="1">
      <alignment horizontal="left" vertical="top" wrapText="1"/>
    </xf>
    <xf numFmtId="4" fontId="5" fillId="30" borderId="50" xfId="185" applyNumberFormat="1" applyFont="1" applyFill="1" applyBorder="1" applyAlignment="1">
      <alignment horizontal="left" vertical="top" wrapText="1"/>
    </xf>
    <xf numFmtId="0" fontId="5" fillId="30" borderId="35" xfId="185" applyFont="1" applyFill="1" applyBorder="1" applyAlignment="1">
      <alignment horizontal="center"/>
    </xf>
    <xf numFmtId="4" fontId="1" fillId="30" borderId="0" xfId="185" applyNumberFormat="1" applyFont="1" applyFill="1" applyAlignment="1">
      <alignment horizontal="left" wrapText="1"/>
    </xf>
    <xf numFmtId="4" fontId="2" fillId="30" borderId="0" xfId="185" applyNumberFormat="1" applyFill="1" applyAlignment="1">
      <alignment horizontal="left" wrapText="1"/>
    </xf>
    <xf numFmtId="4" fontId="2" fillId="30" borderId="50" xfId="185" applyNumberFormat="1" applyFill="1" applyBorder="1" applyAlignment="1">
      <alignment horizontal="left" wrapText="1"/>
    </xf>
    <xf numFmtId="4" fontId="5" fillId="30" borderId="74" xfId="185" applyNumberFormat="1" applyFont="1" applyFill="1" applyBorder="1" applyAlignment="1">
      <alignment horizontal="center" vertical="center"/>
    </xf>
    <xf numFmtId="4" fontId="5" fillId="30" borderId="76" xfId="185" applyNumberFormat="1" applyFont="1" applyFill="1" applyBorder="1" applyAlignment="1">
      <alignment horizontal="center" vertical="center"/>
    </xf>
    <xf numFmtId="4" fontId="5" fillId="30" borderId="75" xfId="185" applyNumberFormat="1" applyFont="1" applyFill="1" applyBorder="1" applyAlignment="1">
      <alignment horizontal="center" vertical="center"/>
    </xf>
    <xf numFmtId="4" fontId="5" fillId="30" borderId="47" xfId="185" applyNumberFormat="1" applyFont="1" applyFill="1" applyBorder="1" applyAlignment="1">
      <alignment horizontal="center" vertical="center"/>
    </xf>
    <xf numFmtId="4" fontId="5" fillId="30" borderId="48" xfId="185" applyNumberFormat="1" applyFont="1" applyFill="1" applyBorder="1" applyAlignment="1">
      <alignment horizontal="center" vertical="center"/>
    </xf>
    <xf numFmtId="4" fontId="5" fillId="30" borderId="64" xfId="185" applyNumberFormat="1" applyFont="1" applyFill="1" applyBorder="1" applyAlignment="1">
      <alignment horizontal="center" vertical="center"/>
    </xf>
    <xf numFmtId="0" fontId="2" fillId="30" borderId="35" xfId="185" applyFill="1" applyBorder="1" applyAlignment="1">
      <alignment horizontal="center" wrapText="1"/>
    </xf>
    <xf numFmtId="0" fontId="21" fillId="30" borderId="72" xfId="171" applyFont="1" applyFill="1" applyBorder="1" applyAlignment="1">
      <alignment horizontal="center" vertical="center"/>
    </xf>
    <xf numFmtId="0" fontId="21" fillId="30" borderId="73" xfId="171" applyFont="1" applyFill="1" applyBorder="1" applyAlignment="1">
      <alignment horizontal="center" vertical="center"/>
    </xf>
    <xf numFmtId="0" fontId="21" fillId="30" borderId="58" xfId="171" applyFont="1" applyFill="1" applyBorder="1" applyAlignment="1">
      <alignment horizontal="center" vertical="center"/>
    </xf>
    <xf numFmtId="4" fontId="5" fillId="30" borderId="65" xfId="185" applyNumberFormat="1" applyFont="1" applyFill="1" applyBorder="1" applyAlignment="1">
      <alignment horizontal="center" vertical="center"/>
    </xf>
    <xf numFmtId="4" fontId="5" fillId="30" borderId="42" xfId="185" applyNumberFormat="1" applyFont="1" applyFill="1" applyBorder="1" applyAlignment="1">
      <alignment horizontal="center" vertical="center"/>
    </xf>
    <xf numFmtId="4" fontId="3" fillId="30" borderId="76" xfId="185" applyNumberFormat="1" applyFont="1" applyFill="1" applyBorder="1" applyAlignment="1">
      <alignment horizontal="center" vertical="center"/>
    </xf>
    <xf numFmtId="4" fontId="3" fillId="30" borderId="48" xfId="185" applyNumberFormat="1" applyFont="1" applyFill="1" applyBorder="1" applyAlignment="1">
      <alignment horizontal="center" vertical="center"/>
    </xf>
    <xf numFmtId="4" fontId="2" fillId="30" borderId="0" xfId="185" applyNumberFormat="1" applyFill="1" applyAlignment="1">
      <alignment horizontal="left" vertical="top" wrapText="1"/>
    </xf>
    <xf numFmtId="4" fontId="2" fillId="30" borderId="50" xfId="185" applyNumberFormat="1" applyFill="1" applyBorder="1" applyAlignment="1">
      <alignment horizontal="left" vertical="top" wrapText="1"/>
    </xf>
    <xf numFmtId="0" fontId="2" fillId="30" borderId="35" xfId="185" applyFill="1" applyBorder="1" applyAlignment="1">
      <alignment horizontal="center"/>
    </xf>
    <xf numFmtId="0" fontId="5" fillId="30" borderId="65" xfId="185" applyFont="1" applyFill="1" applyBorder="1" applyAlignment="1">
      <alignment horizontal="center" vertical="center"/>
    </xf>
    <xf numFmtId="0" fontId="5" fillId="30" borderId="42" xfId="185" applyFont="1" applyFill="1" applyBorder="1" applyAlignment="1">
      <alignment horizontal="center" vertical="center"/>
    </xf>
    <xf numFmtId="168" fontId="3" fillId="30" borderId="76" xfId="121" applyNumberFormat="1" applyFont="1" applyFill="1" applyBorder="1" applyAlignment="1" applyProtection="1">
      <alignment horizontal="center" vertical="center"/>
    </xf>
    <xf numFmtId="168" fontId="3" fillId="30" borderId="48" xfId="121" applyNumberFormat="1" applyFont="1" applyFill="1" applyBorder="1" applyAlignment="1" applyProtection="1">
      <alignment horizontal="center" vertical="center"/>
    </xf>
    <xf numFmtId="0" fontId="4" fillId="30" borderId="72" xfId="0" applyFont="1" applyFill="1" applyBorder="1" applyAlignment="1">
      <alignment horizontal="center" vertical="center" wrapText="1"/>
    </xf>
    <xf numFmtId="0" fontId="4" fillId="30" borderId="73" xfId="0" applyFont="1" applyFill="1" applyBorder="1" applyAlignment="1">
      <alignment horizontal="center" vertical="center" wrapText="1"/>
    </xf>
    <xf numFmtId="0" fontId="4" fillId="30" borderId="58" xfId="0" applyFont="1" applyFill="1" applyBorder="1" applyAlignment="1">
      <alignment horizontal="center" vertical="center" wrapText="1"/>
    </xf>
    <xf numFmtId="3" fontId="2" fillId="30" borderId="32" xfId="0" applyNumberFormat="1" applyFont="1" applyFill="1" applyBorder="1" applyAlignment="1">
      <alignment horizontal="center" vertical="center"/>
    </xf>
    <xf numFmtId="3" fontId="2" fillId="30" borderId="21" xfId="0" applyNumberFormat="1" applyFont="1" applyFill="1" applyBorder="1" applyAlignment="1">
      <alignment horizontal="center" vertical="center"/>
    </xf>
    <xf numFmtId="3" fontId="2" fillId="30" borderId="18" xfId="0" applyNumberFormat="1" applyFont="1" applyFill="1" applyBorder="1" applyAlignment="1">
      <alignment horizontal="center" vertical="center"/>
    </xf>
    <xf numFmtId="0" fontId="4" fillId="30" borderId="13" xfId="0" applyFont="1" applyFill="1" applyBorder="1" applyAlignment="1">
      <alignment horizontal="left" vertical="center"/>
    </xf>
    <xf numFmtId="0" fontId="56" fillId="30" borderId="0" xfId="0" applyFont="1" applyFill="1" applyAlignment="1">
      <alignment horizontal="left" vertical="center" wrapText="1"/>
    </xf>
    <xf numFmtId="0" fontId="64" fillId="30" borderId="0" xfId="0" applyFont="1" applyFill="1" applyAlignment="1">
      <alignment horizontal="left" vertical="center" wrapText="1"/>
    </xf>
    <xf numFmtId="0" fontId="17" fillId="30" borderId="72" xfId="0" applyFont="1" applyFill="1" applyBorder="1" applyAlignment="1">
      <alignment horizontal="center" vertical="center" wrapText="1"/>
    </xf>
    <xf numFmtId="0" fontId="17" fillId="30" borderId="73" xfId="0" applyFont="1" applyFill="1" applyBorder="1" applyAlignment="1">
      <alignment horizontal="center" vertical="center" wrapText="1"/>
    </xf>
    <xf numFmtId="0" fontId="17" fillId="30" borderId="58" xfId="0" applyFont="1" applyFill="1" applyBorder="1" applyAlignment="1">
      <alignment horizontal="center" vertical="center" wrapText="1"/>
    </xf>
  </cellXfs>
  <cellStyles count="192">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SAPBEXaggData" xfId="126" xr:uid="{00000000-0005-0000-0000-00007D000000}"/>
    <cellStyle name="SAPBEXaggDataEmph" xfId="127" xr:uid="{00000000-0005-0000-0000-00007E000000}"/>
    <cellStyle name="SAPBEXaggItem" xfId="128" xr:uid="{00000000-0005-0000-0000-00007F000000}"/>
    <cellStyle name="SAPBEXaggItemX" xfId="129" xr:uid="{00000000-0005-0000-0000-000080000000}"/>
    <cellStyle name="SAPBEXchaText" xfId="130" xr:uid="{00000000-0005-0000-0000-000081000000}"/>
    <cellStyle name="SAPBEXchaText 2" xfId="131" xr:uid="{00000000-0005-0000-0000-000082000000}"/>
    <cellStyle name="SAPBEXexcBad7" xfId="132" xr:uid="{00000000-0005-0000-0000-000083000000}"/>
    <cellStyle name="SAPBEXexcBad8" xfId="133" xr:uid="{00000000-0005-0000-0000-000084000000}"/>
    <cellStyle name="SAPBEXexcBad9" xfId="134" xr:uid="{00000000-0005-0000-0000-000085000000}"/>
    <cellStyle name="SAPBEXexcCritical4" xfId="135" xr:uid="{00000000-0005-0000-0000-000086000000}"/>
    <cellStyle name="SAPBEXexcCritical5" xfId="136" xr:uid="{00000000-0005-0000-0000-000087000000}"/>
    <cellStyle name="SAPBEXexcCritical6" xfId="137" xr:uid="{00000000-0005-0000-0000-000088000000}"/>
    <cellStyle name="SAPBEXexcGood1" xfId="138" xr:uid="{00000000-0005-0000-0000-000089000000}"/>
    <cellStyle name="SAPBEXexcGood2" xfId="139" xr:uid="{00000000-0005-0000-0000-00008A000000}"/>
    <cellStyle name="SAPBEXexcGood3" xfId="140" xr:uid="{00000000-0005-0000-0000-00008B000000}"/>
    <cellStyle name="SAPBEXfilterDrill" xfId="141" xr:uid="{00000000-0005-0000-0000-00008C000000}"/>
    <cellStyle name="SAPBEXfilterItem" xfId="142" xr:uid="{00000000-0005-0000-0000-00008D000000}"/>
    <cellStyle name="SAPBEXfilterText" xfId="143" xr:uid="{00000000-0005-0000-0000-00008E000000}"/>
    <cellStyle name="SAPBEXformats" xfId="144" xr:uid="{00000000-0005-0000-0000-00008F000000}"/>
    <cellStyle name="SAPBEXheaderItem" xfId="145" xr:uid="{00000000-0005-0000-0000-000090000000}"/>
    <cellStyle name="SAPBEXheaderText" xfId="146" xr:uid="{00000000-0005-0000-0000-000091000000}"/>
    <cellStyle name="SAPBEXHLevel0" xfId="147" xr:uid="{00000000-0005-0000-0000-000092000000}"/>
    <cellStyle name="SAPBEXHLevel0X" xfId="148" xr:uid="{00000000-0005-0000-0000-000093000000}"/>
    <cellStyle name="SAPBEXHLevel1" xfId="149" xr:uid="{00000000-0005-0000-0000-000094000000}"/>
    <cellStyle name="SAPBEXHLevel1X" xfId="150" xr:uid="{00000000-0005-0000-0000-000095000000}"/>
    <cellStyle name="SAPBEXHLevel2" xfId="151" xr:uid="{00000000-0005-0000-0000-000096000000}"/>
    <cellStyle name="SAPBEXHLevel2X" xfId="152" xr:uid="{00000000-0005-0000-0000-000097000000}"/>
    <cellStyle name="SAPBEXHLevel3" xfId="153" xr:uid="{00000000-0005-0000-0000-000098000000}"/>
    <cellStyle name="SAPBEXHLevel3X" xfId="154" xr:uid="{00000000-0005-0000-0000-000099000000}"/>
    <cellStyle name="SAPBEXinputData" xfId="155" xr:uid="{00000000-0005-0000-0000-00009A000000}"/>
    <cellStyle name="SAPBEXresData" xfId="156" xr:uid="{00000000-0005-0000-0000-00009B000000}"/>
    <cellStyle name="SAPBEXresDataEmph" xfId="157" xr:uid="{00000000-0005-0000-0000-00009C000000}"/>
    <cellStyle name="SAPBEXresItem" xfId="158" xr:uid="{00000000-0005-0000-0000-00009D000000}"/>
    <cellStyle name="SAPBEXresItemX" xfId="159" xr:uid="{00000000-0005-0000-0000-00009E000000}"/>
    <cellStyle name="SAPBEXstdData" xfId="160" xr:uid="{00000000-0005-0000-0000-00009F000000}"/>
    <cellStyle name="SAPBEXstdDataEmph" xfId="161" xr:uid="{00000000-0005-0000-0000-0000A0000000}"/>
    <cellStyle name="SAPBEXstdItem" xfId="162" xr:uid="{00000000-0005-0000-0000-0000A1000000}"/>
    <cellStyle name="SAPBEXstdItem 2" xfId="163" xr:uid="{00000000-0005-0000-0000-0000A2000000}"/>
    <cellStyle name="SAPBEXstdItemX" xfId="164" xr:uid="{00000000-0005-0000-0000-0000A3000000}"/>
    <cellStyle name="SAPBEXtitle" xfId="165" xr:uid="{00000000-0005-0000-0000-0000A4000000}"/>
    <cellStyle name="SAPBEXundefined" xfId="166" xr:uid="{00000000-0005-0000-0000-0000A5000000}"/>
    <cellStyle name="Sheet Title" xfId="167" xr:uid="{00000000-0005-0000-0000-0000A6000000}"/>
    <cellStyle name="Standaard" xfId="0" builtinId="0"/>
    <cellStyle name="Standaard 2" xfId="168" xr:uid="{00000000-0005-0000-0000-0000A8000000}"/>
    <cellStyle name="Standaard 2 2" xfId="169" xr:uid="{00000000-0005-0000-0000-0000A9000000}"/>
    <cellStyle name="Standaard 2 3" xfId="170" xr:uid="{00000000-0005-0000-0000-0000AA000000}"/>
    <cellStyle name="Standaard 2 4" xfId="171" xr:uid="{00000000-0005-0000-0000-0000AB000000}"/>
    <cellStyle name="Standaard 2_TarE2009_IVERLEK" xfId="172" xr:uid="{00000000-0005-0000-0000-0000AC000000}"/>
    <cellStyle name="Standaard 3" xfId="173" xr:uid="{00000000-0005-0000-0000-0000AD000000}"/>
    <cellStyle name="Standaard 3 2" xfId="174" xr:uid="{00000000-0005-0000-0000-0000AE000000}"/>
    <cellStyle name="Standaard 3 3" xfId="175" xr:uid="{00000000-0005-0000-0000-0000AF000000}"/>
    <cellStyle name="Standaard 4" xfId="176" xr:uid="{00000000-0005-0000-0000-0000B0000000}"/>
    <cellStyle name="Standaard 4 2" xfId="177" xr:uid="{00000000-0005-0000-0000-0000B1000000}"/>
    <cellStyle name="Standaard 4_TarE2009_IVERLEK" xfId="178" xr:uid="{00000000-0005-0000-0000-0000B2000000}"/>
    <cellStyle name="Standaard 5" xfId="179" xr:uid="{00000000-0005-0000-0000-0000B3000000}"/>
    <cellStyle name="Standaard 6" xfId="180" xr:uid="{00000000-0005-0000-0000-0000B4000000}"/>
    <cellStyle name="Standaard 7" xfId="181" xr:uid="{00000000-0005-0000-0000-0000B5000000}"/>
    <cellStyle name="Standaard 8" xfId="182" xr:uid="{00000000-0005-0000-0000-0000B6000000}"/>
    <cellStyle name="Standaard_20100727 Rekenmodel NE5R v1.9" xfId="183" xr:uid="{00000000-0005-0000-0000-0000B7000000}"/>
    <cellStyle name="Standaard_Balans IL-Glob. PLAU" xfId="184" xr:uid="{00000000-0005-0000-0000-0000B8000000}"/>
    <cellStyle name="Standaard_Balans IL-Glob. PLAU 2" xfId="185" xr:uid="{00000000-0005-0000-0000-0000B9000000}"/>
    <cellStyle name="Stijl 1" xfId="186" xr:uid="{00000000-0005-0000-0000-0000BA000000}"/>
    <cellStyle name="Style 1" xfId="187" xr:uid="{00000000-0005-0000-0000-0000BB000000}"/>
    <cellStyle name="Title" xfId="188" xr:uid="{00000000-0005-0000-0000-0000BC000000}"/>
    <cellStyle name="Total" xfId="189" xr:uid="{00000000-0005-0000-0000-0000BD000000}"/>
    <cellStyle name="Valuta 2" xfId="190" xr:uid="{00000000-0005-0000-0000-0000BE000000}"/>
    <cellStyle name="Warning Text" xfId="191" xr:uid="{00000000-0005-0000-0000-0000BF000000}"/>
  </cellStyles>
  <dxfs count="1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indexed="10"/>
        </patternFill>
      </fill>
    </dxf>
    <dxf>
      <fill>
        <patternFill>
          <bgColor rgb="FF92D050"/>
        </patternFill>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64"/>
  <sheetViews>
    <sheetView showGridLines="0" tabSelected="1" zoomScale="115" zoomScaleNormal="115" workbookViewId="0">
      <selection activeCell="B3" sqref="B3"/>
    </sheetView>
  </sheetViews>
  <sheetFormatPr defaultColWidth="8.88671875" defaultRowHeight="13.2" x14ac:dyDescent="0.25"/>
  <cols>
    <col min="1" max="1" width="1.5546875" style="403" customWidth="1"/>
    <col min="2" max="2" width="10.109375" style="403" bestFit="1" customWidth="1"/>
    <col min="3" max="3" width="31.88671875" style="403" customWidth="1"/>
    <col min="4" max="4" width="12.44140625" style="403" customWidth="1"/>
    <col min="5" max="5" width="11" style="403" customWidth="1"/>
    <col min="6" max="6" width="11.44140625" style="403" customWidth="1"/>
    <col min="7" max="13" width="8.88671875" style="403"/>
    <col min="14" max="14" width="13.88671875" style="403" customWidth="1"/>
    <col min="15" max="15" width="8.88671875" style="403"/>
    <col min="16" max="16" width="11" style="403" bestFit="1" customWidth="1"/>
    <col min="17" max="17" width="8.88671875" style="403"/>
    <col min="18" max="18" width="25.5546875" style="403" customWidth="1"/>
    <col min="19" max="16384" width="8.88671875" style="403"/>
  </cols>
  <sheetData>
    <row r="1" spans="1:16" x14ac:dyDescent="0.25">
      <c r="A1" s="400" t="s">
        <v>360</v>
      </c>
      <c r="B1" s="400"/>
      <c r="C1" s="401"/>
      <c r="D1" s="402"/>
      <c r="P1" s="404"/>
    </row>
    <row r="2" spans="1:16" s="405" customFormat="1" ht="24.6" x14ac:dyDescent="0.4">
      <c r="B2" s="406"/>
      <c r="C2" s="407" t="s">
        <v>332</v>
      </c>
      <c r="D2" s="408"/>
      <c r="E2" s="408"/>
      <c r="F2" s="408"/>
      <c r="G2" s="406"/>
      <c r="H2" s="406"/>
      <c r="I2" s="406"/>
      <c r="J2" s="406"/>
      <c r="K2" s="406"/>
      <c r="L2" s="406"/>
      <c r="M2" s="406"/>
      <c r="N2" s="406"/>
      <c r="O2" s="406"/>
    </row>
    <row r="3" spans="1:16" x14ac:dyDescent="0.25">
      <c r="C3" s="401"/>
      <c r="D3" s="402"/>
    </row>
    <row r="4" spans="1:16" ht="13.8" x14ac:dyDescent="0.25">
      <c r="C4" s="401"/>
      <c r="D4" s="402"/>
      <c r="P4" s="409"/>
    </row>
    <row r="5" spans="1:16" x14ac:dyDescent="0.25">
      <c r="C5" s="401"/>
      <c r="D5" s="410"/>
    </row>
    <row r="6" spans="1:16" ht="13.8" thickBot="1" x14ac:dyDescent="0.3">
      <c r="C6" s="401"/>
      <c r="D6" s="402"/>
    </row>
    <row r="7" spans="1:16" ht="13.8" thickBot="1" x14ac:dyDescent="0.3">
      <c r="C7" s="401" t="s">
        <v>33</v>
      </c>
      <c r="D7" s="681" t="s">
        <v>389</v>
      </c>
      <c r="E7" s="682"/>
      <c r="F7" s="682"/>
      <c r="G7" s="683"/>
    </row>
    <row r="8" spans="1:16" ht="13.8" thickBot="1" x14ac:dyDescent="0.3">
      <c r="C8" s="401" t="s">
        <v>34</v>
      </c>
      <c r="D8" s="681"/>
      <c r="E8" s="682"/>
      <c r="F8" s="682"/>
      <c r="G8" s="683"/>
    </row>
    <row r="9" spans="1:16" s="411" customFormat="1" ht="13.8" thickBot="1" x14ac:dyDescent="0.3">
      <c r="C9" s="412"/>
      <c r="D9" s="1"/>
      <c r="E9" s="1"/>
      <c r="F9" s="1"/>
      <c r="G9" s="1"/>
      <c r="L9" s="403"/>
      <c r="M9" s="403"/>
      <c r="N9" s="403"/>
      <c r="O9" s="403"/>
    </row>
    <row r="10" spans="1:16" ht="13.8" thickBot="1" x14ac:dyDescent="0.3">
      <c r="C10" s="401" t="s">
        <v>155</v>
      </c>
      <c r="D10" s="684" t="s">
        <v>444</v>
      </c>
      <c r="E10" s="685"/>
      <c r="F10" s="685"/>
      <c r="G10" s="686"/>
    </row>
    <row r="11" spans="1:16" x14ac:dyDescent="0.25">
      <c r="C11" s="401"/>
      <c r="D11" s="402"/>
    </row>
    <row r="12" spans="1:16" ht="13.8" thickBot="1" x14ac:dyDescent="0.3">
      <c r="C12" s="401"/>
      <c r="D12" s="402"/>
    </row>
    <row r="13" spans="1:16" ht="13.8" thickBot="1" x14ac:dyDescent="0.3">
      <c r="C13" s="413" t="s">
        <v>156</v>
      </c>
      <c r="D13" s="401"/>
      <c r="E13" s="413" t="s">
        <v>157</v>
      </c>
      <c r="F13" s="414">
        <v>2025</v>
      </c>
    </row>
    <row r="14" spans="1:16" ht="13.8" thickBot="1" x14ac:dyDescent="0.3">
      <c r="C14" s="413"/>
      <c r="D14" s="401"/>
      <c r="E14" s="413" t="s">
        <v>158</v>
      </c>
      <c r="F14" s="414">
        <v>2028</v>
      </c>
    </row>
    <row r="15" spans="1:16" x14ac:dyDescent="0.25">
      <c r="C15" s="401"/>
      <c r="D15" s="402"/>
    </row>
    <row r="16" spans="1:16" ht="13.8" thickBot="1" x14ac:dyDescent="0.3">
      <c r="C16" s="401"/>
      <c r="D16" s="402"/>
    </row>
    <row r="17" spans="2:11" s="415" customFormat="1" ht="13.8" thickBot="1" x14ac:dyDescent="0.3">
      <c r="C17" s="413" t="s">
        <v>151</v>
      </c>
      <c r="F17" s="5">
        <v>2025</v>
      </c>
      <c r="G17" s="403"/>
      <c r="H17" s="403"/>
      <c r="I17" s="403"/>
    </row>
    <row r="18" spans="2:11" s="415" customFormat="1" x14ac:dyDescent="0.25">
      <c r="G18" s="403"/>
      <c r="H18" s="403"/>
      <c r="I18" s="403"/>
    </row>
    <row r="19" spans="2:11" x14ac:dyDescent="0.25">
      <c r="C19" s="416"/>
      <c r="D19" s="417"/>
    </row>
    <row r="21" spans="2:11" s="411" customFormat="1" x14ac:dyDescent="0.25">
      <c r="B21" s="678" t="s">
        <v>159</v>
      </c>
      <c r="C21" s="679"/>
      <c r="D21" s="679"/>
      <c r="E21" s="679"/>
      <c r="F21" s="679"/>
      <c r="G21" s="679"/>
      <c r="H21" s="679"/>
      <c r="I21" s="679"/>
      <c r="J21" s="680"/>
    </row>
    <row r="23" spans="2:11" s="418" customFormat="1" ht="111.9" customHeight="1" x14ac:dyDescent="0.25">
      <c r="B23" s="687" t="s">
        <v>283</v>
      </c>
      <c r="C23" s="688"/>
      <c r="D23" s="688"/>
      <c r="E23" s="688"/>
      <c r="F23" s="688"/>
      <c r="G23" s="688"/>
      <c r="H23" s="688"/>
      <c r="I23" s="688"/>
      <c r="J23" s="688"/>
    </row>
    <row r="24" spans="2:11" x14ac:dyDescent="0.25">
      <c r="B24" s="419"/>
    </row>
    <row r="26" spans="2:11" x14ac:dyDescent="0.25">
      <c r="B26" s="678" t="s">
        <v>163</v>
      </c>
      <c r="C26" s="679"/>
      <c r="D26" s="679"/>
      <c r="E26" s="679"/>
      <c r="F26" s="679"/>
      <c r="G26" s="679"/>
      <c r="H26" s="679"/>
      <c r="I26" s="679"/>
      <c r="J26" s="680"/>
    </row>
    <row r="27" spans="2:11" x14ac:dyDescent="0.25">
      <c r="B27" s="420"/>
      <c r="C27" s="420"/>
    </row>
    <row r="28" spans="2:11" x14ac:dyDescent="0.25">
      <c r="B28" s="420"/>
      <c r="C28" s="421"/>
      <c r="D28" s="422"/>
      <c r="E28" s="419" t="s">
        <v>160</v>
      </c>
      <c r="F28" s="422"/>
      <c r="G28" s="422"/>
      <c r="H28" s="422"/>
      <c r="I28" s="422"/>
      <c r="J28" s="422"/>
      <c r="K28" s="422"/>
    </row>
    <row r="29" spans="2:11" x14ac:dyDescent="0.25">
      <c r="B29" s="420"/>
      <c r="C29" s="423"/>
      <c r="D29" s="422"/>
      <c r="E29" s="419"/>
      <c r="F29" s="422"/>
      <c r="G29" s="422"/>
      <c r="H29" s="422"/>
      <c r="I29" s="422"/>
      <c r="J29" s="422"/>
      <c r="K29" s="422"/>
    </row>
    <row r="30" spans="2:11" ht="15" customHeight="1" x14ac:dyDescent="0.25">
      <c r="B30" s="420"/>
      <c r="C30" s="424"/>
      <c r="D30" s="425"/>
      <c r="E30" s="419" t="s">
        <v>77</v>
      </c>
      <c r="F30" s="422"/>
      <c r="G30" s="422"/>
      <c r="H30" s="422"/>
      <c r="I30" s="422"/>
      <c r="J30" s="422"/>
      <c r="K30" s="422"/>
    </row>
    <row r="31" spans="2:11" x14ac:dyDescent="0.25">
      <c r="B31" s="420"/>
      <c r="C31" s="426"/>
      <c r="D31" s="422"/>
      <c r="E31" s="419"/>
      <c r="F31" s="422"/>
      <c r="G31" s="422"/>
      <c r="H31" s="422"/>
      <c r="I31" s="422"/>
      <c r="J31" s="422"/>
      <c r="K31" s="422"/>
    </row>
    <row r="32" spans="2:11" x14ac:dyDescent="0.25">
      <c r="B32" s="420"/>
      <c r="C32" s="427"/>
      <c r="D32" s="422"/>
      <c r="E32" s="419" t="s">
        <v>161</v>
      </c>
      <c r="F32" s="422"/>
      <c r="G32" s="422"/>
      <c r="H32" s="422"/>
      <c r="I32" s="422"/>
      <c r="J32" s="422"/>
      <c r="K32" s="422"/>
    </row>
    <row r="33" spans="2:12" x14ac:dyDescent="0.25">
      <c r="B33" s="420"/>
      <c r="C33" s="428"/>
      <c r="D33" s="422"/>
      <c r="E33" s="419"/>
      <c r="F33" s="422"/>
      <c r="G33" s="422"/>
      <c r="H33" s="422"/>
      <c r="I33" s="422"/>
      <c r="J33" s="422"/>
      <c r="K33" s="422"/>
    </row>
    <row r="34" spans="2:12" ht="12.75" customHeight="1" x14ac:dyDescent="0.25">
      <c r="B34" s="420"/>
      <c r="C34" s="429"/>
      <c r="D34" s="422"/>
      <c r="E34" s="419" t="s">
        <v>162</v>
      </c>
      <c r="F34" s="430"/>
      <c r="G34" s="430"/>
      <c r="H34" s="430"/>
      <c r="I34" s="430"/>
      <c r="J34" s="430"/>
      <c r="K34" s="430"/>
      <c r="L34" s="430"/>
    </row>
    <row r="35" spans="2:12" x14ac:dyDescent="0.25">
      <c r="B35" s="420"/>
      <c r="C35" s="420"/>
    </row>
    <row r="37" spans="2:12" x14ac:dyDescent="0.25">
      <c r="B37" s="678" t="s">
        <v>164</v>
      </c>
      <c r="C37" s="679"/>
      <c r="D37" s="679"/>
      <c r="E37" s="679"/>
      <c r="F37" s="679"/>
      <c r="G37" s="679"/>
      <c r="H37" s="679"/>
      <c r="I37" s="679"/>
      <c r="J37" s="680"/>
    </row>
    <row r="38" spans="2:12" x14ac:dyDescent="0.25">
      <c r="B38" s="431"/>
      <c r="C38" s="431"/>
      <c r="D38" s="431"/>
      <c r="E38" s="431"/>
      <c r="F38" s="431"/>
      <c r="G38" s="431"/>
    </row>
    <row r="39" spans="2:12" x14ac:dyDescent="0.25">
      <c r="B39" s="213" t="str">
        <f>+ASSUMPTIES!B1</f>
        <v>ASSUMPTIES</v>
      </c>
      <c r="C39" s="213"/>
      <c r="D39" s="431"/>
      <c r="E39" s="431"/>
      <c r="F39" s="431"/>
      <c r="G39" s="431"/>
    </row>
    <row r="40" spans="2:12" x14ac:dyDescent="0.25">
      <c r="B40" s="213" t="str">
        <f>+'T1'!B1</f>
        <v>TABEL 1: Balans (algemene boekhouding) voor boekjaar 2025</v>
      </c>
      <c r="C40" s="213"/>
      <c r="D40" s="120"/>
      <c r="E40" s="431"/>
      <c r="F40" s="431"/>
      <c r="G40" s="431"/>
    </row>
    <row r="41" spans="2:12" x14ac:dyDescent="0.25">
      <c r="B41" s="213" t="str">
        <f>+'T2'!B1</f>
        <v>TABEL 2: Resultatenrekening (algemene boekhouding) voor boekjaar 2025</v>
      </c>
      <c r="C41" s="213"/>
      <c r="D41" s="120"/>
      <c r="E41" s="120"/>
      <c r="F41" s="431"/>
      <c r="G41" s="431"/>
    </row>
    <row r="42" spans="2:12" x14ac:dyDescent="0.25">
      <c r="B42" s="213" t="str">
        <f>+'T3 - Overzicht'!B1</f>
        <v>TABEL 3: Algemeen overzicht endogene kosten</v>
      </c>
      <c r="C42" s="213"/>
      <c r="D42" s="120"/>
      <c r="E42" s="431"/>
      <c r="F42" s="431"/>
      <c r="G42" s="431"/>
    </row>
    <row r="43" spans="2:12" x14ac:dyDescent="0.25">
      <c r="B43" s="213" t="str">
        <f>+'T4'!B1</f>
        <v>TABEL 4: Afschrijvingen immateriële vaste activa</v>
      </c>
      <c r="C43" s="213"/>
      <c r="D43" s="120"/>
      <c r="E43" s="431"/>
      <c r="F43" s="431"/>
      <c r="G43" s="431"/>
    </row>
    <row r="44" spans="2:12" x14ac:dyDescent="0.25">
      <c r="B44" s="213" t="str">
        <f>+T5A!B1</f>
        <v>TABEL 5A: Afschrijvingen van de historische aanschaffingswaarde (materiële vaste activa) - elektriciteit</v>
      </c>
      <c r="C44" s="213"/>
      <c r="D44" s="120"/>
      <c r="E44" s="120"/>
      <c r="F44" s="120"/>
      <c r="G44" s="120"/>
    </row>
    <row r="45" spans="2:12" x14ac:dyDescent="0.25">
      <c r="B45" s="213" t="str">
        <f>+T5B!B1</f>
        <v>TABEL 5B: Afschrijvingen van de historische aanschaffingswaarde (materiële vaste activa) - aardgas</v>
      </c>
      <c r="C45" s="213"/>
      <c r="D45" s="120"/>
      <c r="E45" s="120"/>
      <c r="F45" s="120"/>
      <c r="G45" s="120"/>
    </row>
    <row r="46" spans="2:12" x14ac:dyDescent="0.25">
      <c r="B46" s="213" t="str">
        <f>+'T6'!B1</f>
        <v>TABEL 6: Evolutie nettobedrijfskapitaal (NBK)</v>
      </c>
      <c r="C46" s="213"/>
      <c r="D46" s="431"/>
      <c r="E46" s="431"/>
      <c r="F46" s="431"/>
      <c r="G46" s="431"/>
    </row>
    <row r="47" spans="2:12" x14ac:dyDescent="0.25">
      <c r="B47" s="213" t="str">
        <f>+'T7'!B1</f>
        <v>TABEL 7: Evolutie van de RAB-waarde (excl. herwaarderingsmeerwaarden)</v>
      </c>
      <c r="C47" s="213"/>
      <c r="D47" s="120"/>
      <c r="E47" s="120"/>
      <c r="F47" s="431"/>
      <c r="G47" s="431"/>
    </row>
    <row r="48" spans="2:12" x14ac:dyDescent="0.25">
      <c r="B48" s="213" t="str">
        <f>+'T8'!B1</f>
        <v>TABEL 8: Operationele kosten</v>
      </c>
      <c r="C48" s="213"/>
      <c r="D48" s="431"/>
      <c r="E48" s="431"/>
      <c r="F48" s="431"/>
      <c r="G48" s="431"/>
    </row>
    <row r="49" spans="2:7" x14ac:dyDescent="0.25">
      <c r="B49" s="213" t="str">
        <f>+'T9'!B1</f>
        <v xml:space="preserve">TABEL 9: Operationele opbrengsten </v>
      </c>
      <c r="C49" s="213"/>
      <c r="D49" s="431"/>
      <c r="E49" s="431"/>
      <c r="F49" s="431"/>
      <c r="G49" s="431"/>
    </row>
    <row r="50" spans="2:7" x14ac:dyDescent="0.25">
      <c r="B50" s="213" t="str">
        <f>+T10A!B1</f>
        <v>TABEL 10A: Overzicht gefactureerde volumes voor het jaar 2025 - ELEKTRICITEIT</v>
      </c>
      <c r="C50" s="213"/>
      <c r="D50" s="120"/>
      <c r="E50" s="120"/>
      <c r="F50" s="431"/>
      <c r="G50" s="431"/>
    </row>
    <row r="51" spans="2:7" x14ac:dyDescent="0.25">
      <c r="B51" s="213" t="str">
        <f>+T10B!B1</f>
        <v>TABEL 10B: Overzicht gefactureerde volumes voor het jaar 2025 - AARDGAS</v>
      </c>
      <c r="C51" s="213"/>
      <c r="D51" s="120"/>
      <c r="E51" s="120"/>
      <c r="F51" s="431"/>
      <c r="G51" s="431"/>
    </row>
    <row r="52" spans="2:7" x14ac:dyDescent="0.25">
      <c r="B52" s="213"/>
      <c r="C52" s="432"/>
      <c r="D52" s="431"/>
      <c r="E52" s="431"/>
      <c r="F52" s="431"/>
      <c r="G52" s="431"/>
    </row>
    <row r="53" spans="2:7" x14ac:dyDescent="0.25">
      <c r="B53" s="213"/>
      <c r="C53" s="432"/>
      <c r="D53" s="431"/>
      <c r="E53" s="431"/>
      <c r="F53" s="431"/>
      <c r="G53" s="431"/>
    </row>
    <row r="54" spans="2:7" x14ac:dyDescent="0.25">
      <c r="B54" s="213"/>
      <c r="C54" s="432"/>
      <c r="D54" s="431"/>
      <c r="E54" s="431"/>
      <c r="F54" s="431"/>
      <c r="G54" s="431"/>
    </row>
    <row r="55" spans="2:7" x14ac:dyDescent="0.25">
      <c r="B55" s="214"/>
      <c r="C55" s="432"/>
    </row>
    <row r="56" spans="2:7" x14ac:dyDescent="0.25">
      <c r="B56" s="114"/>
    </row>
    <row r="57" spans="2:7" x14ac:dyDescent="0.25">
      <c r="B57" s="114"/>
    </row>
    <row r="58" spans="2:7" x14ac:dyDescent="0.25">
      <c r="B58" s="114"/>
    </row>
    <row r="59" spans="2:7" x14ac:dyDescent="0.25">
      <c r="B59" s="114"/>
    </row>
    <row r="60" spans="2:7" x14ac:dyDescent="0.25">
      <c r="B60" s="114"/>
    </row>
    <row r="61" spans="2:7" x14ac:dyDescent="0.25">
      <c r="B61" s="114"/>
    </row>
    <row r="62" spans="2:7" x14ac:dyDescent="0.25">
      <c r="B62" s="114"/>
    </row>
    <row r="63" spans="2:7" x14ac:dyDescent="0.25">
      <c r="B63" s="114"/>
    </row>
    <row r="64" spans="2:7" x14ac:dyDescent="0.25">
      <c r="B64" s="114"/>
    </row>
  </sheetData>
  <sheetProtection algorithmName="SHA-512" hashValue="GZB6Y4ki2TktKz9pl6WA/5ronHRNI1ZFAek1mOv3s/B3x7r1X0de4jsxn2r0v2sjritoOjO4BkFvyhWBnOPlVA==" saltValue="qRqUumOPJBiLxpynDg74kQ==" spinCount="100000" sheet="1" objects="1" scenarios="1"/>
  <mergeCells count="7">
    <mergeCell ref="B26:J26"/>
    <mergeCell ref="B37:J37"/>
    <mergeCell ref="D7:G7"/>
    <mergeCell ref="D8:G8"/>
    <mergeCell ref="D10:G10"/>
    <mergeCell ref="B21:J21"/>
    <mergeCell ref="B23:J23"/>
  </mergeCells>
  <dataValidations count="2">
    <dataValidation type="list" allowBlank="1" showInputMessage="1" showErrorMessage="1" sqref="F17" xr:uid="{9761AC2C-8CBB-4049-B7B5-5D7BBF3A31F7}">
      <formula1>"2025,2026,2027,2028"</formula1>
    </dataValidation>
    <dataValidation type="list" allowBlank="1" showInputMessage="1" showErrorMessage="1" sqref="D10:G10" xr:uid="{3B279BFA-702D-41B1-A7E6-8369C91FB05E}">
      <formula1>"elektriciteit,aardgas"</formula1>
    </dataValidation>
  </dataValidations>
  <hyperlinks>
    <hyperlink ref="B39" location="'T1'!A1" display="'T1'!A1" xr:uid="{2EE0DD40-D603-4CAC-8666-676AA8246053}"/>
    <hyperlink ref="B39:C39" location="ASSUMPTIES!A1" display="ASSUMPTIES!A1" xr:uid="{9321F792-45C5-4FE6-AE74-56BC25DB679F}"/>
    <hyperlink ref="B40:D40" location="'T1'!A1" display="'T1'!A1" xr:uid="{658B1BA2-B7EA-44A6-BA6C-340C2A32A760}"/>
    <hyperlink ref="B41:E41" location="'T2'!A1" display="'T2'!A1" xr:uid="{B444E857-AF26-4501-B600-E588159717E0}"/>
    <hyperlink ref="B42:D42" location="'T3 - Overzicht'!A1" display="'T3 - Overzicht'!A1" xr:uid="{982004C0-DE39-4877-A007-AE74C33C356C}"/>
    <hyperlink ref="B43:D43" location="'T4'!A1" display="'T4'!A1" xr:uid="{F8464B8A-E72F-4A39-B46D-6966A530DE68}"/>
    <hyperlink ref="B44:G44" location="T5A!A1" display="T5A!A1" xr:uid="{744D4190-EF53-4E66-B13C-0558C3ED0164}"/>
    <hyperlink ref="B45:G45" location="T5B!A1" display="T5B!A1" xr:uid="{C0FB69BB-D5C2-438F-8F29-AA611D90AAC3}"/>
    <hyperlink ref="B46:C46" location="'T6'!A1" display="'T6'!A1" xr:uid="{89D8B388-0D97-4241-8943-832533A6C9BF}"/>
    <hyperlink ref="B47:E47" location="'T7'!A1" display="'T7'!A1" xr:uid="{FA36FB0C-3F18-4E35-9364-C15F3328159A}"/>
    <hyperlink ref="B48:C48" location="'T8'!A1" display="'T8'!A1" xr:uid="{C357BE3D-41B3-498D-9DB4-63977E27E078}"/>
    <hyperlink ref="B49:C49" location="'T9'!A1" display="'T9'!A1" xr:uid="{7E4BB74C-D26A-4533-BAA2-EEA0FD84BC08}"/>
    <hyperlink ref="B50:E50" location="T10A!A1" display="T10A!A1" xr:uid="{0BE41928-E87A-4D5E-A9FC-AA906B508002}"/>
    <hyperlink ref="B51:E51" location="T10B!A1" display="T10B!A1" xr:uid="{8F9E68D5-BBC9-4F14-A174-D1966BC61719}"/>
  </hyperlinks>
  <pageMargins left="0.98425196850393704" right="0.23622047244094491" top="0.82677165354330717" bottom="0.70866141732283472" header="0.74803149606299213" footer="0.47244094488188981"/>
  <pageSetup paperSize="8" scale="66" fitToWidth="3" fitToHeight="3" orientation="portrait"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4">
    <pageSetUpPr fitToPage="1"/>
  </sheetPr>
  <dimension ref="B1:P50"/>
  <sheetViews>
    <sheetView zoomScaleNormal="100" workbookViewId="0">
      <selection activeCell="B2" sqref="B2"/>
    </sheetView>
  </sheetViews>
  <sheetFormatPr defaultColWidth="9.109375" defaultRowHeight="13.2" x14ac:dyDescent="0.25"/>
  <cols>
    <col min="1" max="1" width="3.88671875" style="10" customWidth="1"/>
    <col min="2" max="2" width="26.5546875" style="10" bestFit="1" customWidth="1"/>
    <col min="3" max="3" width="35.5546875" style="10" customWidth="1"/>
    <col min="4" max="4" width="25.6640625" style="10" customWidth="1"/>
    <col min="5" max="5" width="21.6640625" style="10" customWidth="1"/>
    <col min="6" max="7" width="18.44140625" style="10" customWidth="1"/>
    <col min="8" max="16384" width="9.109375" style="10"/>
  </cols>
  <sheetData>
    <row r="1" spans="2:16" ht="23.1" customHeight="1" thickBot="1" x14ac:dyDescent="0.3">
      <c r="B1" s="689" t="s">
        <v>304</v>
      </c>
      <c r="C1" s="690"/>
      <c r="D1" s="690"/>
      <c r="E1" s="691"/>
      <c r="H1" s="53"/>
      <c r="I1" s="53"/>
      <c r="J1" s="53"/>
      <c r="K1" s="53"/>
      <c r="L1" s="53"/>
      <c r="M1" s="53"/>
      <c r="N1" s="53"/>
      <c r="O1" s="53"/>
      <c r="P1" s="53"/>
    </row>
    <row r="2" spans="2:16" x14ac:dyDescent="0.25">
      <c r="H2" s="53"/>
      <c r="I2" s="53"/>
      <c r="J2" s="53"/>
      <c r="K2" s="53"/>
      <c r="L2" s="53"/>
      <c r="M2" s="53"/>
      <c r="N2" s="53"/>
      <c r="O2" s="53"/>
      <c r="P2" s="53"/>
    </row>
    <row r="3" spans="2:16" x14ac:dyDescent="0.25">
      <c r="B3" s="32" t="s">
        <v>386</v>
      </c>
      <c r="C3" s="116"/>
      <c r="D3" s="201" t="str">
        <f>"01/01/"&amp;+TITELBLAD!$F$17</f>
        <v>01/01/2025</v>
      </c>
      <c r="E3" s="199">
        <f>+D17</f>
        <v>0</v>
      </c>
      <c r="H3" s="53"/>
      <c r="I3" s="53"/>
      <c r="J3" s="53"/>
      <c r="K3" s="53"/>
      <c r="L3" s="53"/>
      <c r="M3" s="53"/>
      <c r="N3" s="53"/>
      <c r="O3" s="53"/>
      <c r="P3" s="53"/>
    </row>
    <row r="4" spans="2:16" x14ac:dyDescent="0.25">
      <c r="B4" s="32" t="s">
        <v>387</v>
      </c>
      <c r="C4" s="116"/>
      <c r="D4" s="201" t="str">
        <f>"31/12/"&amp;+TITELBLAD!$F$17</f>
        <v>31/12/2025</v>
      </c>
      <c r="E4" s="199">
        <f>+D46</f>
        <v>0</v>
      </c>
      <c r="H4" s="53"/>
      <c r="I4" s="53"/>
      <c r="J4" s="53"/>
      <c r="K4" s="53"/>
      <c r="L4" s="53"/>
      <c r="M4" s="53"/>
      <c r="N4" s="53"/>
      <c r="O4" s="53"/>
      <c r="P4" s="53"/>
    </row>
    <row r="5" spans="2:16" x14ac:dyDescent="0.25">
      <c r="B5" s="28"/>
      <c r="H5" s="53"/>
      <c r="I5" s="53"/>
      <c r="J5" s="53"/>
      <c r="K5" s="53"/>
      <c r="L5" s="53"/>
      <c r="M5" s="53"/>
      <c r="N5" s="53"/>
      <c r="O5" s="53"/>
      <c r="P5" s="53"/>
    </row>
    <row r="6" spans="2:16" x14ac:dyDescent="0.25">
      <c r="B6" s="32" t="s">
        <v>378</v>
      </c>
      <c r="D6" s="197">
        <f>+TITELBLAD!$F$17</f>
        <v>2025</v>
      </c>
      <c r="E6" s="198">
        <f>+D49</f>
        <v>0</v>
      </c>
      <c r="H6" s="53"/>
      <c r="I6" s="53"/>
      <c r="J6" s="53"/>
      <c r="K6" s="53"/>
      <c r="L6" s="53"/>
      <c r="M6" s="53"/>
      <c r="N6" s="53"/>
      <c r="O6" s="53"/>
      <c r="P6" s="53"/>
    </row>
    <row r="7" spans="2:16" x14ac:dyDescent="0.25">
      <c r="H7" s="53"/>
      <c r="I7" s="53"/>
      <c r="J7" s="53"/>
      <c r="K7" s="53"/>
      <c r="L7" s="53"/>
      <c r="M7" s="53"/>
      <c r="N7" s="53"/>
      <c r="O7" s="53"/>
      <c r="P7" s="53"/>
    </row>
    <row r="8" spans="2:16" ht="13.8" thickBot="1" x14ac:dyDescent="0.3">
      <c r="H8" s="53"/>
      <c r="I8" s="53"/>
      <c r="J8" s="53"/>
      <c r="K8" s="53"/>
      <c r="L8" s="53"/>
      <c r="M8" s="53"/>
      <c r="N8" s="53"/>
      <c r="O8" s="53"/>
      <c r="P8" s="53"/>
    </row>
    <row r="9" spans="2:16" x14ac:dyDescent="0.25">
      <c r="B9" s="66"/>
      <c r="C9" s="200"/>
      <c r="D9" s="68">
        <f>+D6</f>
        <v>2025</v>
      </c>
      <c r="H9" s="53"/>
      <c r="I9" s="53"/>
      <c r="J9" s="53"/>
      <c r="K9" s="53"/>
      <c r="L9" s="53"/>
      <c r="M9" s="53"/>
      <c r="N9" s="53"/>
      <c r="O9" s="53"/>
      <c r="P9" s="53"/>
    </row>
    <row r="10" spans="2:16" x14ac:dyDescent="0.25">
      <c r="B10" s="75"/>
      <c r="C10" s="81"/>
      <c r="D10" s="204" t="str">
        <f>+TITELBLAD!$D$7</f>
        <v>DNB</v>
      </c>
      <c r="H10" s="53"/>
      <c r="I10" s="53"/>
      <c r="J10" s="53"/>
      <c r="K10" s="53"/>
      <c r="L10" s="53"/>
      <c r="M10" s="53"/>
      <c r="N10" s="53"/>
      <c r="O10" s="53"/>
      <c r="P10" s="53"/>
    </row>
    <row r="11" spans="2:16" ht="13.8" thickBot="1" x14ac:dyDescent="0.3">
      <c r="B11" s="69"/>
      <c r="C11" s="97"/>
      <c r="D11" s="205" t="str">
        <f>TITELBLAD!$D$10</f>
        <v>elektriciteit</v>
      </c>
      <c r="H11" s="53"/>
      <c r="I11" s="53"/>
      <c r="J11" s="53"/>
      <c r="K11" s="53"/>
      <c r="L11" s="53"/>
      <c r="M11" s="53"/>
      <c r="N11" s="53"/>
      <c r="O11" s="53"/>
      <c r="P11" s="53"/>
    </row>
    <row r="12" spans="2:16" x14ac:dyDescent="0.25">
      <c r="B12" s="66"/>
      <c r="C12" s="67"/>
      <c r="D12" s="70"/>
      <c r="H12" s="53"/>
      <c r="I12" s="53"/>
      <c r="J12" s="53"/>
      <c r="K12" s="53"/>
      <c r="L12" s="53"/>
      <c r="M12" s="53"/>
      <c r="N12" s="53"/>
      <c r="O12" s="53"/>
      <c r="P12" s="53"/>
    </row>
    <row r="13" spans="2:16" x14ac:dyDescent="0.25">
      <c r="B13" s="758" t="str">
        <f>"Startwaarde (01/01/"&amp;D6&amp;")"</f>
        <v>Startwaarde (01/01/2025)</v>
      </c>
      <c r="C13" s="71" t="s">
        <v>61</v>
      </c>
      <c r="D13" s="72">
        <f>+'T4'!F26</f>
        <v>0</v>
      </c>
      <c r="H13" s="53"/>
      <c r="I13" s="53"/>
      <c r="J13" s="53"/>
      <c r="K13" s="53"/>
      <c r="L13" s="53"/>
      <c r="M13" s="53"/>
      <c r="N13" s="53"/>
      <c r="O13" s="53"/>
      <c r="P13" s="53"/>
    </row>
    <row r="14" spans="2:16" x14ac:dyDescent="0.25">
      <c r="B14" s="758"/>
      <c r="C14" s="73" t="s">
        <v>6</v>
      </c>
      <c r="D14" s="74">
        <f>IF(D11="elektriciteit",T5A!F74,IF(D11="aardgas",T5B!F49,"FALSE"))</f>
        <v>0</v>
      </c>
      <c r="H14" s="53"/>
      <c r="I14" s="53"/>
      <c r="J14" s="53"/>
      <c r="K14" s="53"/>
      <c r="L14" s="53"/>
      <c r="M14" s="53"/>
      <c r="N14" s="53"/>
      <c r="O14" s="53"/>
      <c r="P14" s="53"/>
    </row>
    <row r="15" spans="2:16" x14ac:dyDescent="0.25">
      <c r="B15" s="75"/>
      <c r="C15" s="76"/>
      <c r="D15" s="77"/>
      <c r="H15" s="53"/>
      <c r="I15" s="53"/>
      <c r="J15" s="53"/>
      <c r="K15" s="53"/>
      <c r="L15" s="53"/>
      <c r="M15" s="53"/>
      <c r="N15" s="53"/>
      <c r="O15" s="53"/>
      <c r="P15" s="53"/>
    </row>
    <row r="16" spans="2:16" x14ac:dyDescent="0.25">
      <c r="B16" s="78"/>
      <c r="C16" s="79"/>
      <c r="D16" s="80"/>
      <c r="H16" s="53"/>
      <c r="I16" s="53"/>
      <c r="J16" s="53"/>
      <c r="K16" s="53"/>
      <c r="L16" s="53"/>
      <c r="M16" s="53"/>
      <c r="N16" s="53"/>
      <c r="O16" s="53"/>
      <c r="P16" s="53"/>
    </row>
    <row r="17" spans="2:16" x14ac:dyDescent="0.25">
      <c r="B17" s="75" t="str">
        <f>"Startwaarde RAB excl. HWMW (01/01/"&amp;D6&amp;")"</f>
        <v>Startwaarde RAB excl. HWMW (01/01/2025)</v>
      </c>
      <c r="C17" s="81"/>
      <c r="D17" s="82">
        <f>+D14+D13</f>
        <v>0</v>
      </c>
      <c r="H17" s="53"/>
      <c r="I17" s="53"/>
      <c r="J17" s="53"/>
      <c r="K17" s="53"/>
      <c r="L17" s="53"/>
      <c r="M17" s="53"/>
      <c r="N17" s="53"/>
      <c r="O17" s="53"/>
      <c r="P17" s="53"/>
    </row>
    <row r="18" spans="2:16" x14ac:dyDescent="0.25">
      <c r="B18" s="75"/>
      <c r="C18" s="81"/>
      <c r="D18" s="83"/>
    </row>
    <row r="19" spans="2:16" x14ac:dyDescent="0.25">
      <c r="B19" s="78"/>
      <c r="C19" s="84"/>
      <c r="D19" s="80"/>
    </row>
    <row r="20" spans="2:16" x14ac:dyDescent="0.25">
      <c r="B20" s="88" t="s">
        <v>139</v>
      </c>
      <c r="C20" s="81"/>
      <c r="D20" s="83">
        <f>'T4'!J26</f>
        <v>0</v>
      </c>
    </row>
    <row r="21" spans="2:16" x14ac:dyDescent="0.25">
      <c r="B21" s="59"/>
      <c r="C21" s="86"/>
      <c r="D21" s="87"/>
    </row>
    <row r="22" spans="2:16" x14ac:dyDescent="0.25">
      <c r="B22" s="78"/>
      <c r="C22" s="84"/>
      <c r="D22" s="80"/>
    </row>
    <row r="23" spans="2:16" x14ac:dyDescent="0.25">
      <c r="B23" s="75" t="s">
        <v>53</v>
      </c>
      <c r="C23" s="81" t="s">
        <v>7</v>
      </c>
      <c r="D23" s="83">
        <f>+D24+D25</f>
        <v>0</v>
      </c>
    </row>
    <row r="24" spans="2:16" x14ac:dyDescent="0.25">
      <c r="B24" s="75"/>
      <c r="C24" s="115" t="s">
        <v>8</v>
      </c>
      <c r="D24" s="85">
        <f>IF(D11="elektriciteit",+T5A!J74,IF(D11="aardgas",T5B!J49,"FALSE"))</f>
        <v>0</v>
      </c>
    </row>
    <row r="25" spans="2:16" x14ac:dyDescent="0.25">
      <c r="B25" s="75"/>
      <c r="C25" s="115" t="s">
        <v>9</v>
      </c>
      <c r="D25" s="85">
        <f>IF(D11="elektriciteit",T5A!K74,IF(D11="aardgas",T5B!K49,"FALSE"))</f>
        <v>0</v>
      </c>
    </row>
    <row r="26" spans="2:16" x14ac:dyDescent="0.25">
      <c r="B26" s="59"/>
      <c r="C26" s="86"/>
      <c r="D26" s="87"/>
    </row>
    <row r="27" spans="2:16" x14ac:dyDescent="0.25">
      <c r="B27" s="75"/>
      <c r="C27" s="81"/>
      <c r="D27" s="83"/>
    </row>
    <row r="28" spans="2:16" x14ac:dyDescent="0.25">
      <c r="B28" s="88" t="s">
        <v>154</v>
      </c>
      <c r="C28" s="81"/>
      <c r="D28" s="83">
        <f>IF(D11="elektriciteit",+T5A!L74,IF(D11="aardgas",T5B!L49,"FALSE"))</f>
        <v>0</v>
      </c>
    </row>
    <row r="29" spans="2:16" x14ac:dyDescent="0.25">
      <c r="B29" s="75"/>
      <c r="C29" s="81"/>
      <c r="D29" s="83"/>
    </row>
    <row r="30" spans="2:16" x14ac:dyDescent="0.25">
      <c r="B30" s="78"/>
      <c r="C30" s="84"/>
      <c r="D30" s="80"/>
    </row>
    <row r="31" spans="2:16" x14ac:dyDescent="0.25">
      <c r="B31" s="75" t="s">
        <v>54</v>
      </c>
      <c r="C31" s="81"/>
      <c r="D31" s="83">
        <f>IF(D11="elektriciteit",+T5A!M74,IF(D11="aardgas",T5B!M49,"FALSE"))</f>
        <v>0</v>
      </c>
    </row>
    <row r="32" spans="2:16" x14ac:dyDescent="0.25">
      <c r="B32" s="59"/>
      <c r="C32" s="86"/>
      <c r="D32" s="87"/>
    </row>
    <row r="33" spans="2:5" x14ac:dyDescent="0.25">
      <c r="B33" s="75"/>
      <c r="C33" s="81"/>
      <c r="D33" s="83"/>
    </row>
    <row r="34" spans="2:5" x14ac:dyDescent="0.25">
      <c r="B34" s="75" t="s">
        <v>226</v>
      </c>
      <c r="C34" s="71" t="s">
        <v>61</v>
      </c>
      <c r="D34" s="72">
        <f>+'T4'!M26</f>
        <v>0</v>
      </c>
    </row>
    <row r="35" spans="2:5" x14ac:dyDescent="0.25">
      <c r="B35" s="75"/>
      <c r="C35" s="73" t="s">
        <v>6</v>
      </c>
      <c r="D35" s="74">
        <f>IF(D11="elektriciteit",T5A!P74,IF(D11="aardgas",T5B!P49,"FALSE"))</f>
        <v>0</v>
      </c>
    </row>
    <row r="36" spans="2:5" x14ac:dyDescent="0.25">
      <c r="B36" s="59"/>
      <c r="C36" s="86"/>
      <c r="D36" s="87"/>
    </row>
    <row r="37" spans="2:5" x14ac:dyDescent="0.25">
      <c r="B37" s="75"/>
      <c r="C37" s="81"/>
      <c r="D37" s="83"/>
    </row>
    <row r="38" spans="2:5" x14ac:dyDescent="0.25">
      <c r="B38" s="75" t="s">
        <v>227</v>
      </c>
      <c r="C38" s="71" t="s">
        <v>61</v>
      </c>
      <c r="D38" s="72">
        <f>+'T4'!N26</f>
        <v>0</v>
      </c>
    </row>
    <row r="39" spans="2:5" x14ac:dyDescent="0.25">
      <c r="B39" s="75"/>
      <c r="C39" s="73" t="s">
        <v>6</v>
      </c>
      <c r="D39" s="74">
        <f>IF(D11="elektriciteit",+T5A!Q74,IF(D11="aardgas",T5B!Q49,"FALSE"))</f>
        <v>0</v>
      </c>
    </row>
    <row r="40" spans="2:5" x14ac:dyDescent="0.25">
      <c r="B40" s="59"/>
      <c r="C40" s="86"/>
      <c r="D40" s="87"/>
    </row>
    <row r="41" spans="2:5" x14ac:dyDescent="0.25">
      <c r="B41" s="75"/>
      <c r="C41" s="81"/>
      <c r="D41" s="83"/>
    </row>
    <row r="42" spans="2:5" x14ac:dyDescent="0.25">
      <c r="B42" s="88" t="str">
        <f>"Eindwaarde (31/12/"&amp;D6&amp;")"</f>
        <v>Eindwaarde (31/12/2025)</v>
      </c>
      <c r="C42" s="89" t="s">
        <v>61</v>
      </c>
      <c r="D42" s="74">
        <f>+SUM(D13,D20,D34,D38)</f>
        <v>0</v>
      </c>
    </row>
    <row r="43" spans="2:5" x14ac:dyDescent="0.25">
      <c r="B43" s="75"/>
      <c r="C43" s="90" t="s">
        <v>6</v>
      </c>
      <c r="D43" s="74">
        <f>+SUM(D14,D23,D28,D31,D35,D39)</f>
        <v>0</v>
      </c>
    </row>
    <row r="44" spans="2:5" x14ac:dyDescent="0.25">
      <c r="B44" s="91"/>
      <c r="C44" s="92"/>
      <c r="D44" s="93"/>
    </row>
    <row r="45" spans="2:5" x14ac:dyDescent="0.25">
      <c r="B45" s="75"/>
      <c r="C45" s="81"/>
      <c r="D45" s="83"/>
      <c r="E45" s="202" t="s">
        <v>380</v>
      </c>
    </row>
    <row r="46" spans="2:5" x14ac:dyDescent="0.25">
      <c r="B46" s="75" t="str">
        <f>"Eindwaarde RAB excl. HWMW (31/12/"&amp;D6&amp;")"</f>
        <v>Eindwaarde RAB excl. HWMW (31/12/2025)</v>
      </c>
      <c r="C46" s="81"/>
      <c r="D46" s="83">
        <f>D42+D43</f>
        <v>0</v>
      </c>
      <c r="E46" s="203">
        <f>IF($D$11="elektriciteit",D46-'T4'!O26-T5A!R74,IF($D$11="aardgas",D46-'T4'!O26-T5B!R49,"FALSE"))</f>
        <v>0</v>
      </c>
    </row>
    <row r="47" spans="2:5" x14ac:dyDescent="0.25">
      <c r="B47" s="59"/>
      <c r="C47" s="86"/>
      <c r="D47" s="87"/>
    </row>
    <row r="48" spans="2:5" x14ac:dyDescent="0.25">
      <c r="B48" s="75"/>
      <c r="C48" s="81"/>
      <c r="D48" s="83"/>
    </row>
    <row r="49" spans="2:4" x14ac:dyDescent="0.25">
      <c r="B49" s="94" t="s">
        <v>302</v>
      </c>
      <c r="C49" s="95"/>
      <c r="D49" s="96">
        <f>+AVERAGE(D46,D17)</f>
        <v>0</v>
      </c>
    </row>
    <row r="50" spans="2:4" ht="13.8" thickBot="1" x14ac:dyDescent="0.3">
      <c r="B50" s="69"/>
      <c r="C50" s="97"/>
      <c r="D50" s="97"/>
    </row>
  </sheetData>
  <sheetProtection algorithmName="SHA-512" hashValue="EzZN0BxmPlZEz+/JUaecMAPfiADljgHHjniopBUB3D3oVucpL7ZszJhJDrk1pvxOwM7rPEBRUO7nk7Ji7RI2wg==" saltValue="/nKNZtAzExuvtBb3W7VMDA==" spinCount="100000" sheet="1" objects="1" scenarios="1"/>
  <mergeCells count="2">
    <mergeCell ref="B13:B14"/>
    <mergeCell ref="B1:E1"/>
  </mergeCells>
  <pageMargins left="0.70866141732283472" right="0.70866141732283472" top="0.74803149606299213" bottom="0.74803149606299213" header="0.31496062992125984" footer="0.31496062992125984"/>
  <pageSetup paperSize="8"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5">
    <pageSetUpPr fitToPage="1"/>
  </sheetPr>
  <dimension ref="A1:I118"/>
  <sheetViews>
    <sheetView zoomScale="85" zoomScaleNormal="85" zoomScalePageLayoutView="110" workbookViewId="0">
      <selection activeCell="B2" sqref="B2"/>
    </sheetView>
  </sheetViews>
  <sheetFormatPr defaultColWidth="8.88671875" defaultRowHeight="13.2" x14ac:dyDescent="0.25"/>
  <cols>
    <col min="1" max="1" width="3.6640625" style="290" customWidth="1"/>
    <col min="2" max="2" width="55.44140625" style="10" customWidth="1"/>
    <col min="3" max="3" width="14.109375" style="291" customWidth="1"/>
    <col min="4" max="5" width="31.44140625" style="10" customWidth="1"/>
    <col min="6" max="6" width="31.44140625" style="292" customWidth="1"/>
    <col min="7" max="7" width="10" style="293" customWidth="1"/>
    <col min="8" max="8" width="46.88671875" style="10" customWidth="1"/>
    <col min="9" max="9" width="8.88671875" style="10"/>
    <col min="10" max="10" width="28.5546875" style="10" customWidth="1"/>
    <col min="11" max="11" width="17.88671875" style="10" customWidth="1"/>
    <col min="12" max="14" width="8.88671875" style="10"/>
    <col min="15" max="15" width="27.88671875" style="10" customWidth="1"/>
    <col min="16" max="16" width="27.6640625" style="10" customWidth="1"/>
    <col min="17" max="17" width="12.5546875" style="10" customWidth="1"/>
    <col min="18" max="18" width="12.88671875" style="10" customWidth="1"/>
    <col min="19" max="16384" width="8.88671875" style="10"/>
  </cols>
  <sheetData>
    <row r="1" spans="2:7" ht="21.6" customHeight="1" thickBot="1" x14ac:dyDescent="0.3">
      <c r="B1" s="689" t="s">
        <v>266</v>
      </c>
      <c r="C1" s="690"/>
      <c r="D1" s="690"/>
      <c r="E1" s="690"/>
      <c r="F1" s="690"/>
      <c r="G1" s="691"/>
    </row>
    <row r="3" spans="2:7" x14ac:dyDescent="0.25">
      <c r="B3" s="28" t="s">
        <v>68</v>
      </c>
    </row>
    <row r="4" spans="2:7" x14ac:dyDescent="0.25">
      <c r="B4" s="31" t="s">
        <v>399</v>
      </c>
    </row>
    <row r="5" spans="2:7" x14ac:dyDescent="0.25">
      <c r="B5" s="294" t="s">
        <v>400</v>
      </c>
    </row>
    <row r="8" spans="2:7" x14ac:dyDescent="0.25">
      <c r="D8" s="295"/>
      <c r="E8" s="296">
        <f>+TITELBLAD!$F$17</f>
        <v>2025</v>
      </c>
      <c r="F8" s="297"/>
    </row>
    <row r="9" spans="2:7" x14ac:dyDescent="0.25">
      <c r="D9" s="298"/>
      <c r="E9" s="299" t="str">
        <f>+TITELBLAD!$D$7</f>
        <v>DNB</v>
      </c>
      <c r="F9" s="300"/>
    </row>
    <row r="10" spans="2:7" x14ac:dyDescent="0.25">
      <c r="D10" s="301"/>
      <c r="E10" s="302" t="str">
        <f>+TITELBLAD!$D$10</f>
        <v>elektriciteit</v>
      </c>
      <c r="F10" s="303"/>
    </row>
    <row r="11" spans="2:7" ht="17.25" customHeight="1" x14ac:dyDescent="0.25">
      <c r="D11" s="304" t="s">
        <v>365</v>
      </c>
      <c r="E11" s="305" t="s">
        <v>366</v>
      </c>
      <c r="F11" s="306" t="s">
        <v>7</v>
      </c>
    </row>
    <row r="12" spans="2:7" ht="22.5" customHeight="1" x14ac:dyDescent="0.25">
      <c r="B12" s="307" t="s">
        <v>20</v>
      </c>
      <c r="C12" s="308" t="s">
        <v>232</v>
      </c>
      <c r="D12" s="155"/>
      <c r="E12" s="155"/>
      <c r="F12" s="179"/>
      <c r="G12" s="308" t="s">
        <v>55</v>
      </c>
    </row>
    <row r="13" spans="2:7" ht="20.399999999999999" customHeight="1" x14ac:dyDescent="0.25">
      <c r="B13" s="309" t="s">
        <v>21</v>
      </c>
      <c r="C13" s="310">
        <v>60</v>
      </c>
      <c r="D13" s="98">
        <v>0</v>
      </c>
      <c r="E13" s="98">
        <v>0</v>
      </c>
      <c r="F13" s="193">
        <f>D13+E13</f>
        <v>0</v>
      </c>
      <c r="G13" s="311" t="s">
        <v>3</v>
      </c>
    </row>
    <row r="14" spans="2:7" ht="20.399999999999999" customHeight="1" x14ac:dyDescent="0.25">
      <c r="B14" s="312" t="s">
        <v>22</v>
      </c>
      <c r="C14" s="310">
        <v>61</v>
      </c>
      <c r="D14" s="98">
        <v>0</v>
      </c>
      <c r="E14" s="98">
        <v>0</v>
      </c>
      <c r="F14" s="193">
        <f t="shared" ref="F14:F24" si="0">D14+E14</f>
        <v>0</v>
      </c>
      <c r="G14" s="311" t="s">
        <v>3</v>
      </c>
    </row>
    <row r="15" spans="2:7" ht="20.399999999999999" customHeight="1" x14ac:dyDescent="0.25">
      <c r="B15" s="309" t="s">
        <v>23</v>
      </c>
      <c r="C15" s="310">
        <v>62</v>
      </c>
      <c r="D15" s="98">
        <v>0</v>
      </c>
      <c r="E15" s="98">
        <v>0</v>
      </c>
      <c r="F15" s="193">
        <f t="shared" si="0"/>
        <v>0</v>
      </c>
      <c r="G15" s="311" t="s">
        <v>3</v>
      </c>
    </row>
    <row r="16" spans="2:7" ht="20.399999999999999" customHeight="1" x14ac:dyDescent="0.25">
      <c r="B16" s="313" t="s">
        <v>228</v>
      </c>
      <c r="C16" s="310">
        <v>630</v>
      </c>
      <c r="D16" s="98">
        <v>0</v>
      </c>
      <c r="E16" s="98">
        <v>0</v>
      </c>
      <c r="F16" s="193">
        <f t="shared" si="0"/>
        <v>0</v>
      </c>
      <c r="G16" s="311" t="s">
        <v>3</v>
      </c>
    </row>
    <row r="17" spans="1:8" ht="35.1" customHeight="1" x14ac:dyDescent="0.25">
      <c r="B17" s="314" t="s">
        <v>26</v>
      </c>
      <c r="C17" s="315" t="s">
        <v>18</v>
      </c>
      <c r="D17" s="98">
        <v>0</v>
      </c>
      <c r="E17" s="98">
        <v>0</v>
      </c>
      <c r="F17" s="193">
        <f t="shared" si="0"/>
        <v>0</v>
      </c>
      <c r="G17" s="311" t="s">
        <v>3</v>
      </c>
    </row>
    <row r="18" spans="1:8" ht="35.1" customHeight="1" x14ac:dyDescent="0.25">
      <c r="B18" s="316" t="s">
        <v>229</v>
      </c>
      <c r="C18" s="310" t="s">
        <v>233</v>
      </c>
      <c r="D18" s="98">
        <v>0</v>
      </c>
      <c r="E18" s="98">
        <v>0</v>
      </c>
      <c r="F18" s="193">
        <f t="shared" si="0"/>
        <v>0</v>
      </c>
      <c r="G18" s="311" t="s">
        <v>3</v>
      </c>
    </row>
    <row r="19" spans="1:8" ht="20.399999999999999" customHeight="1" x14ac:dyDescent="0.25">
      <c r="B19" s="309" t="s">
        <v>24</v>
      </c>
      <c r="C19" s="310" t="s">
        <v>19</v>
      </c>
      <c r="D19" s="98">
        <v>0</v>
      </c>
      <c r="E19" s="98">
        <v>0</v>
      </c>
      <c r="F19" s="193">
        <f t="shared" si="0"/>
        <v>0</v>
      </c>
      <c r="G19" s="311" t="s">
        <v>3</v>
      </c>
    </row>
    <row r="20" spans="1:8" ht="20.399999999999999" customHeight="1" x14ac:dyDescent="0.25">
      <c r="B20" s="317" t="s">
        <v>25</v>
      </c>
      <c r="C20" s="315">
        <v>649</v>
      </c>
      <c r="D20" s="98">
        <v>0</v>
      </c>
      <c r="E20" s="98">
        <v>0</v>
      </c>
      <c r="F20" s="193">
        <f t="shared" si="0"/>
        <v>0</v>
      </c>
      <c r="G20" s="311" t="s">
        <v>3</v>
      </c>
    </row>
    <row r="21" spans="1:8" ht="20.399999999999999" customHeight="1" x14ac:dyDescent="0.25">
      <c r="B21" s="313" t="s">
        <v>73</v>
      </c>
      <c r="C21" s="310">
        <v>65</v>
      </c>
      <c r="D21" s="98">
        <v>0</v>
      </c>
      <c r="E21" s="98">
        <v>0</v>
      </c>
      <c r="F21" s="193">
        <f t="shared" si="0"/>
        <v>0</v>
      </c>
      <c r="G21" s="311" t="s">
        <v>3</v>
      </c>
    </row>
    <row r="22" spans="1:8" ht="20.399999999999999" customHeight="1" x14ac:dyDescent="0.25">
      <c r="B22" s="312" t="s">
        <v>212</v>
      </c>
      <c r="C22" s="318">
        <v>66</v>
      </c>
      <c r="D22" s="98">
        <v>0</v>
      </c>
      <c r="E22" s="98">
        <v>0</v>
      </c>
      <c r="F22" s="193">
        <f t="shared" si="0"/>
        <v>0</v>
      </c>
      <c r="G22" s="311" t="s">
        <v>3</v>
      </c>
    </row>
    <row r="23" spans="1:8" ht="20.399999999999999" customHeight="1" x14ac:dyDescent="0.25">
      <c r="B23" s="319" t="s">
        <v>140</v>
      </c>
      <c r="C23" s="318">
        <v>67</v>
      </c>
      <c r="D23" s="98">
        <v>0</v>
      </c>
      <c r="E23" s="98">
        <v>0</v>
      </c>
      <c r="F23" s="193">
        <f t="shared" si="0"/>
        <v>0</v>
      </c>
      <c r="G23" s="311" t="s">
        <v>3</v>
      </c>
    </row>
    <row r="24" spans="1:8" ht="35.1" customHeight="1" x14ac:dyDescent="0.25">
      <c r="B24" s="320" t="s">
        <v>213</v>
      </c>
      <c r="C24" s="318">
        <v>68</v>
      </c>
      <c r="D24" s="98">
        <v>0</v>
      </c>
      <c r="E24" s="98">
        <v>0</v>
      </c>
      <c r="F24" s="194">
        <f t="shared" si="0"/>
        <v>0</v>
      </c>
      <c r="G24" s="311" t="s">
        <v>3</v>
      </c>
    </row>
    <row r="25" spans="1:8" x14ac:dyDescent="0.25">
      <c r="B25" s="321"/>
      <c r="D25" s="99"/>
      <c r="E25" s="99"/>
      <c r="F25" s="177"/>
      <c r="G25" s="322"/>
    </row>
    <row r="26" spans="1:8" ht="20.399999999999999" customHeight="1" x14ac:dyDescent="0.25">
      <c r="B26" s="323" t="s">
        <v>143</v>
      </c>
      <c r="C26" s="324"/>
      <c r="D26" s="134">
        <f>SUM(D13:D24)</f>
        <v>0</v>
      </c>
      <c r="E26" s="134">
        <f t="shared" ref="E26:F26" si="1">SUM(E13:E24)</f>
        <v>0</v>
      </c>
      <c r="F26" s="100">
        <f t="shared" si="1"/>
        <v>0</v>
      </c>
      <c r="G26" s="325"/>
    </row>
    <row r="27" spans="1:8" ht="20.399999999999999" customHeight="1" x14ac:dyDescent="0.25">
      <c r="B27" s="326" t="s">
        <v>141</v>
      </c>
      <c r="C27" s="327"/>
      <c r="D27" s="328"/>
      <c r="E27" s="212"/>
      <c r="F27" s="212">
        <f>IF($E$10="elektriciteit",F26-SUM('T2'!G46:I46,'T2'!G63:I63,'T2'!G69:I69,'T2'!G71:I71),IF('T8'!$E$10="aardgas",'T8'!F26-SUM('T2'!K46:M46,'T2'!K63:M63,'T2'!K69:M69,'T2'!K71:M71),"FALSE"))</f>
        <v>0</v>
      </c>
      <c r="G27" s="329"/>
    </row>
    <row r="28" spans="1:8" x14ac:dyDescent="0.25">
      <c r="B28" s="321"/>
      <c r="D28" s="99"/>
      <c r="E28" s="99"/>
      <c r="F28" s="177"/>
      <c r="G28" s="329"/>
    </row>
    <row r="29" spans="1:8" x14ac:dyDescent="0.25">
      <c r="B29" s="330" t="s">
        <v>149</v>
      </c>
      <c r="D29" s="331" t="s">
        <v>365</v>
      </c>
      <c r="E29" s="331" t="s">
        <v>366</v>
      </c>
      <c r="F29" s="332" t="s">
        <v>7</v>
      </c>
      <c r="G29" s="329"/>
    </row>
    <row r="30" spans="1:8" x14ac:dyDescent="0.25">
      <c r="B30" s="321"/>
      <c r="D30" s="101"/>
      <c r="E30" s="101"/>
      <c r="F30" s="101"/>
      <c r="G30" s="329"/>
    </row>
    <row r="31" spans="1:8" s="135" customFormat="1" ht="30.75" customHeight="1" x14ac:dyDescent="0.25">
      <c r="A31" s="333">
        <v>1</v>
      </c>
      <c r="B31" s="334" t="s">
        <v>391</v>
      </c>
      <c r="C31" s="188"/>
      <c r="D31" s="182">
        <v>0</v>
      </c>
      <c r="E31" s="182">
        <v>0</v>
      </c>
      <c r="F31" s="335">
        <f>D31+E31</f>
        <v>0</v>
      </c>
      <c r="G31" s="183" t="s">
        <v>5</v>
      </c>
      <c r="H31" s="10"/>
    </row>
    <row r="32" spans="1:8" s="135" customFormat="1" ht="12.75" customHeight="1" x14ac:dyDescent="0.25">
      <c r="A32" s="333"/>
      <c r="B32" s="336"/>
      <c r="C32" s="184"/>
      <c r="D32" s="185"/>
      <c r="E32" s="185"/>
      <c r="F32" s="186"/>
      <c r="G32" s="187"/>
      <c r="H32" s="10"/>
    </row>
    <row r="33" spans="1:9" s="135" customFormat="1" ht="30.75" customHeight="1" x14ac:dyDescent="0.25">
      <c r="A33" s="333">
        <v>2</v>
      </c>
      <c r="B33" s="334" t="s">
        <v>395</v>
      </c>
      <c r="C33" s="188"/>
      <c r="D33" s="189">
        <f>+'T3 - Overzicht'!C15</f>
        <v>0</v>
      </c>
      <c r="E33" s="191"/>
      <c r="F33" s="335">
        <f>D33+E33</f>
        <v>0</v>
      </c>
      <c r="G33" s="183" t="s">
        <v>5</v>
      </c>
      <c r="H33" s="10"/>
    </row>
    <row r="34" spans="1:9" s="135" customFormat="1" ht="12.75" customHeight="1" x14ac:dyDescent="0.25">
      <c r="A34" s="333"/>
      <c r="B34" s="336"/>
      <c r="C34" s="184"/>
      <c r="D34" s="185"/>
      <c r="E34" s="185"/>
      <c r="F34" s="186"/>
      <c r="G34" s="187"/>
      <c r="H34" s="10"/>
    </row>
    <row r="35" spans="1:9" s="135" customFormat="1" ht="31.5" customHeight="1" x14ac:dyDescent="0.25">
      <c r="A35" s="333">
        <v>3</v>
      </c>
      <c r="B35" s="334" t="s">
        <v>392</v>
      </c>
      <c r="C35" s="188"/>
      <c r="D35" s="182">
        <v>0</v>
      </c>
      <c r="E35" s="182">
        <v>0</v>
      </c>
      <c r="F35" s="335">
        <f>D35+E35</f>
        <v>0</v>
      </c>
      <c r="G35" s="190" t="s">
        <v>5</v>
      </c>
      <c r="H35" s="10"/>
    </row>
    <row r="36" spans="1:9" s="135" customFormat="1" ht="12.75" customHeight="1" x14ac:dyDescent="0.25">
      <c r="A36" s="333"/>
      <c r="B36" s="336"/>
      <c r="C36" s="184"/>
      <c r="D36" s="185"/>
      <c r="E36" s="185"/>
      <c r="F36" s="186"/>
      <c r="G36" s="187"/>
      <c r="H36" s="10"/>
    </row>
    <row r="37" spans="1:9" s="135" customFormat="1" ht="43.5" customHeight="1" x14ac:dyDescent="0.25">
      <c r="A37" s="333">
        <v>4</v>
      </c>
      <c r="B37" s="334" t="s">
        <v>393</v>
      </c>
      <c r="C37" s="188"/>
      <c r="D37" s="189">
        <f>+'T3 - Overzicht'!C16</f>
        <v>0</v>
      </c>
      <c r="E37" s="191"/>
      <c r="F37" s="335">
        <f>D37+E37</f>
        <v>0</v>
      </c>
      <c r="G37" s="190" t="s">
        <v>5</v>
      </c>
      <c r="H37" s="10"/>
    </row>
    <row r="38" spans="1:9" s="135" customFormat="1" ht="12.75" customHeight="1" x14ac:dyDescent="0.25">
      <c r="A38" s="333"/>
      <c r="B38" s="336"/>
      <c r="C38" s="184"/>
      <c r="D38" s="185"/>
      <c r="E38" s="185"/>
      <c r="F38" s="186"/>
      <c r="G38" s="187"/>
      <c r="H38" s="10"/>
    </row>
    <row r="39" spans="1:9" s="135" customFormat="1" ht="44.1" customHeight="1" x14ac:dyDescent="0.25">
      <c r="A39" s="333">
        <v>5</v>
      </c>
      <c r="B39" s="334" t="s">
        <v>394</v>
      </c>
      <c r="C39" s="188"/>
      <c r="D39" s="182">
        <v>0</v>
      </c>
      <c r="E39" s="182">
        <v>0</v>
      </c>
      <c r="F39" s="335">
        <f>D39+E39</f>
        <v>0</v>
      </c>
      <c r="G39" s="190" t="s">
        <v>5</v>
      </c>
      <c r="H39" s="10"/>
    </row>
    <row r="40" spans="1:9" ht="12.75" customHeight="1" x14ac:dyDescent="0.25">
      <c r="A40" s="333"/>
      <c r="B40" s="336"/>
      <c r="C40" s="103"/>
      <c r="D40" s="99"/>
      <c r="E40" s="99"/>
      <c r="F40" s="180"/>
      <c r="G40" s="104"/>
    </row>
    <row r="41" spans="1:9" ht="46.5" customHeight="1" x14ac:dyDescent="0.25">
      <c r="A41" s="333">
        <v>6</v>
      </c>
      <c r="B41" s="316" t="s">
        <v>229</v>
      </c>
      <c r="C41" s="310" t="s">
        <v>233</v>
      </c>
      <c r="D41" s="105">
        <f>+D18</f>
        <v>0</v>
      </c>
      <c r="E41" s="105">
        <f>+E18</f>
        <v>0</v>
      </c>
      <c r="F41" s="337">
        <f>D41+E41</f>
        <v>0</v>
      </c>
      <c r="G41" s="102" t="s">
        <v>5</v>
      </c>
    </row>
    <row r="42" spans="1:9" ht="12.75" customHeight="1" x14ac:dyDescent="0.25">
      <c r="A42" s="333"/>
      <c r="B42" s="336"/>
      <c r="C42" s="103"/>
      <c r="D42" s="99"/>
      <c r="E42" s="99"/>
      <c r="F42" s="180"/>
      <c r="G42" s="104"/>
    </row>
    <row r="43" spans="1:9" ht="46.5" customHeight="1" x14ac:dyDescent="0.25">
      <c r="A43" s="333">
        <v>7</v>
      </c>
      <c r="B43" s="316" t="s">
        <v>249</v>
      </c>
      <c r="C43" s="188"/>
      <c r="D43" s="98">
        <v>0</v>
      </c>
      <c r="E43" s="98">
        <v>0</v>
      </c>
      <c r="F43" s="337">
        <f>D43+E43</f>
        <v>0</v>
      </c>
      <c r="G43" s="102" t="s">
        <v>3</v>
      </c>
      <c r="I43" s="53"/>
    </row>
    <row r="44" spans="1:9" ht="12.75" customHeight="1" x14ac:dyDescent="0.25">
      <c r="A44" s="333"/>
      <c r="B44" s="336"/>
      <c r="C44" s="103"/>
      <c r="D44" s="99"/>
      <c r="E44" s="99"/>
      <c r="F44" s="180"/>
      <c r="G44" s="104"/>
      <c r="H44" s="31"/>
    </row>
    <row r="45" spans="1:9" ht="21" customHeight="1" x14ac:dyDescent="0.25">
      <c r="A45" s="333">
        <v>8</v>
      </c>
      <c r="B45" s="313" t="s">
        <v>73</v>
      </c>
      <c r="C45" s="310">
        <v>65</v>
      </c>
      <c r="D45" s="105">
        <f>+D21</f>
        <v>0</v>
      </c>
      <c r="E45" s="105">
        <f>+E21</f>
        <v>0</v>
      </c>
      <c r="F45" s="337">
        <f>D45+E45</f>
        <v>0</v>
      </c>
      <c r="G45" s="102" t="s">
        <v>5</v>
      </c>
      <c r="H45" s="31"/>
    </row>
    <row r="46" spans="1:9" ht="13.5" customHeight="1" x14ac:dyDescent="0.25">
      <c r="A46" s="333"/>
      <c r="B46" s="338"/>
      <c r="C46" s="339"/>
      <c r="D46" s="99"/>
      <c r="E46" s="99"/>
      <c r="F46" s="180"/>
      <c r="G46" s="192"/>
      <c r="H46" s="31"/>
    </row>
    <row r="47" spans="1:9" ht="21" customHeight="1" x14ac:dyDescent="0.25">
      <c r="A47" s="333">
        <v>9</v>
      </c>
      <c r="B47" s="340" t="s">
        <v>368</v>
      </c>
      <c r="C47" s="188"/>
      <c r="D47" s="98">
        <v>0</v>
      </c>
      <c r="E47" s="98">
        <v>0</v>
      </c>
      <c r="F47" s="337">
        <f>D47+E47</f>
        <v>0</v>
      </c>
      <c r="G47" s="102" t="s">
        <v>3</v>
      </c>
      <c r="H47" s="31"/>
    </row>
    <row r="48" spans="1:9" x14ac:dyDescent="0.25">
      <c r="A48" s="333"/>
      <c r="B48" s="338"/>
      <c r="C48" s="339"/>
      <c r="D48" s="99"/>
      <c r="E48" s="99"/>
      <c r="F48" s="31"/>
      <c r="G48" s="31"/>
      <c r="H48" s="31"/>
      <c r="I48" s="192"/>
    </row>
    <row r="49" spans="1:9" ht="21" customHeight="1" x14ac:dyDescent="0.25">
      <c r="A49" s="333">
        <v>10</v>
      </c>
      <c r="B49" s="341" t="s">
        <v>75</v>
      </c>
      <c r="C49" s="310">
        <v>661</v>
      </c>
      <c r="D49" s="98">
        <v>0</v>
      </c>
      <c r="E49" s="98">
        <v>0</v>
      </c>
      <c r="F49" s="337">
        <f>D49+E49</f>
        <v>0</v>
      </c>
      <c r="G49" s="102" t="s">
        <v>5</v>
      </c>
      <c r="H49" s="31"/>
    </row>
    <row r="50" spans="1:9" x14ac:dyDescent="0.25">
      <c r="A50" s="333"/>
      <c r="B50" s="342"/>
      <c r="C50" s="343"/>
      <c r="D50" s="112"/>
      <c r="E50" s="112"/>
      <c r="F50" s="180"/>
      <c r="G50" s="104"/>
      <c r="H50" s="31"/>
    </row>
    <row r="51" spans="1:9" ht="21" customHeight="1" x14ac:dyDescent="0.25">
      <c r="A51" s="333">
        <v>11</v>
      </c>
      <c r="B51" s="341" t="s">
        <v>234</v>
      </c>
      <c r="C51" s="310">
        <v>662</v>
      </c>
      <c r="D51" s="98">
        <v>0</v>
      </c>
      <c r="E51" s="98">
        <v>0</v>
      </c>
      <c r="F51" s="337">
        <f>D51+E51</f>
        <v>0</v>
      </c>
      <c r="G51" s="102" t="s">
        <v>5</v>
      </c>
      <c r="H51" s="31"/>
    </row>
    <row r="52" spans="1:9" x14ac:dyDescent="0.25">
      <c r="A52" s="333"/>
      <c r="B52" s="342"/>
      <c r="C52" s="343"/>
      <c r="D52" s="112"/>
      <c r="E52" s="112"/>
      <c r="F52" s="337"/>
      <c r="G52" s="104"/>
      <c r="H52" s="31"/>
    </row>
    <row r="53" spans="1:9" ht="21" customHeight="1" x14ac:dyDescent="0.25">
      <c r="A53" s="333">
        <v>12</v>
      </c>
      <c r="B53" s="341" t="s">
        <v>235</v>
      </c>
      <c r="C53" s="310">
        <v>668</v>
      </c>
      <c r="D53" s="98">
        <v>0</v>
      </c>
      <c r="E53" s="98">
        <v>0</v>
      </c>
      <c r="F53" s="337">
        <f>D53+E53</f>
        <v>0</v>
      </c>
      <c r="G53" s="102" t="s">
        <v>5</v>
      </c>
      <c r="H53" s="31"/>
      <c r="I53" s="53"/>
    </row>
    <row r="54" spans="1:9" x14ac:dyDescent="0.25">
      <c r="A54" s="333"/>
      <c r="B54" s="342"/>
      <c r="C54" s="343"/>
      <c r="D54" s="112"/>
      <c r="E54" s="112"/>
      <c r="F54" s="180"/>
      <c r="G54" s="104"/>
      <c r="H54" s="31"/>
    </row>
    <row r="55" spans="1:9" ht="31.5" customHeight="1" x14ac:dyDescent="0.25">
      <c r="A55" s="333">
        <v>13</v>
      </c>
      <c r="B55" s="341" t="s">
        <v>236</v>
      </c>
      <c r="C55" s="310">
        <v>6691</v>
      </c>
      <c r="D55" s="98">
        <v>0</v>
      </c>
      <c r="E55" s="98">
        <v>0</v>
      </c>
      <c r="F55" s="337">
        <f>D55+E55</f>
        <v>0</v>
      </c>
      <c r="G55" s="102" t="s">
        <v>5</v>
      </c>
      <c r="H55" s="31"/>
      <c r="I55" s="53"/>
    </row>
    <row r="56" spans="1:9" ht="12.75" customHeight="1" x14ac:dyDescent="0.25">
      <c r="A56" s="333"/>
      <c r="B56" s="336"/>
      <c r="C56" s="103"/>
      <c r="D56" s="99"/>
      <c r="E56" s="99"/>
      <c r="F56" s="180"/>
      <c r="G56" s="104"/>
      <c r="H56" s="31"/>
    </row>
    <row r="57" spans="1:9" ht="21" customHeight="1" x14ac:dyDescent="0.25">
      <c r="A57" s="333">
        <v>14</v>
      </c>
      <c r="B57" s="319" t="s">
        <v>140</v>
      </c>
      <c r="C57" s="318">
        <v>67</v>
      </c>
      <c r="D57" s="105">
        <f>+D23</f>
        <v>0</v>
      </c>
      <c r="E57" s="105">
        <f>+E23</f>
        <v>0</v>
      </c>
      <c r="F57" s="337">
        <f>D57+E57</f>
        <v>0</v>
      </c>
      <c r="G57" s="102" t="s">
        <v>5</v>
      </c>
      <c r="H57" s="31"/>
    </row>
    <row r="58" spans="1:9" ht="12.75" customHeight="1" x14ac:dyDescent="0.25">
      <c r="A58" s="333"/>
      <c r="B58" s="336"/>
      <c r="C58" s="103"/>
      <c r="D58" s="99"/>
      <c r="E58" s="99"/>
      <c r="F58" s="180"/>
      <c r="G58" s="104"/>
      <c r="H58" s="31"/>
    </row>
    <row r="59" spans="1:9" ht="21" customHeight="1" x14ac:dyDescent="0.25">
      <c r="A59" s="333">
        <v>15</v>
      </c>
      <c r="B59" s="344" t="s">
        <v>369</v>
      </c>
      <c r="C59" s="188"/>
      <c r="D59" s="98">
        <v>0</v>
      </c>
      <c r="E59" s="98">
        <v>0</v>
      </c>
      <c r="F59" s="337">
        <f>D59+E59</f>
        <v>0</v>
      </c>
      <c r="G59" s="102" t="s">
        <v>3</v>
      </c>
      <c r="H59" s="31"/>
    </row>
    <row r="60" spans="1:9" ht="12.75" customHeight="1" x14ac:dyDescent="0.25">
      <c r="A60" s="333"/>
      <c r="B60" s="336"/>
      <c r="C60" s="103"/>
      <c r="D60" s="99"/>
      <c r="E60" s="99"/>
      <c r="F60" s="180"/>
      <c r="G60" s="104"/>
      <c r="H60" s="31"/>
    </row>
    <row r="61" spans="1:9" ht="35.4" customHeight="1" x14ac:dyDescent="0.25">
      <c r="A61" s="333">
        <v>16</v>
      </c>
      <c r="B61" s="320" t="s">
        <v>213</v>
      </c>
      <c r="C61" s="318">
        <v>68</v>
      </c>
      <c r="D61" s="105">
        <f>+D24</f>
        <v>0</v>
      </c>
      <c r="E61" s="105">
        <f>+E24</f>
        <v>0</v>
      </c>
      <c r="F61" s="337">
        <f>D61+E61</f>
        <v>0</v>
      </c>
      <c r="G61" s="102" t="s">
        <v>5</v>
      </c>
      <c r="H61" s="31"/>
    </row>
    <row r="62" spans="1:9" ht="12.75" customHeight="1" x14ac:dyDescent="0.25">
      <c r="A62" s="333"/>
      <c r="B62" s="336"/>
      <c r="C62" s="103"/>
      <c r="D62" s="99"/>
      <c r="E62" s="99"/>
      <c r="F62" s="180"/>
      <c r="G62" s="104"/>
      <c r="H62" s="31"/>
    </row>
    <row r="63" spans="1:9" ht="35.25" customHeight="1" x14ac:dyDescent="0.25">
      <c r="A63" s="333">
        <f>A61+1</f>
        <v>17</v>
      </c>
      <c r="B63" s="345" t="s">
        <v>403</v>
      </c>
      <c r="C63" s="310"/>
      <c r="D63" s="98">
        <v>0</v>
      </c>
      <c r="E63" s="98">
        <v>0</v>
      </c>
      <c r="F63" s="337">
        <f>D63+E63</f>
        <v>0</v>
      </c>
      <c r="G63" s="102" t="s">
        <v>5</v>
      </c>
      <c r="H63" s="31"/>
    </row>
    <row r="64" spans="1:9" ht="35.25" customHeight="1" x14ac:dyDescent="0.25">
      <c r="A64" s="333"/>
      <c r="B64" s="346" t="s">
        <v>388</v>
      </c>
      <c r="C64" s="318"/>
      <c r="D64" s="206">
        <v>0</v>
      </c>
      <c r="E64" s="206">
        <v>0</v>
      </c>
      <c r="F64" s="208">
        <f>D64+E64</f>
        <v>0</v>
      </c>
      <c r="G64" s="31"/>
      <c r="H64" s="31"/>
    </row>
    <row r="65" spans="1:8" ht="35.25" customHeight="1" x14ac:dyDescent="0.25">
      <c r="A65" s="333"/>
      <c r="B65" s="345" t="s">
        <v>404</v>
      </c>
      <c r="C65" s="318"/>
      <c r="D65" s="220">
        <v>0</v>
      </c>
      <c r="E65" s="220">
        <v>0</v>
      </c>
      <c r="F65" s="337">
        <f>D65+E65</f>
        <v>0</v>
      </c>
      <c r="G65" s="102" t="s">
        <v>3</v>
      </c>
      <c r="H65" s="31"/>
    </row>
    <row r="66" spans="1:8" ht="12.75" customHeight="1" x14ac:dyDescent="0.25">
      <c r="A66" s="333"/>
      <c r="B66" s="336"/>
      <c r="C66" s="103"/>
      <c r="D66" s="99"/>
      <c r="E66" s="99"/>
      <c r="F66" s="99"/>
      <c r="G66" s="104"/>
      <c r="H66" s="31"/>
    </row>
    <row r="67" spans="1:8" ht="21" customHeight="1" x14ac:dyDescent="0.25">
      <c r="A67" s="333">
        <f>A63+1</f>
        <v>18</v>
      </c>
      <c r="B67" s="347" t="s">
        <v>30</v>
      </c>
      <c r="C67" s="318"/>
      <c r="D67" s="348">
        <f>SUM(D68:D70)</f>
        <v>0</v>
      </c>
      <c r="E67" s="348">
        <f t="shared" ref="E67" si="2">SUM(E68:E70)</f>
        <v>0</v>
      </c>
      <c r="F67" s="109">
        <f>D67+E67</f>
        <v>0</v>
      </c>
      <c r="G67" s="102" t="s">
        <v>5</v>
      </c>
      <c r="H67" s="31"/>
    </row>
    <row r="68" spans="1:8" ht="21" customHeight="1" x14ac:dyDescent="0.25">
      <c r="A68" s="333"/>
      <c r="B68" s="349" t="s">
        <v>124</v>
      </c>
      <c r="C68" s="188"/>
      <c r="D68" s="206">
        <v>0</v>
      </c>
      <c r="E68" s="206">
        <v>0</v>
      </c>
      <c r="F68" s="208">
        <f>D68+E68</f>
        <v>0</v>
      </c>
      <c r="G68" s="10"/>
      <c r="H68" s="31"/>
    </row>
    <row r="69" spans="1:8" ht="21" customHeight="1" x14ac:dyDescent="0.25">
      <c r="A69" s="333"/>
      <c r="B69" s="349" t="s">
        <v>125</v>
      </c>
      <c r="C69" s="188"/>
      <c r="D69" s="206">
        <v>0</v>
      </c>
      <c r="E69" s="206">
        <v>0</v>
      </c>
      <c r="F69" s="208">
        <f>D69+E69</f>
        <v>0</v>
      </c>
      <c r="G69" s="10"/>
      <c r="H69" s="31"/>
    </row>
    <row r="70" spans="1:8" ht="21" customHeight="1" x14ac:dyDescent="0.25">
      <c r="A70" s="333"/>
      <c r="B70" s="349" t="s">
        <v>126</v>
      </c>
      <c r="C70" s="188"/>
      <c r="D70" s="206">
        <v>0</v>
      </c>
      <c r="E70" s="206">
        <v>0</v>
      </c>
      <c r="F70" s="208">
        <f>D70+E70</f>
        <v>0</v>
      </c>
      <c r="G70" s="10"/>
    </row>
    <row r="71" spans="1:8" ht="15.75" customHeight="1" x14ac:dyDescent="0.25">
      <c r="A71" s="333"/>
      <c r="B71" s="350"/>
      <c r="C71" s="351"/>
      <c r="D71" s="107"/>
      <c r="E71" s="107"/>
      <c r="F71" s="10"/>
      <c r="G71" s="10"/>
    </row>
    <row r="72" spans="1:8" ht="70.5" customHeight="1" x14ac:dyDescent="0.25">
      <c r="A72" s="333">
        <f>A67+1</f>
        <v>19</v>
      </c>
      <c r="B72" s="334" t="s">
        <v>367</v>
      </c>
      <c r="C72" s="310"/>
      <c r="D72" s="105">
        <f>SUM(D73:D76)</f>
        <v>0</v>
      </c>
      <c r="E72" s="105">
        <f>SUM(E73:E76)</f>
        <v>0</v>
      </c>
      <c r="F72" s="337">
        <f>D72+E72</f>
        <v>0</v>
      </c>
      <c r="G72" s="102" t="s">
        <v>5</v>
      </c>
      <c r="H72" s="352"/>
    </row>
    <row r="73" spans="1:8" ht="33" customHeight="1" x14ac:dyDescent="0.25">
      <c r="A73" s="333"/>
      <c r="B73" s="346" t="s">
        <v>239</v>
      </c>
      <c r="C73" s="188"/>
      <c r="D73" s="206">
        <v>0</v>
      </c>
      <c r="E73" s="206">
        <v>0</v>
      </c>
      <c r="F73" s="208">
        <f>D73+E73</f>
        <v>0</v>
      </c>
      <c r="G73" s="10"/>
    </row>
    <row r="74" spans="1:8" ht="33" customHeight="1" x14ac:dyDescent="0.25">
      <c r="A74" s="333"/>
      <c r="B74" s="346" t="s">
        <v>240</v>
      </c>
      <c r="C74" s="188"/>
      <c r="D74" s="206">
        <v>0</v>
      </c>
      <c r="E74" s="206">
        <v>0</v>
      </c>
      <c r="F74" s="208">
        <f>D74+E74</f>
        <v>0</v>
      </c>
      <c r="G74" s="10"/>
    </row>
    <row r="75" spans="1:8" ht="45" customHeight="1" x14ac:dyDescent="0.25">
      <c r="A75" s="333"/>
      <c r="B75" s="346" t="s">
        <v>241</v>
      </c>
      <c r="C75" s="188"/>
      <c r="D75" s="206">
        <v>0</v>
      </c>
      <c r="E75" s="206">
        <v>0</v>
      </c>
      <c r="F75" s="208">
        <f>D75+E75</f>
        <v>0</v>
      </c>
      <c r="G75" s="10"/>
    </row>
    <row r="76" spans="1:8" ht="72" customHeight="1" x14ac:dyDescent="0.25">
      <c r="A76" s="333"/>
      <c r="B76" s="346" t="s">
        <v>330</v>
      </c>
      <c r="C76" s="188"/>
      <c r="D76" s="206">
        <v>0</v>
      </c>
      <c r="E76" s="206">
        <v>0</v>
      </c>
      <c r="F76" s="208">
        <f>D76+E76</f>
        <v>0</v>
      </c>
      <c r="G76" s="10"/>
      <c r="H76" s="352"/>
    </row>
    <row r="77" spans="1:8" ht="15" customHeight="1" x14ac:dyDescent="0.25">
      <c r="A77" s="333"/>
      <c r="B77" s="353" t="s">
        <v>79</v>
      </c>
      <c r="C77" s="351"/>
      <c r="D77" s="107"/>
      <c r="E77" s="107"/>
      <c r="F77" s="10"/>
      <c r="G77" s="10"/>
    </row>
    <row r="78" spans="1:8" ht="49.5" customHeight="1" x14ac:dyDescent="0.25">
      <c r="A78" s="333">
        <f>A72+1</f>
        <v>20</v>
      </c>
      <c r="B78" s="354" t="s">
        <v>80</v>
      </c>
      <c r="C78" s="310"/>
      <c r="D78" s="109">
        <f>SUM(D79:D80)</f>
        <v>0</v>
      </c>
      <c r="E78" s="109">
        <f t="shared" ref="E78" si="3">SUM(E79:E80)</f>
        <v>0</v>
      </c>
      <c r="F78" s="109">
        <f>D78+E78</f>
        <v>0</v>
      </c>
      <c r="G78" s="102" t="s">
        <v>5</v>
      </c>
    </row>
    <row r="79" spans="1:8" ht="17.399999999999999" customHeight="1" x14ac:dyDescent="0.25">
      <c r="A79" s="333"/>
      <c r="B79" s="346" t="s">
        <v>56</v>
      </c>
      <c r="C79" s="188"/>
      <c r="D79" s="206">
        <v>0</v>
      </c>
      <c r="E79" s="206">
        <v>0</v>
      </c>
      <c r="F79" s="208">
        <f>D79+E79</f>
        <v>0</v>
      </c>
      <c r="G79" s="10"/>
    </row>
    <row r="80" spans="1:8" ht="17.399999999999999" customHeight="1" x14ac:dyDescent="0.25">
      <c r="A80" s="333"/>
      <c r="B80" s="346" t="s">
        <v>57</v>
      </c>
      <c r="C80" s="188"/>
      <c r="D80" s="206">
        <v>0</v>
      </c>
      <c r="E80" s="206">
        <v>0</v>
      </c>
      <c r="F80" s="208">
        <f>D80+E80</f>
        <v>0</v>
      </c>
      <c r="G80" s="10"/>
    </row>
    <row r="81" spans="1:9" x14ac:dyDescent="0.25">
      <c r="A81" s="333"/>
      <c r="B81" s="355"/>
      <c r="C81" s="351"/>
      <c r="D81" s="107"/>
      <c r="E81" s="107"/>
      <c r="F81" s="10"/>
      <c r="G81" s="10"/>
    </row>
    <row r="82" spans="1:9" ht="42.75" customHeight="1" x14ac:dyDescent="0.25">
      <c r="A82" s="333">
        <f>A78+1</f>
        <v>21</v>
      </c>
      <c r="B82" s="345" t="s">
        <v>370</v>
      </c>
      <c r="C82" s="188"/>
      <c r="D82" s="98">
        <v>0</v>
      </c>
      <c r="E82" s="98">
        <v>0</v>
      </c>
      <c r="F82" s="337">
        <f>D82+E82</f>
        <v>0</v>
      </c>
      <c r="G82" s="102" t="s">
        <v>5</v>
      </c>
    </row>
    <row r="83" spans="1:9" ht="14.25" customHeight="1" x14ac:dyDescent="0.25">
      <c r="A83" s="333"/>
      <c r="B83" s="350"/>
      <c r="C83" s="111"/>
      <c r="D83" s="107"/>
      <c r="E83" s="107"/>
      <c r="F83" s="181"/>
      <c r="G83" s="110"/>
    </row>
    <row r="84" spans="1:9" ht="44.25" customHeight="1" x14ac:dyDescent="0.25">
      <c r="A84" s="333">
        <f>A82+1</f>
        <v>22</v>
      </c>
      <c r="B84" s="345" t="s">
        <v>371</v>
      </c>
      <c r="C84" s="188"/>
      <c r="D84" s="98">
        <v>0</v>
      </c>
      <c r="E84" s="98">
        <v>0</v>
      </c>
      <c r="F84" s="337">
        <f>D84+E84</f>
        <v>0</v>
      </c>
      <c r="G84" s="102" t="s">
        <v>5</v>
      </c>
    </row>
    <row r="85" spans="1:9" x14ac:dyDescent="0.25">
      <c r="A85" s="333"/>
      <c r="B85" s="342"/>
      <c r="C85" s="103"/>
      <c r="D85" s="99"/>
      <c r="E85" s="99"/>
      <c r="F85" s="180"/>
      <c r="G85" s="104"/>
    </row>
    <row r="86" spans="1:9" ht="44.4" customHeight="1" x14ac:dyDescent="0.25">
      <c r="A86" s="333">
        <f>A84+1</f>
        <v>23</v>
      </c>
      <c r="B86" s="356" t="s">
        <v>250</v>
      </c>
      <c r="C86" s="310"/>
      <c r="D86" s="109">
        <f>SUM(D87:D88)</f>
        <v>0</v>
      </c>
      <c r="E86" s="109">
        <f t="shared" ref="E86" si="4">SUM(E87:E88)</f>
        <v>0</v>
      </c>
      <c r="F86" s="109">
        <f>D86+E86</f>
        <v>0</v>
      </c>
      <c r="G86" s="102" t="s">
        <v>5</v>
      </c>
      <c r="I86" s="357"/>
    </row>
    <row r="87" spans="1:9" ht="17.399999999999999" customHeight="1" x14ac:dyDescent="0.25">
      <c r="B87" s="346" t="s">
        <v>242</v>
      </c>
      <c r="C87" s="188"/>
      <c r="D87" s="206">
        <v>0</v>
      </c>
      <c r="E87" s="206">
        <v>0</v>
      </c>
      <c r="F87" s="208">
        <f>D87+E87</f>
        <v>0</v>
      </c>
      <c r="G87" s="104"/>
    </row>
    <row r="88" spans="1:9" ht="17.399999999999999" customHeight="1" x14ac:dyDescent="0.25">
      <c r="B88" s="346" t="s">
        <v>243</v>
      </c>
      <c r="C88" s="188"/>
      <c r="D88" s="206">
        <v>0</v>
      </c>
      <c r="E88" s="206">
        <v>0</v>
      </c>
      <c r="F88" s="208">
        <f>D88+E88</f>
        <v>0</v>
      </c>
      <c r="G88" s="104"/>
    </row>
    <row r="89" spans="1:9" x14ac:dyDescent="0.25">
      <c r="B89" s="342"/>
      <c r="C89" s="103"/>
      <c r="D89" s="99"/>
      <c r="E89" s="99"/>
      <c r="F89" s="180"/>
      <c r="G89" s="104"/>
    </row>
    <row r="90" spans="1:9" ht="44.4" customHeight="1" x14ac:dyDescent="0.25">
      <c r="A90" s="290">
        <f>+A86+1</f>
        <v>24</v>
      </c>
      <c r="B90" s="356" t="s">
        <v>244</v>
      </c>
      <c r="C90" s="310"/>
      <c r="D90" s="109">
        <f>SUM(D91:D92)</f>
        <v>0</v>
      </c>
      <c r="E90" s="109">
        <f t="shared" ref="E90" si="5">SUM(E91:E92)</f>
        <v>0</v>
      </c>
      <c r="F90" s="109">
        <f>D90+E90</f>
        <v>0</v>
      </c>
      <c r="G90" s="102" t="s">
        <v>5</v>
      </c>
      <c r="I90" s="357"/>
    </row>
    <row r="91" spans="1:9" ht="17.399999999999999" customHeight="1" x14ac:dyDescent="0.25">
      <c r="B91" s="346" t="s">
        <v>245</v>
      </c>
      <c r="C91" s="188"/>
      <c r="D91" s="206">
        <v>0</v>
      </c>
      <c r="E91" s="206">
        <v>0</v>
      </c>
      <c r="F91" s="208">
        <f>D91+E91</f>
        <v>0</v>
      </c>
      <c r="G91" s="104"/>
    </row>
    <row r="92" spans="1:9" ht="32.4" customHeight="1" x14ac:dyDescent="0.25">
      <c r="B92" s="346" t="s">
        <v>246</v>
      </c>
      <c r="C92" s="188"/>
      <c r="D92" s="206">
        <v>0</v>
      </c>
      <c r="E92" s="206">
        <v>0</v>
      </c>
      <c r="F92" s="208">
        <f>D92+E92</f>
        <v>0</v>
      </c>
      <c r="G92" s="104"/>
      <c r="I92" s="53"/>
    </row>
    <row r="93" spans="1:9" x14ac:dyDescent="0.25">
      <c r="B93" s="342"/>
      <c r="C93" s="103"/>
      <c r="D93" s="99"/>
      <c r="E93" s="99"/>
      <c r="F93" s="180"/>
      <c r="G93" s="104"/>
    </row>
    <row r="94" spans="1:9" ht="35.1" customHeight="1" x14ac:dyDescent="0.25">
      <c r="A94" s="290">
        <f>+A90+1</f>
        <v>25</v>
      </c>
      <c r="B94" s="358" t="s">
        <v>247</v>
      </c>
      <c r="C94" s="188"/>
      <c r="D94" s="98">
        <v>0</v>
      </c>
      <c r="E94" s="98">
        <v>0</v>
      </c>
      <c r="F94" s="337">
        <f>D94+E94</f>
        <v>0</v>
      </c>
      <c r="G94" s="102" t="s">
        <v>5</v>
      </c>
      <c r="I94" s="53"/>
    </row>
    <row r="95" spans="1:9" x14ac:dyDescent="0.25">
      <c r="D95" s="359"/>
      <c r="E95" s="359"/>
      <c r="F95" s="360"/>
    </row>
    <row r="96" spans="1:9" ht="45.75" customHeight="1" x14ac:dyDescent="0.25">
      <c r="A96" s="290">
        <f>+A94+1</f>
        <v>26</v>
      </c>
      <c r="B96" s="354" t="s">
        <v>237</v>
      </c>
      <c r="C96" s="188"/>
      <c r="D96" s="98">
        <v>0</v>
      </c>
      <c r="E96" s="98">
        <v>0</v>
      </c>
      <c r="F96" s="337">
        <f>D96+E96</f>
        <v>0</v>
      </c>
      <c r="G96" s="102" t="s">
        <v>5</v>
      </c>
    </row>
    <row r="97" spans="1:9" x14ac:dyDescent="0.25">
      <c r="D97" s="359"/>
      <c r="E97" s="359"/>
      <c r="F97" s="360"/>
      <c r="H97" s="293"/>
    </row>
    <row r="98" spans="1:9" ht="42.75" customHeight="1" x14ac:dyDescent="0.25">
      <c r="A98" s="290">
        <f>A96+1</f>
        <v>27</v>
      </c>
      <c r="B98" s="354" t="s">
        <v>238</v>
      </c>
      <c r="C98" s="188"/>
      <c r="D98" s="98">
        <v>0</v>
      </c>
      <c r="E98" s="98">
        <v>0</v>
      </c>
      <c r="F98" s="337">
        <f>D98+E98</f>
        <v>0</v>
      </c>
      <c r="G98" s="102" t="s">
        <v>5</v>
      </c>
    </row>
    <row r="99" spans="1:9" ht="15.75" customHeight="1" x14ac:dyDescent="0.25">
      <c r="B99" s="350"/>
      <c r="C99" s="351"/>
      <c r="D99" s="107"/>
      <c r="E99" s="107"/>
      <c r="F99" s="181"/>
      <c r="G99" s="108"/>
    </row>
    <row r="100" spans="1:9" ht="21" customHeight="1" x14ac:dyDescent="0.25">
      <c r="A100" s="290">
        <f>A98+1</f>
        <v>28</v>
      </c>
      <c r="B100" s="354" t="s">
        <v>248</v>
      </c>
      <c r="C100" s="132"/>
      <c r="D100" s="42">
        <f>SUM(D101:D105)</f>
        <v>0</v>
      </c>
      <c r="E100" s="42">
        <f>SUM(E101:E105)</f>
        <v>0</v>
      </c>
      <c r="F100" s="109">
        <f t="shared" ref="F100:F105" si="6">D100+E100</f>
        <v>0</v>
      </c>
      <c r="G100" s="102" t="s">
        <v>5</v>
      </c>
    </row>
    <row r="101" spans="1:9" ht="29.4" customHeight="1" x14ac:dyDescent="0.25">
      <c r="B101" s="346" t="s">
        <v>81</v>
      </c>
      <c r="C101" s="188"/>
      <c r="D101" s="206">
        <v>0</v>
      </c>
      <c r="E101" s="206">
        <v>0</v>
      </c>
      <c r="F101" s="208">
        <f t="shared" si="6"/>
        <v>0</v>
      </c>
      <c r="G101" s="104"/>
    </row>
    <row r="102" spans="1:9" ht="29.4" customHeight="1" x14ac:dyDescent="0.25">
      <c r="B102" s="346" t="s">
        <v>372</v>
      </c>
      <c r="C102" s="188"/>
      <c r="D102" s="206">
        <v>0</v>
      </c>
      <c r="E102" s="206">
        <v>0</v>
      </c>
      <c r="F102" s="208">
        <f t="shared" si="6"/>
        <v>0</v>
      </c>
      <c r="G102" s="104"/>
    </row>
    <row r="103" spans="1:9" ht="29.4" customHeight="1" x14ac:dyDescent="0.25">
      <c r="B103" s="346" t="s">
        <v>373</v>
      </c>
      <c r="C103" s="188"/>
      <c r="D103" s="206">
        <v>0</v>
      </c>
      <c r="E103" s="206">
        <v>0</v>
      </c>
      <c r="F103" s="208">
        <f t="shared" si="6"/>
        <v>0</v>
      </c>
      <c r="G103" s="104"/>
    </row>
    <row r="104" spans="1:9" ht="29.4" customHeight="1" x14ac:dyDescent="0.25">
      <c r="B104" s="346" t="s">
        <v>253</v>
      </c>
      <c r="C104" s="188"/>
      <c r="D104" s="206">
        <v>0</v>
      </c>
      <c r="E104" s="206">
        <v>0</v>
      </c>
      <c r="F104" s="208">
        <f t="shared" si="6"/>
        <v>0</v>
      </c>
      <c r="G104" s="104"/>
    </row>
    <row r="105" spans="1:9" ht="29.4" customHeight="1" x14ac:dyDescent="0.25">
      <c r="B105" s="346" t="s">
        <v>374</v>
      </c>
      <c r="C105" s="188"/>
      <c r="D105" s="206">
        <v>0</v>
      </c>
      <c r="E105" s="206">
        <v>0</v>
      </c>
      <c r="F105" s="208">
        <f t="shared" si="6"/>
        <v>0</v>
      </c>
      <c r="G105" s="104"/>
    </row>
    <row r="106" spans="1:9" ht="12.75" customHeight="1" x14ac:dyDescent="0.25">
      <c r="B106" s="336"/>
      <c r="C106" s="103"/>
      <c r="D106" s="99"/>
      <c r="E106" s="99"/>
      <c r="F106" s="99"/>
      <c r="G106" s="104"/>
    </row>
    <row r="107" spans="1:9" ht="44.1" customHeight="1" x14ac:dyDescent="0.25">
      <c r="A107" s="290">
        <f>A100+1</f>
        <v>29</v>
      </c>
      <c r="B107" s="334" t="s">
        <v>440</v>
      </c>
      <c r="C107" s="188"/>
      <c r="D107" s="178">
        <v>0</v>
      </c>
      <c r="E107" s="178">
        <v>0</v>
      </c>
      <c r="F107" s="337">
        <f>D107+E107</f>
        <v>0</v>
      </c>
      <c r="G107" s="106" t="s">
        <v>5</v>
      </c>
      <c r="H107" s="31"/>
      <c r="I107" s="290"/>
    </row>
    <row r="108" spans="1:9" ht="12.75" customHeight="1" x14ac:dyDescent="0.25">
      <c r="B108" s="336"/>
      <c r="C108" s="103"/>
      <c r="D108" s="99"/>
      <c r="E108" s="99"/>
      <c r="F108" s="99"/>
      <c r="G108" s="104"/>
    </row>
    <row r="109" spans="1:9" ht="44.1" customHeight="1" x14ac:dyDescent="0.25">
      <c r="A109" s="290">
        <f>A107+1</f>
        <v>30</v>
      </c>
      <c r="B109" s="334" t="s">
        <v>441</v>
      </c>
      <c r="C109" s="188"/>
      <c r="D109" s="178">
        <v>0</v>
      </c>
      <c r="E109" s="178">
        <v>0</v>
      </c>
      <c r="F109" s="337">
        <f>D109+E109</f>
        <v>0</v>
      </c>
      <c r="G109" s="106" t="s">
        <v>5</v>
      </c>
      <c r="H109" s="31"/>
      <c r="I109" s="290"/>
    </row>
    <row r="110" spans="1:9" ht="12" customHeight="1" x14ac:dyDescent="0.25">
      <c r="B110" s="336"/>
      <c r="C110" s="343"/>
      <c r="D110" s="99"/>
      <c r="E110" s="99"/>
      <c r="F110" s="180"/>
      <c r="G110" s="104"/>
    </row>
    <row r="111" spans="1:9" ht="20.399999999999999" customHeight="1" x14ac:dyDescent="0.25">
      <c r="B111" s="295"/>
      <c r="C111" s="361"/>
      <c r="D111" s="295"/>
      <c r="E111" s="362">
        <f>+$E$8</f>
        <v>2025</v>
      </c>
      <c r="F111" s="363"/>
    </row>
    <row r="112" spans="1:9" ht="20.399999999999999" customHeight="1" x14ac:dyDescent="0.25">
      <c r="B112" s="298"/>
      <c r="D112" s="298"/>
      <c r="E112" s="299" t="str">
        <f>+$E$9</f>
        <v>DNB</v>
      </c>
      <c r="F112" s="300"/>
    </row>
    <row r="113" spans="1:8" ht="20.399999999999999" customHeight="1" x14ac:dyDescent="0.25">
      <c r="B113" s="298"/>
      <c r="D113" s="301"/>
      <c r="E113" s="302" t="str">
        <f>+$E$10</f>
        <v>elektriciteit</v>
      </c>
      <c r="F113" s="303"/>
    </row>
    <row r="114" spans="1:8" ht="20.399999999999999" customHeight="1" x14ac:dyDescent="0.25">
      <c r="B114" s="298"/>
      <c r="D114" s="305" t="s">
        <v>365</v>
      </c>
      <c r="E114" s="305" t="s">
        <v>366</v>
      </c>
      <c r="F114" s="306" t="s">
        <v>7</v>
      </c>
    </row>
    <row r="115" spans="1:8" ht="20.399999999999999" customHeight="1" x14ac:dyDescent="0.25">
      <c r="A115" s="364"/>
      <c r="B115" s="365" t="s">
        <v>31</v>
      </c>
      <c r="C115" s="366"/>
      <c r="D115" s="195">
        <f>IF($E$10="elektriciteit",-SUM(D31,D33,D35,D37,D39,D41,D45,D49,D51,D53,D55,D57,D61,D63,D67,D72,D78,,D82,D84,D86,D90,D94,D96,D98,D100,D107)+SUM(D43,D47,D59,D65),IF($E$10="aardgas",-SUM(D31,D33,D35,D37,D39,D41,D45,D49,D51,D53,D55,D57,D61,D63,D67,D94,D100,D109)+SUM(D43,D47,D59,D65),"FOUT"))</f>
        <v>0</v>
      </c>
      <c r="E115" s="195">
        <f>IF($E$10="elektriciteit",-SUM(E31,E35,E39,E41,E45,E49,E51,E53,E55,E57,E61,E63,E67,E72,E78,,E82,E84,E86,E90,E94,E96,E98,E100,E107)+SUM(E43,E47,E59,E65),IF($E$10="aardgas",-SUM(E31,E35,E39,E41,E45,E49,E51,E53,E55,E57,E61,E63,E67,E94,E100,E109)+SUM(E43,E47,E59,E65),"FOUT"))</f>
        <v>0</v>
      </c>
      <c r="F115" s="210">
        <f>IF($E$10="elektriciteit",-SUM(F31,F33,F35,F37,F39,F41,F45,F49,F51,F53,F55,F57,F61,F63,F67,F72,F78,,F82,F84,F86,F90,F94,F96,F98,F100,F107)+SUM(F43,F47,F59,F65),IF($E$10="aardgas",-SUM(F31,F33,F35,F37,F39,F41,F45,F49,F51,F53,F55,F57,F61,F63,F67,F100,F109)+SUM(F43,F47,F59,F65),"FOUT"))</f>
        <v>0</v>
      </c>
      <c r="H115" s="352"/>
    </row>
    <row r="116" spans="1:8" ht="19.5" customHeight="1" x14ac:dyDescent="0.25">
      <c r="A116" s="364"/>
      <c r="B116" s="367" t="s">
        <v>32</v>
      </c>
      <c r="C116" s="368"/>
      <c r="D116" s="196">
        <f>+D26+D115</f>
        <v>0</v>
      </c>
      <c r="E116" s="134">
        <f>+E26+E115</f>
        <v>0</v>
      </c>
      <c r="F116" s="100">
        <f>+F26+F115</f>
        <v>0</v>
      </c>
    </row>
    <row r="117" spans="1:8" ht="20.399999999999999" customHeight="1" x14ac:dyDescent="0.25">
      <c r="C117" s="10"/>
      <c r="F117" s="10"/>
    </row>
    <row r="118" spans="1:8" x14ac:dyDescent="0.25">
      <c r="F118" s="360"/>
    </row>
  </sheetData>
  <sheetProtection algorithmName="SHA-512" hashValue="wcsv+GjO+BkeWMGtOA/WLqnpRm9Z60l9V4LpN1NUbx3Yg4dUyAzvxTba68nJktbst3g/zk8IJDwLy/lBmjB3gg==" saltValue="GZNEZSFTt8TPYji+13b6uA==" spinCount="100000" sheet="1" objects="1" scenarios="1"/>
  <mergeCells count="1">
    <mergeCell ref="B1:G1"/>
  </mergeCells>
  <conditionalFormatting sqref="A72:G76 A78:G80 A82:G82 A84:G84 A86:G88 A90:G92 A96:G96 A98:G98 A107:G107">
    <cfRule type="expression" dxfId="5" priority="7">
      <formula>$E$10&lt;&gt;"elektriciteit"</formula>
    </cfRule>
  </conditionalFormatting>
  <conditionalFormatting sqref="A109:G109">
    <cfRule type="expression" dxfId="4" priority="14">
      <formula>$E$10&lt;&gt;"aardgas"</formula>
    </cfRule>
  </conditionalFormatting>
  <pageMargins left="0.74803149606299213" right="0.74803149606299213" top="0.98425196850393704" bottom="0.98425196850393704" header="0.51181102362204722" footer="0.51181102362204722"/>
  <pageSetup paperSize="8" scale="78" fitToWidth="2" fitToHeight="2" orientation="portrait" r:id="rId1"/>
  <headerFooter alignWithMargins="0"/>
  <rowBreaks count="1" manualBreakCount="1">
    <brk id="85" max="8" man="1"/>
  </rowBreaks>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9">
    <pageSetUpPr fitToPage="1"/>
  </sheetPr>
  <dimension ref="A1:S88"/>
  <sheetViews>
    <sheetView zoomScaleNormal="100" workbookViewId="0">
      <selection activeCell="B2" sqref="B2"/>
    </sheetView>
  </sheetViews>
  <sheetFormatPr defaultColWidth="9.109375" defaultRowHeight="13.2" x14ac:dyDescent="0.25"/>
  <cols>
    <col min="1" max="1" width="4" style="290" customWidth="1"/>
    <col min="2" max="2" width="53.44140625" style="10" customWidth="1"/>
    <col min="3" max="3" width="12.33203125" style="293" customWidth="1"/>
    <col min="4" max="6" width="33.88671875" style="10" customWidth="1"/>
    <col min="7" max="7" width="10.44140625" style="293" customWidth="1"/>
    <col min="8" max="8" width="53.33203125" style="10" bestFit="1" customWidth="1"/>
    <col min="9" max="16" width="9.109375" style="10"/>
    <col min="17" max="16384" width="9.109375" style="41"/>
  </cols>
  <sheetData>
    <row r="1" spans="1:7" ht="20.25" customHeight="1" thickBot="1" x14ac:dyDescent="0.3">
      <c r="B1" s="761" t="s">
        <v>267</v>
      </c>
      <c r="C1" s="762"/>
      <c r="D1" s="762"/>
      <c r="E1" s="762"/>
      <c r="F1" s="762"/>
      <c r="G1" s="763"/>
    </row>
    <row r="3" spans="1:7" x14ac:dyDescent="0.25">
      <c r="B3" s="28" t="s">
        <v>68</v>
      </c>
      <c r="G3" s="10"/>
    </row>
    <row r="4" spans="1:7" x14ac:dyDescent="0.25">
      <c r="B4" s="31" t="s">
        <v>398</v>
      </c>
      <c r="G4" s="10"/>
    </row>
    <row r="5" spans="1:7" s="10" customFormat="1" x14ac:dyDescent="0.25">
      <c r="A5" s="290"/>
      <c r="B5" s="294" t="s">
        <v>397</v>
      </c>
      <c r="C5" s="291"/>
      <c r="G5" s="293"/>
    </row>
    <row r="8" spans="1:7" x14ac:dyDescent="0.25">
      <c r="D8" s="295"/>
      <c r="E8" s="296">
        <f>+TITELBLAD!$F$17</f>
        <v>2025</v>
      </c>
      <c r="F8" s="297"/>
    </row>
    <row r="9" spans="1:7" x14ac:dyDescent="0.25">
      <c r="B9" s="7"/>
      <c r="D9" s="298"/>
      <c r="E9" s="299" t="str">
        <f>+TITELBLAD!$D$7</f>
        <v>DNB</v>
      </c>
      <c r="F9" s="300"/>
    </row>
    <row r="10" spans="1:7" x14ac:dyDescent="0.25">
      <c r="D10" s="301"/>
      <c r="E10" s="302" t="str">
        <f>+TITELBLAD!$D$10</f>
        <v>elektriciteit</v>
      </c>
      <c r="F10" s="303"/>
    </row>
    <row r="11" spans="1:7" x14ac:dyDescent="0.25">
      <c r="D11" s="304" t="s">
        <v>365</v>
      </c>
      <c r="E11" s="305" t="s">
        <v>366</v>
      </c>
      <c r="F11" s="306" t="s">
        <v>7</v>
      </c>
    </row>
    <row r="12" spans="1:7" ht="42.75" customHeight="1" x14ac:dyDescent="0.25">
      <c r="B12" s="375" t="s">
        <v>27</v>
      </c>
      <c r="C12" s="376" t="s">
        <v>252</v>
      </c>
      <c r="D12" s="2"/>
      <c r="E12" s="2"/>
      <c r="F12" s="2"/>
      <c r="G12" s="376" t="s">
        <v>55</v>
      </c>
    </row>
    <row r="13" spans="1:7" ht="24" customHeight="1" x14ac:dyDescent="0.25">
      <c r="B13" s="377" t="s">
        <v>251</v>
      </c>
      <c r="C13" s="378">
        <v>70</v>
      </c>
      <c r="D13" s="98">
        <v>0</v>
      </c>
      <c r="E13" s="98">
        <v>0</v>
      </c>
      <c r="F13" s="105">
        <f>D13+E13</f>
        <v>0</v>
      </c>
      <c r="G13" s="315" t="s">
        <v>3</v>
      </c>
    </row>
    <row r="14" spans="1:7" ht="24" customHeight="1" x14ac:dyDescent="0.25">
      <c r="B14" s="379" t="s">
        <v>142</v>
      </c>
      <c r="C14" s="380"/>
      <c r="D14" s="206">
        <v>0</v>
      </c>
      <c r="E14" s="206">
        <v>0</v>
      </c>
      <c r="F14" s="207">
        <f>D14+E14</f>
        <v>0</v>
      </c>
      <c r="G14" s="315"/>
    </row>
    <row r="15" spans="1:7" ht="24" customHeight="1" x14ac:dyDescent="0.25">
      <c r="B15" s="381" t="s">
        <v>58</v>
      </c>
      <c r="C15" s="380"/>
      <c r="D15" s="206">
        <v>0</v>
      </c>
      <c r="E15" s="206">
        <v>0</v>
      </c>
      <c r="F15" s="207">
        <f t="shared" ref="F15" si="0">D15+E15</f>
        <v>0</v>
      </c>
      <c r="G15" s="378"/>
    </row>
    <row r="16" spans="1:7" ht="24" customHeight="1" x14ac:dyDescent="0.25">
      <c r="B16" s="382" t="s">
        <v>69</v>
      </c>
      <c r="C16" s="383"/>
      <c r="D16" s="208">
        <f>+D13-D14-D15</f>
        <v>0</v>
      </c>
      <c r="E16" s="208">
        <f>+E13-E14-E15</f>
        <v>0</v>
      </c>
      <c r="F16" s="207">
        <f>D16+E16</f>
        <v>0</v>
      </c>
      <c r="G16" s="378"/>
    </row>
    <row r="17" spans="1:8" ht="35.1" customHeight="1" x14ac:dyDescent="0.25">
      <c r="B17" s="317" t="s">
        <v>254</v>
      </c>
      <c r="C17" s="378">
        <v>71</v>
      </c>
      <c r="D17" s="98">
        <v>0</v>
      </c>
      <c r="E17" s="98">
        <v>0</v>
      </c>
      <c r="F17" s="105">
        <f>D17+E17</f>
        <v>0</v>
      </c>
      <c r="G17" s="378" t="s">
        <v>3</v>
      </c>
      <c r="H17" s="384"/>
    </row>
    <row r="18" spans="1:8" ht="24" customHeight="1" x14ac:dyDescent="0.25">
      <c r="B18" s="377" t="s">
        <v>28</v>
      </c>
      <c r="C18" s="378">
        <v>72</v>
      </c>
      <c r="D18" s="98">
        <v>0</v>
      </c>
      <c r="E18" s="98">
        <v>0</v>
      </c>
      <c r="F18" s="105">
        <f t="shared" ref="F18:F23" si="1">D18+E18</f>
        <v>0</v>
      </c>
      <c r="G18" s="378" t="s">
        <v>3</v>
      </c>
      <c r="H18" s="384"/>
    </row>
    <row r="19" spans="1:8" ht="24" customHeight="1" x14ac:dyDescent="0.25">
      <c r="B19" s="377" t="s">
        <v>29</v>
      </c>
      <c r="C19" s="378">
        <v>74</v>
      </c>
      <c r="D19" s="98">
        <v>0</v>
      </c>
      <c r="E19" s="98">
        <v>0</v>
      </c>
      <c r="F19" s="105">
        <f t="shared" si="1"/>
        <v>0</v>
      </c>
      <c r="G19" s="378" t="s">
        <v>3</v>
      </c>
      <c r="H19" s="384"/>
    </row>
    <row r="20" spans="1:8" ht="24" customHeight="1" x14ac:dyDescent="0.25">
      <c r="B20" s="377" t="s">
        <v>74</v>
      </c>
      <c r="C20" s="378">
        <v>75</v>
      </c>
      <c r="D20" s="98">
        <v>0</v>
      </c>
      <c r="E20" s="98">
        <v>0</v>
      </c>
      <c r="F20" s="105">
        <f t="shared" si="1"/>
        <v>0</v>
      </c>
      <c r="G20" s="315" t="s">
        <v>3</v>
      </c>
      <c r="H20" s="384"/>
    </row>
    <row r="21" spans="1:8" ht="24" customHeight="1" x14ac:dyDescent="0.25">
      <c r="B21" s="377" t="s">
        <v>202</v>
      </c>
      <c r="C21" s="378">
        <v>76</v>
      </c>
      <c r="D21" s="98">
        <v>0</v>
      </c>
      <c r="E21" s="98">
        <v>0</v>
      </c>
      <c r="F21" s="105">
        <f t="shared" si="1"/>
        <v>0</v>
      </c>
      <c r="G21" s="378" t="s">
        <v>3</v>
      </c>
      <c r="H21" s="384"/>
    </row>
    <row r="22" spans="1:8" ht="30.9" customHeight="1" x14ac:dyDescent="0.25">
      <c r="B22" s="385" t="s">
        <v>145</v>
      </c>
      <c r="C22" s="378">
        <v>77</v>
      </c>
      <c r="D22" s="98">
        <v>0</v>
      </c>
      <c r="E22" s="98">
        <v>0</v>
      </c>
      <c r="F22" s="105">
        <f t="shared" si="1"/>
        <v>0</v>
      </c>
      <c r="G22" s="378" t="s">
        <v>3</v>
      </c>
      <c r="H22" s="384"/>
    </row>
    <row r="23" spans="1:8" ht="32.4" customHeight="1" x14ac:dyDescent="0.25">
      <c r="B23" s="385" t="s">
        <v>255</v>
      </c>
      <c r="C23" s="378">
        <v>78</v>
      </c>
      <c r="D23" s="98">
        <v>0</v>
      </c>
      <c r="E23" s="98">
        <v>0</v>
      </c>
      <c r="F23" s="105">
        <f t="shared" si="1"/>
        <v>0</v>
      </c>
      <c r="G23" s="378" t="s">
        <v>3</v>
      </c>
      <c r="H23" s="384"/>
    </row>
    <row r="24" spans="1:8" x14ac:dyDescent="0.25">
      <c r="D24" s="386"/>
      <c r="E24" s="386"/>
      <c r="F24" s="386"/>
    </row>
    <row r="25" spans="1:8" ht="23.1" customHeight="1" x14ac:dyDescent="0.25">
      <c r="B25" s="387" t="s">
        <v>144</v>
      </c>
      <c r="C25" s="388"/>
      <c r="D25" s="389">
        <f>SUM(D13,D17:D23)</f>
        <v>0</v>
      </c>
      <c r="E25" s="389">
        <f>SUM(E13,E17:E23)</f>
        <v>0</v>
      </c>
      <c r="F25" s="390">
        <f>SUM(D25:E25)</f>
        <v>0</v>
      </c>
    </row>
    <row r="26" spans="1:8" ht="23.1" customHeight="1" x14ac:dyDescent="0.25">
      <c r="B26" s="202" t="s">
        <v>118</v>
      </c>
      <c r="D26" s="391">
        <f>IF($E$10="elektriciteit",D25-SUM('T2'!G13:I13,'T2'!G23:I23,'T2'!G29:I29,'T2'!G32:I32),IF('T9'!$E$10="aardgas",D25-SUM('T2'!K13:M13,'T2'!K23:M23,'T2'!K29:M29,'T2'!K32:M32),"FALSE"))</f>
        <v>0</v>
      </c>
      <c r="E26" s="392"/>
      <c r="F26" s="391"/>
    </row>
    <row r="28" spans="1:8" x14ac:dyDescent="0.25">
      <c r="B28" s="330" t="s">
        <v>150</v>
      </c>
      <c r="D28" s="331" t="s">
        <v>365</v>
      </c>
      <c r="E28" s="331" t="s">
        <v>366</v>
      </c>
      <c r="F28" s="332" t="s">
        <v>7</v>
      </c>
    </row>
    <row r="29" spans="1:8" x14ac:dyDescent="0.25">
      <c r="C29" s="329"/>
    </row>
    <row r="30" spans="1:8" ht="20.100000000000001" customHeight="1" x14ac:dyDescent="0.25">
      <c r="A30" s="290">
        <f>A23+1</f>
        <v>1</v>
      </c>
      <c r="B30" s="354" t="s">
        <v>146</v>
      </c>
      <c r="C30" s="113"/>
      <c r="D30" s="105">
        <f>+D14</f>
        <v>0</v>
      </c>
      <c r="E30" s="105">
        <f>+E14</f>
        <v>0</v>
      </c>
      <c r="F30" s="105">
        <f>D30+E30</f>
        <v>0</v>
      </c>
      <c r="G30" s="106" t="s">
        <v>5</v>
      </c>
    </row>
    <row r="31" spans="1:8" x14ac:dyDescent="0.25">
      <c r="G31" s="10"/>
    </row>
    <row r="32" spans="1:8" ht="20.100000000000001" customHeight="1" x14ac:dyDescent="0.25">
      <c r="A32" s="290">
        <f>+A30+1</f>
        <v>2</v>
      </c>
      <c r="B32" s="354" t="s">
        <v>74</v>
      </c>
      <c r="C32" s="378">
        <v>75</v>
      </c>
      <c r="D32" s="105">
        <f>+D20</f>
        <v>0</v>
      </c>
      <c r="E32" s="105">
        <f>+E20</f>
        <v>0</v>
      </c>
      <c r="F32" s="105">
        <f t="shared" ref="F32:F77" si="2">D32+E32</f>
        <v>0</v>
      </c>
      <c r="G32" s="106" t="s">
        <v>5</v>
      </c>
    </row>
    <row r="33" spans="1:19" x14ac:dyDescent="0.25">
      <c r="B33" s="342"/>
      <c r="C33" s="104"/>
      <c r="D33" s="99"/>
      <c r="E33" s="99"/>
      <c r="F33" s="99"/>
      <c r="G33" s="99"/>
    </row>
    <row r="34" spans="1:19" ht="20.100000000000001" customHeight="1" x14ac:dyDescent="0.25">
      <c r="A34" s="290">
        <f>+A32+1</f>
        <v>3</v>
      </c>
      <c r="B34" s="354" t="s">
        <v>181</v>
      </c>
      <c r="C34" s="310"/>
      <c r="D34" s="98">
        <v>0</v>
      </c>
      <c r="E34" s="98">
        <v>0</v>
      </c>
      <c r="F34" s="105">
        <f t="shared" si="2"/>
        <v>0</v>
      </c>
      <c r="G34" s="106" t="s">
        <v>3</v>
      </c>
      <c r="H34" s="31"/>
      <c r="I34" s="53"/>
    </row>
    <row r="35" spans="1:19" x14ac:dyDescent="0.25">
      <c r="B35" s="342"/>
      <c r="C35" s="322"/>
      <c r="D35" s="99"/>
      <c r="E35" s="99"/>
      <c r="F35" s="99"/>
      <c r="G35" s="99"/>
    </row>
    <row r="36" spans="1:19" ht="30" customHeight="1" x14ac:dyDescent="0.25">
      <c r="A36" s="290">
        <f>+A34+1</f>
        <v>4</v>
      </c>
      <c r="B36" s="358" t="s">
        <v>258</v>
      </c>
      <c r="C36" s="378">
        <v>760</v>
      </c>
      <c r="D36" s="98">
        <v>0</v>
      </c>
      <c r="E36" s="98">
        <v>0</v>
      </c>
      <c r="F36" s="105">
        <f t="shared" si="2"/>
        <v>0</v>
      </c>
      <c r="G36" s="106" t="s">
        <v>5</v>
      </c>
      <c r="I36" s="759"/>
      <c r="J36" s="759"/>
      <c r="K36" s="759"/>
      <c r="L36" s="759"/>
      <c r="M36" s="759"/>
      <c r="N36" s="759"/>
      <c r="O36" s="759"/>
      <c r="P36" s="759"/>
      <c r="Q36" s="759"/>
      <c r="R36" s="759"/>
      <c r="S36" s="759"/>
    </row>
    <row r="37" spans="1:19" x14ac:dyDescent="0.25">
      <c r="B37" s="342"/>
      <c r="C37" s="322"/>
      <c r="D37" s="99"/>
      <c r="E37" s="99"/>
      <c r="F37" s="99"/>
      <c r="G37" s="99"/>
    </row>
    <row r="38" spans="1:19" ht="36.75" customHeight="1" x14ac:dyDescent="0.25">
      <c r="A38" s="290">
        <f>+A36+1</f>
        <v>5</v>
      </c>
      <c r="B38" s="393" t="s">
        <v>76</v>
      </c>
      <c r="C38" s="378">
        <v>761</v>
      </c>
      <c r="D38" s="98">
        <v>0</v>
      </c>
      <c r="E38" s="98">
        <v>0</v>
      </c>
      <c r="F38" s="105">
        <f t="shared" si="2"/>
        <v>0</v>
      </c>
      <c r="G38" s="106" t="s">
        <v>5</v>
      </c>
    </row>
    <row r="39" spans="1:19" x14ac:dyDescent="0.25">
      <c r="B39" s="342"/>
      <c r="C39" s="322"/>
      <c r="D39" s="99"/>
      <c r="E39" s="99"/>
      <c r="F39" s="99"/>
      <c r="G39" s="99"/>
    </row>
    <row r="40" spans="1:19" ht="35.25" customHeight="1" x14ac:dyDescent="0.25">
      <c r="A40" s="290">
        <f>A38+1</f>
        <v>6</v>
      </c>
      <c r="B40" s="393" t="s">
        <v>256</v>
      </c>
      <c r="C40" s="378">
        <v>762</v>
      </c>
      <c r="D40" s="98">
        <v>0</v>
      </c>
      <c r="E40" s="98">
        <v>0</v>
      </c>
      <c r="F40" s="105">
        <f t="shared" si="2"/>
        <v>0</v>
      </c>
      <c r="G40" s="106" t="s">
        <v>5</v>
      </c>
    </row>
    <row r="41" spans="1:19" x14ac:dyDescent="0.25">
      <c r="B41" s="342"/>
      <c r="C41" s="322"/>
      <c r="D41" s="99"/>
      <c r="E41" s="99"/>
      <c r="F41" s="99"/>
      <c r="G41" s="99"/>
      <c r="H41" s="99"/>
    </row>
    <row r="42" spans="1:19" ht="35.25" customHeight="1" x14ac:dyDescent="0.25">
      <c r="A42" s="290">
        <f>A40+1</f>
        <v>7</v>
      </c>
      <c r="B42" s="393" t="s">
        <v>315</v>
      </c>
      <c r="C42" s="378">
        <v>769</v>
      </c>
      <c r="D42" s="98">
        <v>0</v>
      </c>
      <c r="E42" s="98">
        <v>0</v>
      </c>
      <c r="F42" s="105">
        <f t="shared" si="2"/>
        <v>0</v>
      </c>
      <c r="G42" s="106" t="s">
        <v>5</v>
      </c>
    </row>
    <row r="43" spans="1:19" x14ac:dyDescent="0.25">
      <c r="B43" s="41"/>
      <c r="G43" s="10"/>
    </row>
    <row r="44" spans="1:19" ht="30.75" customHeight="1" x14ac:dyDescent="0.25">
      <c r="A44" s="290">
        <f>+A42+1</f>
        <v>8</v>
      </c>
      <c r="B44" s="385" t="s">
        <v>145</v>
      </c>
      <c r="C44" s="378">
        <v>77</v>
      </c>
      <c r="D44" s="105">
        <f>+D22</f>
        <v>0</v>
      </c>
      <c r="E44" s="105">
        <f>+E22</f>
        <v>0</v>
      </c>
      <c r="F44" s="105">
        <f t="shared" si="2"/>
        <v>0</v>
      </c>
      <c r="G44" s="106" t="s">
        <v>5</v>
      </c>
    </row>
    <row r="45" spans="1:19" x14ac:dyDescent="0.25">
      <c r="G45" s="10"/>
    </row>
    <row r="46" spans="1:19" ht="30" customHeight="1" x14ac:dyDescent="0.25">
      <c r="A46" s="290">
        <f>+A44+1</f>
        <v>9</v>
      </c>
      <c r="B46" s="385" t="s">
        <v>255</v>
      </c>
      <c r="C46" s="378">
        <v>78</v>
      </c>
      <c r="D46" s="105">
        <f>+D23</f>
        <v>0</v>
      </c>
      <c r="E46" s="105">
        <f>+E23</f>
        <v>0</v>
      </c>
      <c r="F46" s="105">
        <f t="shared" si="2"/>
        <v>0</v>
      </c>
      <c r="G46" s="106" t="s">
        <v>5</v>
      </c>
    </row>
    <row r="47" spans="1:19" x14ac:dyDescent="0.25">
      <c r="B47" s="342"/>
      <c r="C47" s="104"/>
      <c r="D47" s="99"/>
      <c r="E47" s="99"/>
      <c r="F47" s="99"/>
      <c r="G47" s="99"/>
    </row>
    <row r="48" spans="1:19" ht="35.1" customHeight="1" x14ac:dyDescent="0.25">
      <c r="A48" s="290">
        <f>+A46+1</f>
        <v>10</v>
      </c>
      <c r="B48" s="354" t="s">
        <v>257</v>
      </c>
      <c r="C48" s="310"/>
      <c r="D48" s="98">
        <v>0</v>
      </c>
      <c r="E48" s="98">
        <v>0</v>
      </c>
      <c r="F48" s="105">
        <f t="shared" si="2"/>
        <v>0</v>
      </c>
      <c r="G48" s="106" t="s">
        <v>3</v>
      </c>
      <c r="H48" s="31"/>
      <c r="I48" s="53"/>
    </row>
    <row r="49" spans="1:8" x14ac:dyDescent="0.25">
      <c r="G49" s="10"/>
      <c r="H49" s="31"/>
    </row>
    <row r="50" spans="1:8" s="10" customFormat="1" ht="35.25" customHeight="1" x14ac:dyDescent="0.25">
      <c r="A50" s="333">
        <f>A48+1</f>
        <v>11</v>
      </c>
      <c r="B50" s="345" t="s">
        <v>405</v>
      </c>
      <c r="C50" s="310"/>
      <c r="D50" s="98">
        <v>0</v>
      </c>
      <c r="E50" s="98">
        <v>0</v>
      </c>
      <c r="F50" s="337">
        <f>D50+E50</f>
        <v>0</v>
      </c>
      <c r="G50" s="102" t="s">
        <v>5</v>
      </c>
      <c r="H50" s="31"/>
    </row>
    <row r="51" spans="1:8" s="10" customFormat="1" ht="35.25" customHeight="1" x14ac:dyDescent="0.25">
      <c r="A51" s="333"/>
      <c r="B51" s="346" t="s">
        <v>388</v>
      </c>
      <c r="C51" s="318"/>
      <c r="D51" s="206">
        <v>0</v>
      </c>
      <c r="E51" s="206">
        <v>0</v>
      </c>
      <c r="F51" s="208">
        <f>D51+E51</f>
        <v>0</v>
      </c>
      <c r="G51" s="31"/>
      <c r="H51" s="31"/>
    </row>
    <row r="52" spans="1:8" s="10" customFormat="1" ht="35.25" customHeight="1" x14ac:dyDescent="0.25">
      <c r="A52" s="333"/>
      <c r="B52" s="345" t="s">
        <v>406</v>
      </c>
      <c r="C52" s="318"/>
      <c r="D52" s="220">
        <v>0</v>
      </c>
      <c r="E52" s="220">
        <v>0</v>
      </c>
      <c r="F52" s="337">
        <f>D52+E52</f>
        <v>0</v>
      </c>
      <c r="G52" s="102" t="s">
        <v>3</v>
      </c>
      <c r="H52" s="31"/>
    </row>
    <row r="53" spans="1:8" x14ac:dyDescent="0.25">
      <c r="G53" s="10"/>
    </row>
    <row r="54" spans="1:8" ht="59.25" customHeight="1" x14ac:dyDescent="0.25">
      <c r="A54" s="290">
        <f>+A50+1</f>
        <v>12</v>
      </c>
      <c r="B54" s="345" t="s">
        <v>379</v>
      </c>
      <c r="C54" s="133"/>
      <c r="D54" s="105">
        <f>SUM(D55:D58)</f>
        <v>0</v>
      </c>
      <c r="E54" s="105">
        <f>SUM(E55:E58)</f>
        <v>0</v>
      </c>
      <c r="F54" s="105">
        <f t="shared" si="2"/>
        <v>0</v>
      </c>
      <c r="G54" s="106" t="s">
        <v>5</v>
      </c>
      <c r="H54" s="352"/>
    </row>
    <row r="55" spans="1:8" ht="37.5" customHeight="1" x14ac:dyDescent="0.25">
      <c r="B55" s="394" t="s">
        <v>259</v>
      </c>
      <c r="C55" s="310"/>
      <c r="D55" s="206">
        <v>0</v>
      </c>
      <c r="E55" s="206">
        <v>0</v>
      </c>
      <c r="F55" s="207">
        <f t="shared" si="2"/>
        <v>0</v>
      </c>
      <c r="G55" s="10"/>
    </row>
    <row r="56" spans="1:8" ht="46.5" customHeight="1" x14ac:dyDescent="0.25">
      <c r="B56" s="346" t="s">
        <v>260</v>
      </c>
      <c r="C56" s="310"/>
      <c r="D56" s="206">
        <v>0</v>
      </c>
      <c r="E56" s="206">
        <v>0</v>
      </c>
      <c r="F56" s="207">
        <f t="shared" si="2"/>
        <v>0</v>
      </c>
      <c r="G56" s="10"/>
    </row>
    <row r="57" spans="1:8" ht="42" customHeight="1" x14ac:dyDescent="0.25">
      <c r="B57" s="346" t="s">
        <v>261</v>
      </c>
      <c r="C57" s="310"/>
      <c r="D57" s="206">
        <v>0</v>
      </c>
      <c r="E57" s="206">
        <v>0</v>
      </c>
      <c r="F57" s="207">
        <f t="shared" si="2"/>
        <v>0</v>
      </c>
      <c r="G57" s="10"/>
    </row>
    <row r="58" spans="1:8" ht="86.4" customHeight="1" x14ac:dyDescent="0.25">
      <c r="B58" s="346" t="s">
        <v>331</v>
      </c>
      <c r="C58" s="310"/>
      <c r="D58" s="209">
        <v>0</v>
      </c>
      <c r="E58" s="209">
        <v>0</v>
      </c>
      <c r="F58" s="207">
        <f t="shared" si="2"/>
        <v>0</v>
      </c>
      <c r="G58" s="10"/>
      <c r="H58" s="352"/>
    </row>
    <row r="59" spans="1:8" x14ac:dyDescent="0.25">
      <c r="B59" s="395"/>
      <c r="G59" s="10"/>
    </row>
    <row r="60" spans="1:8" ht="21.9" customHeight="1" x14ac:dyDescent="0.25">
      <c r="A60" s="290">
        <f>+A54+1</f>
        <v>13</v>
      </c>
      <c r="B60" s="358" t="s">
        <v>59</v>
      </c>
      <c r="C60" s="378"/>
      <c r="D60" s="134">
        <f>SUM(D61:D62)</f>
        <v>0</v>
      </c>
      <c r="E60" s="134">
        <f>SUM(E61:E62)</f>
        <v>0</v>
      </c>
      <c r="F60" s="105">
        <f t="shared" si="2"/>
        <v>0</v>
      </c>
      <c r="G60" s="106" t="s">
        <v>5</v>
      </c>
    </row>
    <row r="61" spans="1:8" ht="21.9" customHeight="1" x14ac:dyDescent="0.25">
      <c r="B61" s="394" t="s">
        <v>262</v>
      </c>
      <c r="C61" s="310"/>
      <c r="D61" s="206">
        <v>0</v>
      </c>
      <c r="E61" s="206">
        <v>0</v>
      </c>
      <c r="F61" s="207">
        <f t="shared" si="2"/>
        <v>0</v>
      </c>
      <c r="G61" s="10"/>
    </row>
    <row r="62" spans="1:8" ht="21.9" customHeight="1" x14ac:dyDescent="0.25">
      <c r="B62" s="394" t="s">
        <v>263</v>
      </c>
      <c r="C62" s="310"/>
      <c r="D62" s="206">
        <v>0</v>
      </c>
      <c r="E62" s="206">
        <v>0</v>
      </c>
      <c r="F62" s="207">
        <f t="shared" si="2"/>
        <v>0</v>
      </c>
      <c r="G62" s="10"/>
    </row>
    <row r="63" spans="1:8" ht="21.9" customHeight="1" x14ac:dyDescent="0.25">
      <c r="B63" s="396" t="s">
        <v>60</v>
      </c>
      <c r="C63" s="378"/>
      <c r="D63" s="134">
        <f>SUM(D64:D65)</f>
        <v>0</v>
      </c>
      <c r="E63" s="134">
        <f>SUM(E64:E65)</f>
        <v>0</v>
      </c>
      <c r="F63" s="105">
        <f t="shared" si="2"/>
        <v>0</v>
      </c>
      <c r="G63" s="106" t="s">
        <v>5</v>
      </c>
    </row>
    <row r="64" spans="1:8" ht="21.9" customHeight="1" x14ac:dyDescent="0.25">
      <c r="B64" s="394" t="s">
        <v>262</v>
      </c>
      <c r="C64" s="310"/>
      <c r="D64" s="206">
        <v>0</v>
      </c>
      <c r="E64" s="206">
        <v>0</v>
      </c>
      <c r="F64" s="207">
        <f t="shared" si="2"/>
        <v>0</v>
      </c>
      <c r="G64" s="10"/>
    </row>
    <row r="65" spans="1:19" ht="21.9" customHeight="1" x14ac:dyDescent="0.25">
      <c r="B65" s="394" t="s">
        <v>263</v>
      </c>
      <c r="C65" s="310"/>
      <c r="D65" s="206">
        <v>0</v>
      </c>
      <c r="E65" s="206">
        <v>0</v>
      </c>
      <c r="F65" s="207">
        <f t="shared" si="2"/>
        <v>0</v>
      </c>
      <c r="G65" s="10"/>
    </row>
    <row r="66" spans="1:19" x14ac:dyDescent="0.25">
      <c r="B66" s="336"/>
      <c r="C66" s="104"/>
      <c r="D66" s="99"/>
      <c r="E66" s="99"/>
      <c r="F66" s="99"/>
      <c r="G66" s="99"/>
    </row>
    <row r="67" spans="1:19" ht="57" customHeight="1" x14ac:dyDescent="0.25">
      <c r="A67" s="290">
        <f>A60+1</f>
        <v>14</v>
      </c>
      <c r="B67" s="354" t="s">
        <v>264</v>
      </c>
      <c r="C67" s="113"/>
      <c r="D67" s="134">
        <f>SUM(D68:D69)</f>
        <v>0</v>
      </c>
      <c r="E67" s="134">
        <f>SUM(E68:E69)</f>
        <v>0</v>
      </c>
      <c r="F67" s="105">
        <f t="shared" si="2"/>
        <v>0</v>
      </c>
      <c r="G67" s="106" t="s">
        <v>5</v>
      </c>
    </row>
    <row r="68" spans="1:19" ht="20.399999999999999" customHeight="1" x14ac:dyDescent="0.25">
      <c r="B68" s="394" t="s">
        <v>242</v>
      </c>
      <c r="C68" s="310"/>
      <c r="D68" s="206">
        <v>0</v>
      </c>
      <c r="E68" s="206">
        <v>0</v>
      </c>
      <c r="F68" s="207">
        <f t="shared" si="2"/>
        <v>0</v>
      </c>
      <c r="G68" s="99"/>
    </row>
    <row r="69" spans="1:19" ht="20.399999999999999" customHeight="1" x14ac:dyDescent="0.25">
      <c r="B69" s="346" t="s">
        <v>243</v>
      </c>
      <c r="C69" s="310"/>
      <c r="D69" s="206">
        <v>0</v>
      </c>
      <c r="E69" s="206">
        <v>0</v>
      </c>
      <c r="F69" s="207">
        <f t="shared" si="2"/>
        <v>0</v>
      </c>
      <c r="G69" s="99"/>
    </row>
    <row r="70" spans="1:19" x14ac:dyDescent="0.25">
      <c r="B70" s="336"/>
      <c r="C70" s="104"/>
      <c r="D70" s="99"/>
      <c r="E70" s="99"/>
      <c r="F70" s="99"/>
      <c r="G70" s="99"/>
    </row>
    <row r="71" spans="1:19" ht="48.75" customHeight="1" x14ac:dyDescent="0.25">
      <c r="A71" s="290">
        <f>+A67+1</f>
        <v>15</v>
      </c>
      <c r="B71" s="354" t="s">
        <v>265</v>
      </c>
      <c r="C71" s="113"/>
      <c r="D71" s="134">
        <f>SUM(D72:D73)</f>
        <v>0</v>
      </c>
      <c r="E71" s="134">
        <f>SUM(E72:E73)</f>
        <v>0</v>
      </c>
      <c r="F71" s="105">
        <f t="shared" si="2"/>
        <v>0</v>
      </c>
      <c r="G71" s="106" t="s">
        <v>5</v>
      </c>
    </row>
    <row r="72" spans="1:19" ht="20.399999999999999" customHeight="1" x14ac:dyDescent="0.25">
      <c r="B72" s="394" t="s">
        <v>245</v>
      </c>
      <c r="C72" s="310"/>
      <c r="D72" s="206">
        <v>0</v>
      </c>
      <c r="E72" s="206">
        <v>0</v>
      </c>
      <c r="F72" s="207">
        <f t="shared" si="2"/>
        <v>0</v>
      </c>
      <c r="G72" s="99"/>
      <c r="H72" s="31"/>
      <c r="I72" s="53"/>
    </row>
    <row r="73" spans="1:19" ht="30.6" customHeight="1" x14ac:dyDescent="0.25">
      <c r="B73" s="346" t="s">
        <v>246</v>
      </c>
      <c r="C73" s="310"/>
      <c r="D73" s="206">
        <v>0</v>
      </c>
      <c r="E73" s="206">
        <v>0</v>
      </c>
      <c r="F73" s="207">
        <f>D73+E73</f>
        <v>0</v>
      </c>
      <c r="G73" s="99"/>
      <c r="H73" s="31"/>
    </row>
    <row r="74" spans="1:19" x14ac:dyDescent="0.25">
      <c r="B74" s="342"/>
      <c r="C74" s="322"/>
      <c r="D74" s="99"/>
      <c r="E74" s="99"/>
      <c r="F74" s="99"/>
      <c r="G74" s="99"/>
    </row>
    <row r="75" spans="1:19" s="10" customFormat="1" ht="44.1" customHeight="1" x14ac:dyDescent="0.25">
      <c r="A75" s="290">
        <f>A71+1</f>
        <v>16</v>
      </c>
      <c r="B75" s="334" t="s">
        <v>442</v>
      </c>
      <c r="C75" s="310"/>
      <c r="D75" s="178">
        <v>0</v>
      </c>
      <c r="E75" s="178">
        <v>0</v>
      </c>
      <c r="F75" s="337">
        <f>D75+E75</f>
        <v>0</v>
      </c>
      <c r="G75" s="106" t="s">
        <v>5</v>
      </c>
      <c r="H75" s="31"/>
      <c r="I75" s="290"/>
    </row>
    <row r="76" spans="1:19" s="10" customFormat="1" ht="12.75" customHeight="1" x14ac:dyDescent="0.25">
      <c r="A76" s="290"/>
      <c r="B76" s="336"/>
      <c r="C76" s="103"/>
      <c r="D76" s="99"/>
      <c r="E76" s="99"/>
      <c r="F76" s="99"/>
      <c r="G76" s="104"/>
    </row>
    <row r="77" spans="1:19" s="398" customFormat="1" ht="30" customHeight="1" x14ac:dyDescent="0.25">
      <c r="A77" s="290">
        <f>A75+1</f>
        <v>17</v>
      </c>
      <c r="B77" s="334" t="s">
        <v>443</v>
      </c>
      <c r="C77" s="310"/>
      <c r="D77" s="136">
        <v>0</v>
      </c>
      <c r="E77" s="136">
        <v>0</v>
      </c>
      <c r="F77" s="105">
        <f t="shared" si="2"/>
        <v>0</v>
      </c>
      <c r="G77" s="137" t="s">
        <v>5</v>
      </c>
      <c r="H77" s="397"/>
      <c r="I77" s="760"/>
      <c r="J77" s="760"/>
      <c r="K77" s="760"/>
      <c r="L77" s="760"/>
      <c r="M77" s="760"/>
      <c r="N77" s="760"/>
      <c r="O77" s="760"/>
      <c r="P77" s="760"/>
      <c r="Q77" s="760"/>
      <c r="R77" s="760"/>
      <c r="S77" s="760"/>
    </row>
    <row r="78" spans="1:19" x14ac:dyDescent="0.25">
      <c r="B78" s="342"/>
      <c r="C78" s="322"/>
      <c r="D78" s="112"/>
      <c r="E78" s="112"/>
      <c r="F78" s="112"/>
      <c r="G78" s="112"/>
    </row>
    <row r="79" spans="1:19" s="10" customFormat="1" ht="20.399999999999999" customHeight="1" x14ac:dyDescent="0.25">
      <c r="A79" s="290"/>
      <c r="B79" s="295"/>
      <c r="C79" s="361"/>
      <c r="D79" s="295"/>
      <c r="E79" s="362" t="str">
        <f>+$E$9</f>
        <v>DNB</v>
      </c>
      <c r="F79" s="363"/>
      <c r="G79" s="293"/>
    </row>
    <row r="80" spans="1:19" s="10" customFormat="1" ht="20.399999999999999" customHeight="1" x14ac:dyDescent="0.25">
      <c r="A80" s="290"/>
      <c r="B80" s="298"/>
      <c r="C80" s="291"/>
      <c r="D80" s="298"/>
      <c r="E80" s="299" t="str">
        <f>+$E$10</f>
        <v>elektriciteit</v>
      </c>
      <c r="F80" s="300"/>
      <c r="G80" s="293"/>
    </row>
    <row r="81" spans="1:8" s="10" customFormat="1" ht="20.399999999999999" customHeight="1" x14ac:dyDescent="0.25">
      <c r="A81" s="290"/>
      <c r="B81" s="298"/>
      <c r="C81" s="291"/>
      <c r="D81" s="301"/>
      <c r="E81" s="302" t="str">
        <f>+$E$11</f>
        <v>beheersfactuur</v>
      </c>
      <c r="F81" s="303"/>
      <c r="G81" s="293"/>
    </row>
    <row r="82" spans="1:8" s="10" customFormat="1" ht="20.399999999999999" customHeight="1" x14ac:dyDescent="0.25">
      <c r="A82" s="290"/>
      <c r="B82" s="298"/>
      <c r="C82" s="291"/>
      <c r="D82" s="305" t="s">
        <v>365</v>
      </c>
      <c r="E82" s="305" t="s">
        <v>366</v>
      </c>
      <c r="F82" s="306" t="s">
        <v>7</v>
      </c>
      <c r="G82" s="293"/>
    </row>
    <row r="83" spans="1:8" s="10" customFormat="1" ht="20.399999999999999" customHeight="1" x14ac:dyDescent="0.25">
      <c r="A83" s="364"/>
      <c r="B83" s="365" t="s">
        <v>31</v>
      </c>
      <c r="C83" s="366"/>
      <c r="D83" s="195">
        <f>IF($E$10="elektriciteit",-SUM(D30,D32,D36,D38,D40,D42,D44,D46,D50,D54,D60,D63,D67,D71,D75)+SUM(D34,D48,D52),IF($E$10="aardgas",-SUM(D30,D32,D36,D38,D40,D42,D44,D46,D50,D77)+SUM(D34,D48,D52),"FOUT"))</f>
        <v>0</v>
      </c>
      <c r="E83" s="195">
        <f t="shared" ref="E83" si="3">IF($E$10="elektriciteit",-SUM(E30,E32,E36,E38,E40,E42,E44,E46,E50,E54,E60,E63,E67,E71,E75)+SUM(E34,E48,E52),IF($E$10="aardgas",-SUM(E30,E32,E36,E38,E40,E42,E44,E46,E50,E77)+SUM(E34,E48,E52),"FOUT"))</f>
        <v>0</v>
      </c>
      <c r="F83" s="210">
        <f>IF($E$10="elektriciteit",-SUM(F30,F32,F36,F38,F40,F42,F44,F46,F50,F54,F60,F63,F67,F71,F75)+SUM(F34,F48,F52),IF($E$10="aardgas",-SUM(F30,F32,F36,F38,F40,F42,F44,F46,F50,F77)+SUM(F34,F48,F52),"FOUT"))</f>
        <v>0</v>
      </c>
      <c r="G83" s="293"/>
      <c r="H83" s="352"/>
    </row>
    <row r="84" spans="1:8" s="10" customFormat="1" ht="19.5" customHeight="1" x14ac:dyDescent="0.25">
      <c r="A84" s="364"/>
      <c r="B84" s="367" t="s">
        <v>32</v>
      </c>
      <c r="C84" s="368"/>
      <c r="D84" s="196">
        <f>+D25+D83</f>
        <v>0</v>
      </c>
      <c r="E84" s="196">
        <f t="shared" ref="E84:F84" si="4">+E25+E83</f>
        <v>0</v>
      </c>
      <c r="F84" s="211">
        <f t="shared" si="4"/>
        <v>0</v>
      </c>
      <c r="G84" s="293"/>
    </row>
    <row r="85" spans="1:8" s="10" customFormat="1" ht="19.5" customHeight="1" x14ac:dyDescent="0.25">
      <c r="A85" s="364"/>
      <c r="B85" s="399"/>
      <c r="C85" s="399"/>
      <c r="D85" s="399"/>
      <c r="E85" s="399"/>
      <c r="F85" s="399"/>
      <c r="G85" s="399"/>
      <c r="H85" s="399"/>
    </row>
    <row r="86" spans="1:8" x14ac:dyDescent="0.25">
      <c r="G86" s="10"/>
    </row>
    <row r="87" spans="1:8" x14ac:dyDescent="0.25">
      <c r="G87" s="10"/>
    </row>
    <row r="88" spans="1:8" x14ac:dyDescent="0.25">
      <c r="G88" s="10"/>
    </row>
  </sheetData>
  <sheetProtection algorithmName="SHA-512" hashValue="m4+D6QZ57pmLatUvK10uwph1sHGGRjzQSVIEuoD5nZDaj1wPVfXnx68RaX8BbwUTX58SqcgFoijsymxCFepn9w==" saltValue="f6sWEgJj/27Cn1hyWKwagg==" spinCount="100000" sheet="1" objects="1" scenarios="1"/>
  <mergeCells count="3">
    <mergeCell ref="I36:S36"/>
    <mergeCell ref="I77:S77"/>
    <mergeCell ref="B1:G1"/>
  </mergeCells>
  <conditionalFormatting sqref="A54:G58 A60:G65 A67:G69 A71:G73 A75:G75">
    <cfRule type="expression" dxfId="3" priority="1">
      <formula>$E$10&lt;&gt;"elektriciteit"</formula>
    </cfRule>
  </conditionalFormatting>
  <conditionalFormatting sqref="A77:G77">
    <cfRule type="expression" dxfId="2" priority="5">
      <formula>$E$10&lt;&gt;"aardgas"</formula>
    </cfRule>
  </conditionalFormatting>
  <pageMargins left="0.74803149606299213" right="0.74803149606299213" top="0.98425196850393704" bottom="0.98425196850393704" header="0.51181102362204722" footer="0.51181102362204722"/>
  <pageSetup paperSize="8" scale="39" orientation="portrait" r:id="rId1"/>
  <headerFooter alignWithMargins="0"/>
  <ignoredErrors>
    <ignoredError sqref="F50:F52"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CA039-1BCC-430E-917A-92BF535BCE42}">
  <sheetPr published="0"/>
  <dimension ref="B1:N98"/>
  <sheetViews>
    <sheetView zoomScaleNormal="100" workbookViewId="0">
      <selection activeCell="B2" sqref="B2"/>
    </sheetView>
  </sheetViews>
  <sheetFormatPr defaultColWidth="8.6640625" defaultRowHeight="13.2" x14ac:dyDescent="0.25"/>
  <cols>
    <col min="1" max="1" width="2.33203125" style="10" customWidth="1"/>
    <col min="2" max="2" width="48" style="135" customWidth="1"/>
    <col min="3" max="8" width="23.109375" style="10" customWidth="1"/>
    <col min="9" max="9" width="5.88671875" style="10" customWidth="1"/>
    <col min="10" max="16384" width="8.6640625" style="10"/>
  </cols>
  <sheetData>
    <row r="1" spans="2:14" s="41" customFormat="1" ht="20.25" customHeight="1" thickBot="1" x14ac:dyDescent="0.3">
      <c r="B1" s="761" t="str">
        <f>"TABEL 10A: Overzicht gefactureerde volumes voor het jaar "&amp;TITELBLAD!F17&amp;" - ELEKTRICITEIT"</f>
        <v>TABEL 10A: Overzicht gefactureerde volumes voor het jaar 2025 - ELEKTRICITEIT</v>
      </c>
      <c r="C1" s="762"/>
      <c r="D1" s="762"/>
      <c r="E1" s="762"/>
      <c r="F1" s="762"/>
      <c r="G1" s="762"/>
      <c r="H1" s="762"/>
      <c r="I1" s="10"/>
    </row>
    <row r="2" spans="2:14" s="41" customFormat="1" ht="16.5" customHeight="1" x14ac:dyDescent="0.25">
      <c r="B2" s="6"/>
      <c r="C2" s="6"/>
      <c r="D2" s="6"/>
      <c r="E2" s="6"/>
      <c r="F2" s="6"/>
      <c r="G2" s="6"/>
      <c r="H2" s="6"/>
      <c r="I2" s="6"/>
      <c r="J2" s="6"/>
      <c r="K2" s="6"/>
      <c r="L2" s="6"/>
      <c r="M2" s="6"/>
      <c r="N2" s="6"/>
    </row>
    <row r="3" spans="2:14" s="41" customFormat="1" ht="16.5" customHeight="1" x14ac:dyDescent="0.25">
      <c r="B3" s="6"/>
      <c r="C3" s="6"/>
      <c r="D3" s="6"/>
      <c r="E3" s="6"/>
      <c r="F3" s="6"/>
      <c r="G3" s="6"/>
      <c r="H3" s="6"/>
      <c r="I3" s="6"/>
      <c r="J3" s="6"/>
      <c r="K3" s="6"/>
      <c r="L3" s="6"/>
      <c r="M3" s="6"/>
      <c r="N3" s="6"/>
    </row>
    <row r="4" spans="2:14" ht="19.5" customHeight="1" thickBot="1" x14ac:dyDescent="0.3">
      <c r="C4" s="135"/>
      <c r="D4" s="135"/>
      <c r="E4" s="135"/>
      <c r="F4" s="135"/>
      <c r="G4" s="135"/>
      <c r="H4" s="135"/>
      <c r="I4" s="135"/>
      <c r="J4" s="135"/>
      <c r="K4" s="135"/>
      <c r="L4" s="135"/>
      <c r="M4" s="135"/>
      <c r="N4" s="135"/>
    </row>
    <row r="5" spans="2:14" ht="48.6" customHeight="1" thickBot="1" x14ac:dyDescent="0.3">
      <c r="B5" s="223" t="s">
        <v>381</v>
      </c>
      <c r="C5" s="224" t="s">
        <v>432</v>
      </c>
      <c r="D5" s="225" t="s">
        <v>433</v>
      </c>
      <c r="E5" s="225" t="s">
        <v>434</v>
      </c>
      <c r="F5" s="225" t="s">
        <v>435</v>
      </c>
      <c r="G5" s="225" t="s">
        <v>436</v>
      </c>
      <c r="H5" s="226" t="s">
        <v>439</v>
      </c>
    </row>
    <row r="6" spans="2:14" ht="35.1" customHeight="1" x14ac:dyDescent="0.25">
      <c r="B6" s="227" t="s">
        <v>291</v>
      </c>
      <c r="C6" s="648">
        <v>0</v>
      </c>
      <c r="D6" s="649">
        <v>0</v>
      </c>
      <c r="E6" s="649">
        <v>0</v>
      </c>
      <c r="F6" s="649">
        <v>0</v>
      </c>
      <c r="G6" s="649">
        <v>0</v>
      </c>
      <c r="H6" s="650"/>
    </row>
    <row r="7" spans="2:14" ht="14.1" customHeight="1" x14ac:dyDescent="0.25">
      <c r="B7" s="228"/>
      <c r="C7" s="229"/>
      <c r="D7" s="230"/>
      <c r="E7" s="230"/>
      <c r="F7" s="230"/>
      <c r="G7" s="230"/>
      <c r="H7" s="231"/>
    </row>
    <row r="8" spans="2:14" ht="35.1" customHeight="1" x14ac:dyDescent="0.25">
      <c r="B8" s="232" t="s">
        <v>292</v>
      </c>
      <c r="C8" s="651">
        <v>0</v>
      </c>
      <c r="D8" s="652">
        <v>0</v>
      </c>
      <c r="E8" s="652">
        <v>0</v>
      </c>
      <c r="F8" s="652">
        <v>0</v>
      </c>
      <c r="G8" s="652">
        <v>0</v>
      </c>
      <c r="H8" s="654"/>
    </row>
    <row r="9" spans="2:14" ht="14.1" customHeight="1" x14ac:dyDescent="0.25">
      <c r="B9" s="233"/>
      <c r="C9" s="229"/>
      <c r="D9" s="230"/>
      <c r="E9" s="230"/>
      <c r="F9" s="230"/>
      <c r="G9" s="230"/>
      <c r="H9" s="231"/>
    </row>
    <row r="10" spans="2:14" ht="35.1" customHeight="1" x14ac:dyDescent="0.25">
      <c r="B10" s="232" t="s">
        <v>293</v>
      </c>
      <c r="C10" s="651">
        <v>0</v>
      </c>
      <c r="D10" s="652">
        <v>0</v>
      </c>
      <c r="E10" s="652">
        <v>0</v>
      </c>
      <c r="F10" s="652">
        <v>0</v>
      </c>
      <c r="G10" s="652">
        <v>0</v>
      </c>
      <c r="H10" s="654"/>
    </row>
    <row r="11" spans="2:14" ht="14.1" customHeight="1" x14ac:dyDescent="0.25">
      <c r="B11" s="233"/>
      <c r="C11" s="229"/>
      <c r="D11" s="230"/>
      <c r="E11" s="230"/>
      <c r="F11" s="230"/>
      <c r="G11" s="230"/>
      <c r="H11" s="231"/>
    </row>
    <row r="12" spans="2:14" ht="35.1" customHeight="1" x14ac:dyDescent="0.25">
      <c r="B12" s="232" t="s">
        <v>294</v>
      </c>
      <c r="C12" s="655"/>
      <c r="D12" s="653"/>
      <c r="E12" s="653"/>
      <c r="F12" s="653"/>
      <c r="G12" s="653"/>
      <c r="H12" s="656">
        <v>0</v>
      </c>
    </row>
    <row r="13" spans="2:14" ht="14.1" customHeight="1" x14ac:dyDescent="0.25">
      <c r="B13" s="233"/>
      <c r="C13" s="229"/>
      <c r="D13" s="230"/>
      <c r="E13" s="230"/>
      <c r="F13" s="230"/>
      <c r="G13" s="230"/>
      <c r="H13" s="231"/>
    </row>
    <row r="14" spans="2:14" ht="35.1" customHeight="1" x14ac:dyDescent="0.25">
      <c r="B14" s="232" t="s">
        <v>289</v>
      </c>
      <c r="C14" s="234">
        <f>+C16</f>
        <v>0</v>
      </c>
      <c r="D14" s="235">
        <f t="shared" ref="D14:F14" si="0">+D16</f>
        <v>0</v>
      </c>
      <c r="E14" s="235">
        <f t="shared" ref="E14" si="1">+E16</f>
        <v>0</v>
      </c>
      <c r="F14" s="235">
        <f t="shared" si="0"/>
        <v>0</v>
      </c>
      <c r="G14" s="235">
        <f>SUM(G16,G18)</f>
        <v>0</v>
      </c>
      <c r="H14" s="236">
        <f t="shared" ref="H14" si="2">SUM(H16,H18)</f>
        <v>0</v>
      </c>
    </row>
    <row r="15" spans="2:14" ht="6.9" customHeight="1" x14ac:dyDescent="0.25">
      <c r="B15" s="233"/>
      <c r="C15" s="229"/>
      <c r="D15" s="230"/>
      <c r="E15" s="230"/>
      <c r="F15" s="230"/>
      <c r="G15" s="230"/>
      <c r="H15" s="231"/>
    </row>
    <row r="16" spans="2:14" ht="21.6" customHeight="1" x14ac:dyDescent="0.25">
      <c r="B16" s="237" t="s">
        <v>273</v>
      </c>
      <c r="C16" s="657">
        <v>0</v>
      </c>
      <c r="D16" s="658">
        <v>0</v>
      </c>
      <c r="E16" s="658">
        <v>0</v>
      </c>
      <c r="F16" s="658">
        <v>0</v>
      </c>
      <c r="G16" s="658">
        <v>0</v>
      </c>
      <c r="H16" s="659">
        <v>0</v>
      </c>
    </row>
    <row r="17" spans="2:8" ht="6.9" customHeight="1" x14ac:dyDescent="0.25">
      <c r="B17" s="233"/>
      <c r="C17" s="238"/>
      <c r="D17" s="239"/>
      <c r="E17" s="239"/>
      <c r="F17" s="239"/>
      <c r="G17" s="239"/>
      <c r="H17" s="240"/>
    </row>
    <row r="18" spans="2:8" ht="21.6" customHeight="1" x14ac:dyDescent="0.25">
      <c r="B18" s="237" t="s">
        <v>272</v>
      </c>
      <c r="C18" s="660"/>
      <c r="D18" s="661"/>
      <c r="E18" s="661"/>
      <c r="F18" s="661"/>
      <c r="G18" s="658">
        <v>0</v>
      </c>
      <c r="H18" s="659">
        <v>0</v>
      </c>
    </row>
    <row r="19" spans="2:8" ht="6.9" customHeight="1" x14ac:dyDescent="0.25">
      <c r="B19" s="233"/>
      <c r="C19" s="229"/>
      <c r="D19" s="230"/>
      <c r="E19" s="230"/>
      <c r="F19" s="230"/>
      <c r="G19" s="230"/>
      <c r="H19" s="231"/>
    </row>
    <row r="20" spans="2:8" ht="35.1" customHeight="1" x14ac:dyDescent="0.25">
      <c r="B20" s="232" t="s">
        <v>299</v>
      </c>
      <c r="C20" s="651">
        <v>0</v>
      </c>
      <c r="D20" s="652">
        <v>0</v>
      </c>
      <c r="E20" s="652">
        <v>0</v>
      </c>
      <c r="F20" s="652">
        <v>0</v>
      </c>
      <c r="G20" s="652">
        <v>0</v>
      </c>
      <c r="H20" s="654"/>
    </row>
    <row r="21" spans="2:8" ht="14.1" customHeight="1" x14ac:dyDescent="0.25">
      <c r="B21" s="241"/>
      <c r="C21" s="242"/>
      <c r="D21" s="243"/>
      <c r="E21" s="243"/>
      <c r="F21" s="243"/>
      <c r="G21" s="243"/>
      <c r="H21" s="244"/>
    </row>
    <row r="22" spans="2:8" ht="35.1" customHeight="1" x14ac:dyDescent="0.25">
      <c r="B22" s="232" t="s">
        <v>300</v>
      </c>
      <c r="C22" s="651">
        <v>0</v>
      </c>
      <c r="D22" s="652">
        <v>0</v>
      </c>
      <c r="E22" s="652">
        <v>0</v>
      </c>
      <c r="F22" s="652">
        <v>0</v>
      </c>
      <c r="G22" s="652">
        <v>0</v>
      </c>
      <c r="H22" s="654"/>
    </row>
    <row r="23" spans="2:8" ht="14.1" customHeight="1" x14ac:dyDescent="0.25">
      <c r="B23" s="228"/>
      <c r="C23" s="245"/>
      <c r="D23" s="246"/>
      <c r="E23" s="246"/>
      <c r="F23" s="246"/>
      <c r="G23" s="246"/>
      <c r="H23" s="247"/>
    </row>
    <row r="24" spans="2:8" ht="35.1" customHeight="1" x14ac:dyDescent="0.25">
      <c r="B24" s="248" t="str">
        <f>"Aantal actieve toegangspunten afname per 31/12/"&amp;TITELBLAD!$F$17</f>
        <v>Aantal actieve toegangspunten afname per 31/12/2025</v>
      </c>
      <c r="C24" s="234">
        <f>+SUM(C26,C28,C30,C32,C34)</f>
        <v>0</v>
      </c>
      <c r="D24" s="235">
        <f t="shared" ref="D24:H24" si="3">+SUM(D26,D28,D30,D32,D34)</f>
        <v>0</v>
      </c>
      <c r="E24" s="235">
        <f t="shared" ref="E24" si="4">+SUM(E26,E28,E30,E32,E34)</f>
        <v>0</v>
      </c>
      <c r="F24" s="235">
        <f t="shared" si="3"/>
        <v>0</v>
      </c>
      <c r="G24" s="235">
        <f t="shared" si="3"/>
        <v>0</v>
      </c>
      <c r="H24" s="236">
        <f t="shared" si="3"/>
        <v>0</v>
      </c>
    </row>
    <row r="25" spans="2:8" ht="6.9" customHeight="1" x14ac:dyDescent="0.25">
      <c r="B25" s="228"/>
      <c r="C25" s="234"/>
      <c r="D25" s="235"/>
      <c r="E25" s="235"/>
      <c r="F25" s="235"/>
      <c r="G25" s="235"/>
      <c r="H25" s="236"/>
    </row>
    <row r="26" spans="2:8" ht="21.6" customHeight="1" x14ac:dyDescent="0.25">
      <c r="B26" s="237" t="s">
        <v>268</v>
      </c>
      <c r="C26" s="657">
        <v>0</v>
      </c>
      <c r="D26" s="658">
        <v>0</v>
      </c>
      <c r="E26" s="658">
        <v>0</v>
      </c>
      <c r="F26" s="658">
        <v>0</v>
      </c>
      <c r="G26" s="658">
        <v>0</v>
      </c>
      <c r="H26" s="659">
        <v>0</v>
      </c>
    </row>
    <row r="27" spans="2:8" ht="6.9" customHeight="1" x14ac:dyDescent="0.25">
      <c r="B27" s="249"/>
      <c r="C27" s="250"/>
      <c r="D27" s="251"/>
      <c r="E27" s="251"/>
      <c r="F27" s="251"/>
      <c r="G27" s="251"/>
      <c r="H27" s="252"/>
    </row>
    <row r="28" spans="2:8" ht="21.6" customHeight="1" x14ac:dyDescent="0.25">
      <c r="B28" s="237" t="s">
        <v>269</v>
      </c>
      <c r="C28" s="657">
        <v>0</v>
      </c>
      <c r="D28" s="658">
        <v>0</v>
      </c>
      <c r="E28" s="658">
        <v>0</v>
      </c>
      <c r="F28" s="658">
        <v>0</v>
      </c>
      <c r="G28" s="658">
        <v>0</v>
      </c>
      <c r="H28" s="659">
        <v>0</v>
      </c>
    </row>
    <row r="29" spans="2:8" ht="6.9" customHeight="1" x14ac:dyDescent="0.25">
      <c r="B29" s="249"/>
      <c r="C29" s="250"/>
      <c r="D29" s="251"/>
      <c r="E29" s="251"/>
      <c r="F29" s="251"/>
      <c r="G29" s="251"/>
      <c r="H29" s="252"/>
    </row>
    <row r="30" spans="2:8" ht="21.6" customHeight="1" x14ac:dyDescent="0.25">
      <c r="B30" s="237" t="s">
        <v>286</v>
      </c>
      <c r="C30" s="657">
        <v>0</v>
      </c>
      <c r="D30" s="658">
        <v>0</v>
      </c>
      <c r="E30" s="658">
        <v>0</v>
      </c>
      <c r="F30" s="658">
        <v>0</v>
      </c>
      <c r="G30" s="658">
        <v>0</v>
      </c>
      <c r="H30" s="659">
        <v>0</v>
      </c>
    </row>
    <row r="31" spans="2:8" ht="6.9" customHeight="1" x14ac:dyDescent="0.25">
      <c r="B31" s="253"/>
      <c r="C31" s="254"/>
      <c r="D31" s="255"/>
      <c r="E31" s="255"/>
      <c r="F31" s="255"/>
      <c r="G31" s="255"/>
      <c r="H31" s="256"/>
    </row>
    <row r="32" spans="2:8" ht="21.6" customHeight="1" x14ac:dyDescent="0.25">
      <c r="B32" s="237" t="s">
        <v>287</v>
      </c>
      <c r="C32" s="657">
        <v>0</v>
      </c>
      <c r="D32" s="658">
        <v>0</v>
      </c>
      <c r="E32" s="658">
        <v>0</v>
      </c>
      <c r="F32" s="658">
        <v>0</v>
      </c>
      <c r="G32" s="658">
        <v>0</v>
      </c>
      <c r="H32" s="659">
        <v>0</v>
      </c>
    </row>
    <row r="33" spans="2:8" ht="6.9" customHeight="1" x14ac:dyDescent="0.25">
      <c r="B33" s="253"/>
      <c r="C33" s="254"/>
      <c r="D33" s="255"/>
      <c r="E33" s="255"/>
      <c r="F33" s="255"/>
      <c r="G33" s="255"/>
      <c r="H33" s="256"/>
    </row>
    <row r="34" spans="2:8" ht="21.6" customHeight="1" x14ac:dyDescent="0.25">
      <c r="B34" s="257" t="s">
        <v>274</v>
      </c>
      <c r="C34" s="657">
        <v>0</v>
      </c>
      <c r="D34" s="658">
        <v>0</v>
      </c>
      <c r="E34" s="658">
        <v>0</v>
      </c>
      <c r="F34" s="658">
        <v>0</v>
      </c>
      <c r="G34" s="658">
        <v>0</v>
      </c>
      <c r="H34" s="659">
        <v>0</v>
      </c>
    </row>
    <row r="35" spans="2:8" ht="14.1" customHeight="1" x14ac:dyDescent="0.25">
      <c r="B35" s="228"/>
      <c r="C35" s="229"/>
      <c r="D35" s="230"/>
      <c r="E35" s="230"/>
      <c r="F35" s="230"/>
      <c r="G35" s="230"/>
      <c r="H35" s="231"/>
    </row>
    <row r="36" spans="2:8" ht="35.1" customHeight="1" x14ac:dyDescent="0.25">
      <c r="B36" s="248" t="str">
        <f>"Aantal aangemelde decentrale productie-installaties ≤ 10 kVA per 31/12/"&amp;TITELBLAD!$F$17</f>
        <v>Aantal aangemelde decentrale productie-installaties ≤ 10 kVA per 31/12/2025</v>
      </c>
      <c r="C36" s="258"/>
      <c r="D36" s="259"/>
      <c r="E36" s="259"/>
      <c r="F36" s="259"/>
      <c r="G36" s="235">
        <f>SUM(G38,G40)</f>
        <v>0</v>
      </c>
      <c r="H36" s="236">
        <f>SUM(H38,H40)</f>
        <v>0</v>
      </c>
    </row>
    <row r="37" spans="2:8" ht="6.9" customHeight="1" x14ac:dyDescent="0.25">
      <c r="B37" s="260"/>
      <c r="C37" s="261"/>
      <c r="D37" s="262"/>
      <c r="E37" s="262"/>
      <c r="F37" s="262"/>
      <c r="G37" s="262"/>
      <c r="H37" s="263"/>
    </row>
    <row r="38" spans="2:8" ht="21.6" customHeight="1" x14ac:dyDescent="0.25">
      <c r="B38" s="257" t="s">
        <v>270</v>
      </c>
      <c r="C38" s="662"/>
      <c r="D38" s="663"/>
      <c r="E38" s="663"/>
      <c r="F38" s="663"/>
      <c r="G38" s="658">
        <v>0</v>
      </c>
      <c r="H38" s="659">
        <v>0</v>
      </c>
    </row>
    <row r="39" spans="2:8" ht="6.9" customHeight="1" x14ac:dyDescent="0.25">
      <c r="B39" s="264"/>
      <c r="C39" s="265"/>
      <c r="D39" s="266"/>
      <c r="E39" s="266"/>
      <c r="F39" s="266"/>
      <c r="G39" s="251"/>
      <c r="H39" s="252"/>
    </row>
    <row r="40" spans="2:8" ht="21.6" customHeight="1" x14ac:dyDescent="0.25">
      <c r="B40" s="257" t="s">
        <v>271</v>
      </c>
      <c r="C40" s="662"/>
      <c r="D40" s="663"/>
      <c r="E40" s="663"/>
      <c r="F40" s="663"/>
      <c r="G40" s="658">
        <v>0</v>
      </c>
      <c r="H40" s="659">
        <v>0</v>
      </c>
    </row>
    <row r="41" spans="2:8" ht="14.1" customHeight="1" x14ac:dyDescent="0.25">
      <c r="B41" s="228"/>
      <c r="C41" s="245"/>
      <c r="D41" s="246"/>
      <c r="E41" s="246"/>
      <c r="F41" s="246"/>
      <c r="G41" s="246"/>
      <c r="H41" s="247"/>
    </row>
    <row r="42" spans="2:8" ht="47.1" customHeight="1" x14ac:dyDescent="0.25">
      <c r="B42" s="248" t="s">
        <v>303</v>
      </c>
      <c r="C42" s="655"/>
      <c r="D42" s="653"/>
      <c r="E42" s="653"/>
      <c r="F42" s="653"/>
      <c r="G42" s="652">
        <v>0</v>
      </c>
      <c r="H42" s="656">
        <v>0</v>
      </c>
    </row>
    <row r="43" spans="2:8" ht="14.1" customHeight="1" x14ac:dyDescent="0.25">
      <c r="B43" s="260"/>
      <c r="C43" s="229"/>
      <c r="D43" s="230"/>
      <c r="E43" s="230"/>
      <c r="F43" s="230"/>
      <c r="G43" s="230"/>
      <c r="H43" s="231"/>
    </row>
    <row r="44" spans="2:8" ht="35.1" customHeight="1" x14ac:dyDescent="0.25">
      <c r="B44" s="248" t="s">
        <v>290</v>
      </c>
      <c r="C44" s="651">
        <v>0</v>
      </c>
      <c r="D44" s="652">
        <v>0</v>
      </c>
      <c r="E44" s="652">
        <v>0</v>
      </c>
      <c r="F44" s="652">
        <v>0</v>
      </c>
      <c r="G44" s="652">
        <v>0</v>
      </c>
      <c r="H44" s="656">
        <v>0</v>
      </c>
    </row>
    <row r="45" spans="2:8" ht="14.1" customHeight="1" x14ac:dyDescent="0.25">
      <c r="B45" s="228"/>
      <c r="C45" s="245"/>
      <c r="D45" s="246"/>
      <c r="E45" s="246"/>
      <c r="F45" s="246"/>
      <c r="G45" s="246"/>
      <c r="H45" s="247"/>
    </row>
    <row r="46" spans="2:8" ht="35.1" customHeight="1" x14ac:dyDescent="0.25">
      <c r="B46" s="248" t="str">
        <f>"Aantal actieve toegangspunten injectie per 31/12/"&amp;TITELBLAD!$F$17</f>
        <v>Aantal actieve toegangspunten injectie per 31/12/2025</v>
      </c>
      <c r="C46" s="234">
        <f>+SUM(C48,C50,C52,C54)</f>
        <v>0</v>
      </c>
      <c r="D46" s="235">
        <f t="shared" ref="D46:F46" si="5">+SUM(D48,D50,D52,D54)</f>
        <v>0</v>
      </c>
      <c r="E46" s="235">
        <f t="shared" ref="E46" si="6">+SUM(E48,E50,E52,E54)</f>
        <v>0</v>
      </c>
      <c r="F46" s="235">
        <f t="shared" si="5"/>
        <v>0</v>
      </c>
      <c r="G46" s="235">
        <f>+SUM(G48,G50,G52,G54)</f>
        <v>0</v>
      </c>
      <c r="H46" s="236">
        <f>+SUM(H48,H50,H52,H54)</f>
        <v>0</v>
      </c>
    </row>
    <row r="47" spans="2:8" ht="6.9" customHeight="1" x14ac:dyDescent="0.25">
      <c r="B47" s="228"/>
      <c r="C47" s="234"/>
      <c r="D47" s="235"/>
      <c r="E47" s="235"/>
      <c r="F47" s="235"/>
      <c r="G47" s="235"/>
      <c r="H47" s="236"/>
    </row>
    <row r="48" spans="2:8" ht="21.6" customHeight="1" x14ac:dyDescent="0.25">
      <c r="B48" s="237" t="s">
        <v>268</v>
      </c>
      <c r="C48" s="657">
        <v>0</v>
      </c>
      <c r="D48" s="658">
        <v>0</v>
      </c>
      <c r="E48" s="658">
        <v>0</v>
      </c>
      <c r="F48" s="658">
        <v>0</v>
      </c>
      <c r="G48" s="658">
        <v>0</v>
      </c>
      <c r="H48" s="659">
        <v>0</v>
      </c>
    </row>
    <row r="49" spans="2:8" ht="6.9" customHeight="1" x14ac:dyDescent="0.25">
      <c r="B49" s="249"/>
      <c r="C49" s="250"/>
      <c r="D49" s="251"/>
      <c r="E49" s="251"/>
      <c r="F49" s="251"/>
      <c r="G49" s="251"/>
      <c r="H49" s="252"/>
    </row>
    <row r="50" spans="2:8" ht="21.6" customHeight="1" x14ac:dyDescent="0.25">
      <c r="B50" s="237" t="s">
        <v>269</v>
      </c>
      <c r="C50" s="657">
        <v>0</v>
      </c>
      <c r="D50" s="658">
        <v>0</v>
      </c>
      <c r="E50" s="658">
        <v>0</v>
      </c>
      <c r="F50" s="658">
        <v>0</v>
      </c>
      <c r="G50" s="658">
        <v>0</v>
      </c>
      <c r="H50" s="659">
        <v>0</v>
      </c>
    </row>
    <row r="51" spans="2:8" ht="6.9" customHeight="1" x14ac:dyDescent="0.25">
      <c r="B51" s="249"/>
      <c r="C51" s="250"/>
      <c r="D51" s="251"/>
      <c r="E51" s="251"/>
      <c r="F51" s="251"/>
      <c r="G51" s="251"/>
      <c r="H51" s="252"/>
    </row>
    <row r="52" spans="2:8" ht="21.6" customHeight="1" x14ac:dyDescent="0.25">
      <c r="B52" s="237" t="s">
        <v>286</v>
      </c>
      <c r="C52" s="657">
        <v>0</v>
      </c>
      <c r="D52" s="658">
        <v>0</v>
      </c>
      <c r="E52" s="658">
        <v>0</v>
      </c>
      <c r="F52" s="658">
        <v>0</v>
      </c>
      <c r="G52" s="658">
        <v>0</v>
      </c>
      <c r="H52" s="659">
        <v>0</v>
      </c>
    </row>
    <row r="53" spans="2:8" ht="6.9" customHeight="1" x14ac:dyDescent="0.25">
      <c r="B53" s="253"/>
      <c r="C53" s="254"/>
      <c r="D53" s="255"/>
      <c r="E53" s="255"/>
      <c r="F53" s="255"/>
      <c r="G53" s="255"/>
      <c r="H53" s="256"/>
    </row>
    <row r="54" spans="2:8" ht="21.6" customHeight="1" x14ac:dyDescent="0.25">
      <c r="B54" s="237" t="s">
        <v>287</v>
      </c>
      <c r="C54" s="657">
        <v>0</v>
      </c>
      <c r="D54" s="658">
        <v>0</v>
      </c>
      <c r="E54" s="658">
        <v>0</v>
      </c>
      <c r="F54" s="658">
        <v>0</v>
      </c>
      <c r="G54" s="658">
        <v>0</v>
      </c>
      <c r="H54" s="659">
        <v>0</v>
      </c>
    </row>
    <row r="55" spans="2:8" ht="14.1" customHeight="1" x14ac:dyDescent="0.25">
      <c r="B55" s="228"/>
      <c r="C55" s="245"/>
      <c r="D55" s="246"/>
      <c r="E55" s="246"/>
      <c r="F55" s="246"/>
      <c r="G55" s="246"/>
      <c r="H55" s="247"/>
    </row>
    <row r="56" spans="2:8" ht="35.1" customHeight="1" thickBot="1" x14ac:dyDescent="0.3">
      <c r="B56" s="267" t="str">
        <f>"Aantal productiemeters per 31/12/"&amp;TITELBLAD!$F$17</f>
        <v>Aantal productiemeters per 31/12/2025</v>
      </c>
      <c r="C56" s="664">
        <v>0</v>
      </c>
      <c r="D56" s="665">
        <v>0</v>
      </c>
      <c r="E56" s="665">
        <v>0</v>
      </c>
      <c r="F56" s="665">
        <v>0</v>
      </c>
      <c r="G56" s="665">
        <v>0</v>
      </c>
      <c r="H56" s="677">
        <v>0</v>
      </c>
    </row>
    <row r="57" spans="2:8" ht="20.100000000000001" customHeight="1" x14ac:dyDescent="0.25"/>
    <row r="58" spans="2:8" ht="20.100000000000001" customHeight="1" x14ac:dyDescent="0.25"/>
    <row r="59" spans="2:8" ht="20.100000000000001" customHeight="1" thickBot="1" x14ac:dyDescent="0.3"/>
    <row r="60" spans="2:8" ht="46.5" customHeight="1" thickBot="1" x14ac:dyDescent="0.3">
      <c r="B60" s="223" t="s">
        <v>382</v>
      </c>
      <c r="C60" s="287" t="s">
        <v>7</v>
      </c>
    </row>
    <row r="61" spans="2:8" ht="35.1" customHeight="1" x14ac:dyDescent="0.25">
      <c r="B61" s="227" t="s">
        <v>292</v>
      </c>
      <c r="C61" s="666">
        <v>0</v>
      </c>
    </row>
    <row r="62" spans="2:8" ht="14.1" customHeight="1" x14ac:dyDescent="0.25">
      <c r="B62" s="228"/>
      <c r="C62" s="288"/>
    </row>
    <row r="63" spans="2:8" ht="35.1" customHeight="1" x14ac:dyDescent="0.25">
      <c r="B63" s="232" t="s">
        <v>288</v>
      </c>
      <c r="C63" s="667">
        <v>0</v>
      </c>
    </row>
    <row r="64" spans="2:8" ht="14.1" customHeight="1" x14ac:dyDescent="0.25">
      <c r="B64" s="233"/>
      <c r="C64" s="288"/>
    </row>
    <row r="65" spans="2:3" ht="35.1" customHeight="1" x14ac:dyDescent="0.25">
      <c r="B65" s="232" t="s">
        <v>296</v>
      </c>
      <c r="C65" s="667">
        <v>0</v>
      </c>
    </row>
    <row r="66" spans="2:3" ht="14.1" customHeight="1" x14ac:dyDescent="0.25">
      <c r="B66" s="233"/>
      <c r="C66" s="288"/>
    </row>
    <row r="67" spans="2:3" ht="35.1" customHeight="1" x14ac:dyDescent="0.25">
      <c r="B67" s="232" t="s">
        <v>289</v>
      </c>
      <c r="C67" s="667">
        <v>0</v>
      </c>
    </row>
    <row r="68" spans="2:3" ht="14.1" customHeight="1" x14ac:dyDescent="0.25">
      <c r="B68" s="233"/>
      <c r="C68" s="288"/>
    </row>
    <row r="69" spans="2:3" ht="35.1" customHeight="1" x14ac:dyDescent="0.25">
      <c r="B69" s="232" t="s">
        <v>295</v>
      </c>
      <c r="C69" s="667">
        <v>0</v>
      </c>
    </row>
    <row r="70" spans="2:3" ht="14.1" customHeight="1" x14ac:dyDescent="0.25">
      <c r="B70" s="233"/>
      <c r="C70" s="288"/>
    </row>
    <row r="71" spans="2:3" ht="35.1" customHeight="1" x14ac:dyDescent="0.25">
      <c r="B71" s="232" t="s">
        <v>297</v>
      </c>
      <c r="C71" s="667">
        <v>0</v>
      </c>
    </row>
    <row r="72" spans="2:3" ht="14.1" customHeight="1" x14ac:dyDescent="0.25">
      <c r="B72" s="233"/>
      <c r="C72" s="288"/>
    </row>
    <row r="73" spans="2:3" ht="35.1" customHeight="1" x14ac:dyDescent="0.25">
      <c r="B73" s="232" t="s">
        <v>298</v>
      </c>
      <c r="C73" s="667">
        <v>0</v>
      </c>
    </row>
    <row r="74" spans="2:3" ht="14.1" customHeight="1" x14ac:dyDescent="0.25">
      <c r="B74" s="233"/>
      <c r="C74" s="288"/>
    </row>
    <row r="75" spans="2:3" ht="35.1" customHeight="1" x14ac:dyDescent="0.25">
      <c r="B75" s="668"/>
      <c r="C75" s="667">
        <v>0</v>
      </c>
    </row>
    <row r="76" spans="2:3" ht="14.1" customHeight="1" x14ac:dyDescent="0.25">
      <c r="B76" s="233"/>
      <c r="C76" s="288"/>
    </row>
    <row r="77" spans="2:3" ht="35.1" customHeight="1" thickBot="1" x14ac:dyDescent="0.3">
      <c r="B77" s="669"/>
      <c r="C77" s="222">
        <v>0</v>
      </c>
    </row>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sheetData>
  <sheetProtection algorithmName="SHA-512" hashValue="0+DD5UUapv185+Y+NiHcvX3A+TqjpEjwcycOpDObbTR2jUMtySHf5ZfxFlRhSxeH/w6l1+VmaWZUfTFUXscjug==" saltValue="P+7TZXDzKWs+MioCKXRMww==" spinCount="100000" sheet="1" objects="1" scenarios="1" insertRows="0"/>
  <mergeCells count="1">
    <mergeCell ref="B1:H1"/>
  </mergeCells>
  <phoneticPr fontId="57" type="noConversion"/>
  <dataValidations count="1">
    <dataValidation type="decimal" operator="greaterThanOrEqual" allowBlank="1" showInputMessage="1" showErrorMessage="1" sqref="C77 C63 C65 C67 C61 C69 C71 C73 C75 C36:H40 C8:H8 C10:H10 C12:H12 C18:H18 C56:H56 C44:H44 C42:H42 C16:H16 C14:H14 C6:H6 C46:H54 C20:H22 C24:H34" xr:uid="{EEC3127E-48CE-4A5B-AD64-E894720A6C29}">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3F9ABBBE-047D-4693-B160-FA9A1D370DFC}">
            <xm:f>TITELBLAD!$D$10&lt;&gt;"elektriciteit"</xm:f>
            <x14:dxf>
              <fill>
                <patternFill patternType="lightUp"/>
              </fill>
            </x14:dxf>
          </x14:cfRule>
          <xm:sqref>A1:XFD1048576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F01FA-A994-4F3C-80D8-E6F12A3FA881}">
  <sheetPr published="0"/>
  <dimension ref="B1:K27"/>
  <sheetViews>
    <sheetView zoomScale="90" zoomScaleNormal="90" workbookViewId="0">
      <selection activeCell="B2" sqref="B2"/>
    </sheetView>
  </sheetViews>
  <sheetFormatPr defaultColWidth="8.6640625" defaultRowHeight="13.2" x14ac:dyDescent="0.25"/>
  <cols>
    <col min="1" max="1" width="2.109375" style="10" customWidth="1"/>
    <col min="2" max="2" width="48" style="135" customWidth="1"/>
    <col min="3" max="10" width="20.5546875" style="10" customWidth="1"/>
    <col min="11" max="11" width="5.88671875" style="10" customWidth="1"/>
    <col min="12" max="16384" width="8.6640625" style="10"/>
  </cols>
  <sheetData>
    <row r="1" spans="2:11" s="41" customFormat="1" ht="20.25" customHeight="1" thickBot="1" x14ac:dyDescent="0.3">
      <c r="B1" s="761" t="str">
        <f>"TABEL 10B: Overzicht gefactureerde volumes voor het jaar "&amp;TITELBLAD!$F$17&amp;" - AARDGAS"</f>
        <v>TABEL 10B: Overzicht gefactureerde volumes voor het jaar 2025 - AARDGAS</v>
      </c>
      <c r="C1" s="762"/>
      <c r="D1" s="762"/>
      <c r="E1" s="762"/>
      <c r="F1" s="762"/>
      <c r="G1" s="762"/>
      <c r="H1" s="762"/>
      <c r="I1" s="762"/>
      <c r="J1" s="763"/>
      <c r="K1" s="10"/>
    </row>
    <row r="2" spans="2:11" s="41" customFormat="1" ht="14.1" customHeight="1" x14ac:dyDescent="0.25">
      <c r="B2" s="6"/>
      <c r="C2" s="6"/>
      <c r="D2" s="6"/>
      <c r="E2" s="6"/>
      <c r="F2" s="6"/>
      <c r="G2" s="6"/>
      <c r="H2" s="6"/>
      <c r="I2" s="6"/>
      <c r="J2" s="6"/>
      <c r="K2" s="10"/>
    </row>
    <row r="3" spans="2:11" s="41" customFormat="1" ht="12.9" customHeight="1" x14ac:dyDescent="0.25">
      <c r="B3" s="6"/>
      <c r="C3" s="6"/>
      <c r="D3" s="6"/>
      <c r="E3" s="6"/>
      <c r="F3" s="6"/>
      <c r="G3" s="6"/>
      <c r="H3" s="6"/>
      <c r="I3" s="6"/>
      <c r="J3" s="6"/>
      <c r="K3" s="10"/>
    </row>
    <row r="4" spans="2:11" ht="13.8" thickBot="1" x14ac:dyDescent="0.3"/>
    <row r="5" spans="2:11" ht="42.9" customHeight="1" thickBot="1" x14ac:dyDescent="0.3">
      <c r="B5" s="268" t="s">
        <v>383</v>
      </c>
      <c r="C5" s="269" t="s">
        <v>275</v>
      </c>
      <c r="D5" s="270" t="s">
        <v>276</v>
      </c>
      <c r="E5" s="270" t="s">
        <v>277</v>
      </c>
      <c r="F5" s="270" t="s">
        <v>278</v>
      </c>
      <c r="G5" s="270" t="s">
        <v>279</v>
      </c>
      <c r="H5" s="270" t="s">
        <v>280</v>
      </c>
      <c r="I5" s="270" t="s">
        <v>281</v>
      </c>
      <c r="J5" s="271" t="s">
        <v>282</v>
      </c>
    </row>
    <row r="6" spans="2:11" ht="31.5" customHeight="1" x14ac:dyDescent="0.25">
      <c r="B6" s="272" t="s">
        <v>301</v>
      </c>
      <c r="C6" s="648">
        <v>0</v>
      </c>
      <c r="D6" s="649">
        <v>0</v>
      </c>
      <c r="E6" s="649">
        <v>0</v>
      </c>
      <c r="F6" s="649">
        <v>0</v>
      </c>
      <c r="G6" s="649">
        <v>0</v>
      </c>
      <c r="H6" s="649">
        <v>0</v>
      </c>
      <c r="I6" s="649">
        <v>0</v>
      </c>
      <c r="J6" s="670">
        <v>0</v>
      </c>
    </row>
    <row r="7" spans="2:11" ht="12.6" customHeight="1" x14ac:dyDescent="0.25">
      <c r="B7" s="273"/>
      <c r="C7" s="229"/>
      <c r="D7" s="230"/>
      <c r="E7" s="230"/>
      <c r="F7" s="230"/>
      <c r="G7" s="230"/>
      <c r="H7" s="230"/>
      <c r="I7" s="230"/>
      <c r="J7" s="274"/>
    </row>
    <row r="8" spans="2:11" ht="31.5" customHeight="1" x14ac:dyDescent="0.25">
      <c r="B8" s="275" t="s">
        <v>289</v>
      </c>
      <c r="C8" s="651">
        <v>0</v>
      </c>
      <c r="D8" s="652">
        <v>0</v>
      </c>
      <c r="E8" s="652">
        <v>0</v>
      </c>
      <c r="F8" s="652">
        <v>0</v>
      </c>
      <c r="G8" s="652">
        <v>0</v>
      </c>
      <c r="H8" s="652">
        <v>0</v>
      </c>
      <c r="I8" s="652">
        <v>0</v>
      </c>
      <c r="J8" s="671">
        <v>0</v>
      </c>
    </row>
    <row r="9" spans="2:11" ht="12.6" customHeight="1" x14ac:dyDescent="0.25">
      <c r="B9" s="276"/>
      <c r="C9" s="229"/>
      <c r="D9" s="230"/>
      <c r="E9" s="230"/>
      <c r="F9" s="230"/>
      <c r="G9" s="230"/>
      <c r="H9" s="230"/>
      <c r="I9" s="230"/>
      <c r="J9" s="274"/>
    </row>
    <row r="10" spans="2:11" ht="31.5" customHeight="1" x14ac:dyDescent="0.25">
      <c r="B10" s="277" t="str">
        <f>"Aantal actieve toegangspunten afname per 31/12/"&amp;TITELBLAD!$F$17</f>
        <v>Aantal actieve toegangspunten afname per 31/12/2025</v>
      </c>
      <c r="C10" s="234">
        <f>SUM(C12,C14,C16,C18,C20)</f>
        <v>0</v>
      </c>
      <c r="D10" s="235">
        <f t="shared" ref="D10:J10" si="0">SUM(D12,D14,D16,D18,D20)</f>
        <v>0</v>
      </c>
      <c r="E10" s="235">
        <f t="shared" si="0"/>
        <v>0</v>
      </c>
      <c r="F10" s="235">
        <f t="shared" si="0"/>
        <v>0</v>
      </c>
      <c r="G10" s="235">
        <f t="shared" si="0"/>
        <v>0</v>
      </c>
      <c r="H10" s="235">
        <f t="shared" si="0"/>
        <v>0</v>
      </c>
      <c r="I10" s="235">
        <f t="shared" si="0"/>
        <v>0</v>
      </c>
      <c r="J10" s="278">
        <f t="shared" si="0"/>
        <v>0</v>
      </c>
    </row>
    <row r="11" spans="2:11" ht="5.0999999999999996" customHeight="1" x14ac:dyDescent="0.25">
      <c r="B11" s="276"/>
      <c r="C11" s="234"/>
      <c r="D11" s="235"/>
      <c r="E11" s="235"/>
      <c r="F11" s="235"/>
      <c r="G11" s="235"/>
      <c r="H11" s="235"/>
      <c r="I11" s="235"/>
      <c r="J11" s="278"/>
    </row>
    <row r="12" spans="2:11" ht="21" customHeight="1" x14ac:dyDescent="0.25">
      <c r="B12" s="279" t="s">
        <v>268</v>
      </c>
      <c r="C12" s="657">
        <v>0</v>
      </c>
      <c r="D12" s="658">
        <v>0</v>
      </c>
      <c r="E12" s="658">
        <v>0</v>
      </c>
      <c r="F12" s="658">
        <v>0</v>
      </c>
      <c r="G12" s="658">
        <v>0</v>
      </c>
      <c r="H12" s="658">
        <v>0</v>
      </c>
      <c r="I12" s="658">
        <v>0</v>
      </c>
      <c r="J12" s="672">
        <v>0</v>
      </c>
    </row>
    <row r="13" spans="2:11" ht="5.0999999999999996" customHeight="1" x14ac:dyDescent="0.25">
      <c r="B13" s="280"/>
      <c r="C13" s="250"/>
      <c r="D13" s="251"/>
      <c r="E13" s="251"/>
      <c r="F13" s="251"/>
      <c r="G13" s="251"/>
      <c r="H13" s="251"/>
      <c r="I13" s="251"/>
      <c r="J13" s="281"/>
    </row>
    <row r="14" spans="2:11" ht="21" customHeight="1" x14ac:dyDescent="0.25">
      <c r="B14" s="279" t="s">
        <v>269</v>
      </c>
      <c r="C14" s="657">
        <v>0</v>
      </c>
      <c r="D14" s="658">
        <v>0</v>
      </c>
      <c r="E14" s="658">
        <v>0</v>
      </c>
      <c r="F14" s="658">
        <v>0</v>
      </c>
      <c r="G14" s="658">
        <v>0</v>
      </c>
      <c r="H14" s="658">
        <v>0</v>
      </c>
      <c r="I14" s="658">
        <v>0</v>
      </c>
      <c r="J14" s="672">
        <v>0</v>
      </c>
    </row>
    <row r="15" spans="2:11" ht="5.0999999999999996" customHeight="1" x14ac:dyDescent="0.25">
      <c r="B15" s="280"/>
      <c r="C15" s="250"/>
      <c r="D15" s="251"/>
      <c r="E15" s="251"/>
      <c r="F15" s="251"/>
      <c r="G15" s="251"/>
      <c r="H15" s="251"/>
      <c r="I15" s="251"/>
      <c r="J15" s="281"/>
    </row>
    <row r="16" spans="2:11" ht="21" customHeight="1" x14ac:dyDescent="0.25">
      <c r="B16" s="279" t="s">
        <v>286</v>
      </c>
      <c r="C16" s="657">
        <v>0</v>
      </c>
      <c r="D16" s="658">
        <v>0</v>
      </c>
      <c r="E16" s="658">
        <v>0</v>
      </c>
      <c r="F16" s="658">
        <v>0</v>
      </c>
      <c r="G16" s="658">
        <v>0</v>
      </c>
      <c r="H16" s="658">
        <v>0</v>
      </c>
      <c r="I16" s="658">
        <v>0</v>
      </c>
      <c r="J16" s="672">
        <v>0</v>
      </c>
    </row>
    <row r="17" spans="2:10" ht="5.0999999999999996" customHeight="1" x14ac:dyDescent="0.25">
      <c r="B17" s="280"/>
      <c r="C17" s="250"/>
      <c r="D17" s="251"/>
      <c r="E17" s="251"/>
      <c r="F17" s="251"/>
      <c r="G17" s="251"/>
      <c r="H17" s="251"/>
      <c r="I17" s="251"/>
      <c r="J17" s="281"/>
    </row>
    <row r="18" spans="2:10" ht="21" customHeight="1" x14ac:dyDescent="0.25">
      <c r="B18" s="279" t="s">
        <v>287</v>
      </c>
      <c r="C18" s="657">
        <v>0</v>
      </c>
      <c r="D18" s="658">
        <v>0</v>
      </c>
      <c r="E18" s="658">
        <v>0</v>
      </c>
      <c r="F18" s="658">
        <v>0</v>
      </c>
      <c r="G18" s="658">
        <v>0</v>
      </c>
      <c r="H18" s="658">
        <v>0</v>
      </c>
      <c r="I18" s="658">
        <v>0</v>
      </c>
      <c r="J18" s="672">
        <v>0</v>
      </c>
    </row>
    <row r="19" spans="2:10" ht="5.0999999999999996" customHeight="1" x14ac:dyDescent="0.25">
      <c r="B19" s="282"/>
      <c r="C19" s="283"/>
      <c r="D19" s="284"/>
      <c r="E19" s="284"/>
      <c r="F19" s="284"/>
      <c r="G19" s="284"/>
      <c r="H19" s="284"/>
      <c r="I19" s="284"/>
      <c r="J19" s="285"/>
    </row>
    <row r="20" spans="2:10" ht="21" customHeight="1" thickBot="1" x14ac:dyDescent="0.3">
      <c r="B20" s="286" t="s">
        <v>274</v>
      </c>
      <c r="C20" s="673">
        <v>0</v>
      </c>
      <c r="D20" s="674">
        <v>0</v>
      </c>
      <c r="E20" s="674">
        <v>0</v>
      </c>
      <c r="F20" s="674">
        <v>0</v>
      </c>
      <c r="G20" s="674">
        <v>0</v>
      </c>
      <c r="H20" s="674">
        <v>0</v>
      </c>
      <c r="I20" s="674">
        <v>0</v>
      </c>
      <c r="J20" s="675">
        <v>0</v>
      </c>
    </row>
    <row r="21" spans="2:10" ht="17.100000000000001" customHeight="1" x14ac:dyDescent="0.25"/>
    <row r="22" spans="2:10" ht="17.100000000000001" customHeight="1" x14ac:dyDescent="0.25"/>
    <row r="23" spans="2:10" ht="17.100000000000001" customHeight="1" thickBot="1" x14ac:dyDescent="0.3"/>
    <row r="24" spans="2:10" ht="47.1" customHeight="1" thickBot="1" x14ac:dyDescent="0.3">
      <c r="B24" s="223" t="s">
        <v>384</v>
      </c>
      <c r="C24" s="289" t="s">
        <v>7</v>
      </c>
    </row>
    <row r="25" spans="2:10" ht="31.5" customHeight="1" x14ac:dyDescent="0.25">
      <c r="B25" s="227" t="s">
        <v>290</v>
      </c>
      <c r="C25" s="666">
        <v>0</v>
      </c>
    </row>
    <row r="26" spans="2:10" ht="12.6" customHeight="1" x14ac:dyDescent="0.25">
      <c r="B26" s="228"/>
      <c r="C26" s="288"/>
    </row>
    <row r="27" spans="2:10" ht="31.5" customHeight="1" thickBot="1" x14ac:dyDescent="0.3">
      <c r="B27" s="267" t="str">
        <f>"Aantal actieve toegangspunten injectie per 31/12/"&amp;TITELBLAD!$F$17</f>
        <v>Aantal actieve toegangspunten injectie per 31/12/2025</v>
      </c>
      <c r="C27" s="222">
        <v>0</v>
      </c>
    </row>
  </sheetData>
  <sheetProtection algorithmName="SHA-512" hashValue="ZWvM+Dkd91kySLu6KmhclAIhmudUnoNRA2JCrBwXcU4rV6LCWICH5QGnSMeXvH+blyjA6ntTh8U+v/5nquUU+g==" saltValue="0F9YmRgWokWT6k1mS/70FA==" spinCount="100000" sheet="1" objects="1" scenarios="1" insertRows="0"/>
  <mergeCells count="1">
    <mergeCell ref="B1:J1"/>
  </mergeCells>
  <phoneticPr fontId="57" type="noConversion"/>
  <dataValidations count="1">
    <dataValidation type="decimal" operator="greaterThanOrEqual" allowBlank="1" showInputMessage="1" showErrorMessage="1" sqref="C6:J6 C8:J8 C25 C27 C10:J20" xr:uid="{BD0FF193-0143-4510-AE45-E7579052C9CF}">
      <formula1>0</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E20BC123-9907-4A66-87E4-EB7AD6A8F891}">
            <xm:f>TITELBLAD!$D$10&lt;&gt;"aardgas"</xm:f>
            <x14:dxf>
              <fill>
                <patternFill patternType="lightUp"/>
              </fill>
            </x14:dxf>
          </x14:cfRule>
          <xm:sqref>A1:XFD1048576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5A5EE-13E1-4E9A-BA93-AC5C02F141CE}">
  <sheetPr published="0"/>
  <dimension ref="A1"/>
  <sheetViews>
    <sheetView workbookViewId="0">
      <selection activeCell="L24" sqref="L24"/>
    </sheetView>
  </sheetViews>
  <sheetFormatPr defaultColWidth="9.109375" defaultRowHeight="13.2" x14ac:dyDescent="0.25"/>
  <cols>
    <col min="1" max="16384" width="9.109375" style="67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B1:D67"/>
  <sheetViews>
    <sheetView zoomScaleNormal="100" workbookViewId="0">
      <selection activeCell="B2" sqref="B2"/>
    </sheetView>
  </sheetViews>
  <sheetFormatPr defaultColWidth="9.109375" defaultRowHeight="13.2" x14ac:dyDescent="0.25"/>
  <cols>
    <col min="1" max="1" width="1.44140625" style="7" customWidth="1"/>
    <col min="2" max="2" width="43.109375" style="7" customWidth="1"/>
    <col min="3" max="4" width="14.6640625" style="7" customWidth="1"/>
    <col min="5" max="16384" width="9.109375" style="7"/>
  </cols>
  <sheetData>
    <row r="1" spans="2:4" ht="21.9" customHeight="1" thickBot="1" x14ac:dyDescent="0.3">
      <c r="B1" s="689" t="s">
        <v>284</v>
      </c>
      <c r="C1" s="690"/>
      <c r="D1" s="691"/>
    </row>
    <row r="2" spans="2:4" x14ac:dyDescent="0.25">
      <c r="B2" s="8"/>
      <c r="C2" s="9"/>
    </row>
    <row r="3" spans="2:4" ht="13.8" thickBot="1" x14ac:dyDescent="0.3">
      <c r="B3" s="9"/>
      <c r="C3" s="9"/>
    </row>
    <row r="4" spans="2:4" ht="14.4" customHeight="1" x14ac:dyDescent="0.25">
      <c r="B4" s="695" t="s">
        <v>35</v>
      </c>
      <c r="C4" s="696"/>
      <c r="D4" s="697"/>
    </row>
    <row r="5" spans="2:4" x14ac:dyDescent="0.25">
      <c r="B5" s="139"/>
      <c r="C5" s="140"/>
      <c r="D5" s="141"/>
    </row>
    <row r="6" spans="2:4" ht="15.9" customHeight="1" x14ac:dyDescent="0.25">
      <c r="B6" s="692" t="s">
        <v>169</v>
      </c>
      <c r="C6" s="693"/>
      <c r="D6" s="694"/>
    </row>
    <row r="7" spans="2:4" ht="15.9" customHeight="1" x14ac:dyDescent="0.25">
      <c r="B7" s="142" t="s">
        <v>36</v>
      </c>
      <c r="C7" s="143">
        <v>0.2</v>
      </c>
      <c r="D7" s="144" t="s">
        <v>333</v>
      </c>
    </row>
    <row r="8" spans="2:4" ht="27.9" customHeight="1" x14ac:dyDescent="0.25">
      <c r="B8" s="145" t="s">
        <v>63</v>
      </c>
      <c r="C8" s="143">
        <v>0.2</v>
      </c>
      <c r="D8" s="144" t="s">
        <v>333</v>
      </c>
    </row>
    <row r="9" spans="2:4" ht="15.9" customHeight="1" x14ac:dyDescent="0.25">
      <c r="B9" s="142" t="s">
        <v>64</v>
      </c>
      <c r="C9" s="143">
        <v>0</v>
      </c>
      <c r="D9" s="146"/>
    </row>
    <row r="10" spans="2:4" ht="15.9" customHeight="1" x14ac:dyDescent="0.25">
      <c r="B10" s="147"/>
      <c r="C10" s="148"/>
      <c r="D10" s="141"/>
    </row>
    <row r="11" spans="2:4" ht="15.9" customHeight="1" x14ac:dyDescent="0.25">
      <c r="B11" s="692" t="s">
        <v>135</v>
      </c>
      <c r="C11" s="693"/>
      <c r="D11" s="694"/>
    </row>
    <row r="12" spans="2:4" ht="15.9" customHeight="1" x14ac:dyDescent="0.25">
      <c r="B12" s="142" t="s">
        <v>71</v>
      </c>
      <c r="C12" s="143">
        <v>0</v>
      </c>
      <c r="D12" s="146"/>
    </row>
    <row r="13" spans="2:4" ht="15.9" customHeight="1" x14ac:dyDescent="0.25">
      <c r="B13" s="142" t="s">
        <v>37</v>
      </c>
      <c r="C13" s="143">
        <v>0.02</v>
      </c>
      <c r="D13" s="144" t="s">
        <v>334</v>
      </c>
    </row>
    <row r="14" spans="2:4" ht="15.9" customHeight="1" x14ac:dyDescent="0.25">
      <c r="B14" s="149" t="s">
        <v>335</v>
      </c>
      <c r="C14" s="150">
        <v>0.02</v>
      </c>
      <c r="D14" s="146" t="s">
        <v>334</v>
      </c>
    </row>
    <row r="15" spans="2:4" ht="15.9" customHeight="1" x14ac:dyDescent="0.25">
      <c r="B15" s="149" t="s">
        <v>336</v>
      </c>
      <c r="C15" s="150">
        <v>0.02</v>
      </c>
      <c r="D15" s="146" t="s">
        <v>334</v>
      </c>
    </row>
    <row r="16" spans="2:4" ht="15.9" customHeight="1" x14ac:dyDescent="0.25">
      <c r="B16" s="149" t="s">
        <v>38</v>
      </c>
      <c r="C16" s="150">
        <v>0.02</v>
      </c>
      <c r="D16" s="146" t="s">
        <v>334</v>
      </c>
    </row>
    <row r="17" spans="2:4" ht="15.9" customHeight="1" x14ac:dyDescent="0.25">
      <c r="B17" s="149" t="s">
        <v>39</v>
      </c>
      <c r="C17" s="150">
        <v>0.02</v>
      </c>
      <c r="D17" s="146" t="s">
        <v>334</v>
      </c>
    </row>
    <row r="18" spans="2:4" ht="15.9" customHeight="1" x14ac:dyDescent="0.25">
      <c r="B18" s="149" t="s">
        <v>337</v>
      </c>
      <c r="C18" s="150">
        <v>0.02</v>
      </c>
      <c r="D18" s="146" t="s">
        <v>334</v>
      </c>
    </row>
    <row r="19" spans="2:4" ht="15.9" customHeight="1" x14ac:dyDescent="0.25">
      <c r="B19" s="149" t="s">
        <v>40</v>
      </c>
      <c r="C19" s="150">
        <v>0.03</v>
      </c>
      <c r="D19" s="146" t="s">
        <v>338</v>
      </c>
    </row>
    <row r="20" spans="2:4" ht="15.9" customHeight="1" x14ac:dyDescent="0.25">
      <c r="B20" s="149" t="s">
        <v>339</v>
      </c>
      <c r="C20" s="150">
        <v>0.03</v>
      </c>
      <c r="D20" s="146" t="s">
        <v>338</v>
      </c>
    </row>
    <row r="21" spans="2:4" ht="15.9" customHeight="1" x14ac:dyDescent="0.25">
      <c r="B21" s="149" t="s">
        <v>41</v>
      </c>
      <c r="C21" s="150">
        <v>0.03</v>
      </c>
      <c r="D21" s="146" t="s">
        <v>338</v>
      </c>
    </row>
    <row r="22" spans="2:4" ht="15.9" customHeight="1" x14ac:dyDescent="0.25">
      <c r="B22" s="149" t="s">
        <v>42</v>
      </c>
      <c r="C22" s="150">
        <v>0.03</v>
      </c>
      <c r="D22" s="146" t="s">
        <v>338</v>
      </c>
    </row>
    <row r="23" spans="2:4" ht="15.9" customHeight="1" x14ac:dyDescent="0.25">
      <c r="B23" s="149" t="s">
        <v>340</v>
      </c>
      <c r="C23" s="150">
        <v>0.04</v>
      </c>
      <c r="D23" s="146" t="s">
        <v>341</v>
      </c>
    </row>
    <row r="24" spans="2:4" ht="15.9" customHeight="1" x14ac:dyDescent="0.25">
      <c r="B24" s="149" t="s">
        <v>342</v>
      </c>
      <c r="C24" s="150">
        <v>0.04</v>
      </c>
      <c r="D24" s="146" t="s">
        <v>341</v>
      </c>
    </row>
    <row r="25" spans="2:4" ht="15.9" customHeight="1" x14ac:dyDescent="0.25">
      <c r="B25" s="149" t="s">
        <v>127</v>
      </c>
      <c r="C25" s="150">
        <v>6.6699999999999995E-2</v>
      </c>
      <c r="D25" s="146" t="s">
        <v>343</v>
      </c>
    </row>
    <row r="26" spans="2:4" ht="15.9" customHeight="1" x14ac:dyDescent="0.25">
      <c r="B26" s="149" t="s">
        <v>165</v>
      </c>
      <c r="C26" s="150">
        <v>6.6699999999999995E-2</v>
      </c>
      <c r="D26" s="146" t="s">
        <v>343</v>
      </c>
    </row>
    <row r="27" spans="2:4" ht="15.9" customHeight="1" x14ac:dyDescent="0.25">
      <c r="B27" s="149" t="s">
        <v>72</v>
      </c>
      <c r="C27" s="150">
        <v>0.1</v>
      </c>
      <c r="D27" s="146" t="s">
        <v>344</v>
      </c>
    </row>
    <row r="28" spans="2:4" ht="15.9" customHeight="1" x14ac:dyDescent="0.25">
      <c r="B28" s="149" t="s">
        <v>47</v>
      </c>
      <c r="C28" s="150">
        <v>0.1</v>
      </c>
      <c r="D28" s="146" t="s">
        <v>344</v>
      </c>
    </row>
    <row r="29" spans="2:4" ht="15.9" customHeight="1" x14ac:dyDescent="0.25">
      <c r="B29" s="149" t="s">
        <v>345</v>
      </c>
      <c r="C29" s="150">
        <v>0.1</v>
      </c>
      <c r="D29" s="146" t="s">
        <v>344</v>
      </c>
    </row>
    <row r="30" spans="2:4" ht="15.9" customHeight="1" x14ac:dyDescent="0.25">
      <c r="B30" s="149" t="s">
        <v>1</v>
      </c>
      <c r="C30" s="150">
        <v>0.1</v>
      </c>
      <c r="D30" s="146" t="s">
        <v>344</v>
      </c>
    </row>
    <row r="31" spans="2:4" ht="15.9" customHeight="1" x14ac:dyDescent="0.25">
      <c r="B31" s="149" t="s">
        <v>43</v>
      </c>
      <c r="C31" s="150">
        <v>0.1</v>
      </c>
      <c r="D31" s="146" t="s">
        <v>344</v>
      </c>
    </row>
    <row r="32" spans="2:4" ht="15.9" customHeight="1" x14ac:dyDescent="0.25">
      <c r="B32" s="149" t="s">
        <v>346</v>
      </c>
      <c r="C32" s="150">
        <v>0.1</v>
      </c>
      <c r="D32" s="146" t="s">
        <v>344</v>
      </c>
    </row>
    <row r="33" spans="2:4" ht="15.9" customHeight="1" x14ac:dyDescent="0.25">
      <c r="B33" s="149" t="s">
        <v>347</v>
      </c>
      <c r="C33" s="150">
        <v>0.1111</v>
      </c>
      <c r="D33" s="146" t="s">
        <v>348</v>
      </c>
    </row>
    <row r="34" spans="2:4" ht="15.9" customHeight="1" x14ac:dyDescent="0.25">
      <c r="B34" s="149" t="s">
        <v>45</v>
      </c>
      <c r="C34" s="150">
        <v>0.1</v>
      </c>
      <c r="D34" s="146" t="s">
        <v>344</v>
      </c>
    </row>
    <row r="35" spans="2:4" ht="15.9" customHeight="1" x14ac:dyDescent="0.25">
      <c r="B35" s="149" t="s">
        <v>349</v>
      </c>
      <c r="C35" s="150">
        <v>0.1</v>
      </c>
      <c r="D35" s="146" t="s">
        <v>344</v>
      </c>
    </row>
    <row r="36" spans="2:4" ht="15.9" customHeight="1" x14ac:dyDescent="0.25">
      <c r="B36" s="149" t="s">
        <v>166</v>
      </c>
      <c r="C36" s="150">
        <v>0.1</v>
      </c>
      <c r="D36" s="146" t="s">
        <v>344</v>
      </c>
    </row>
    <row r="37" spans="2:4" ht="15.9" customHeight="1" x14ac:dyDescent="0.25">
      <c r="B37" s="149" t="s">
        <v>44</v>
      </c>
      <c r="C37" s="150">
        <v>0.2</v>
      </c>
      <c r="D37" s="146" t="s">
        <v>333</v>
      </c>
    </row>
    <row r="38" spans="2:4" ht="15.9" customHeight="1" x14ac:dyDescent="0.25">
      <c r="B38" s="149" t="s">
        <v>350</v>
      </c>
      <c r="C38" s="150">
        <v>0.2</v>
      </c>
      <c r="D38" s="146" t="s">
        <v>333</v>
      </c>
    </row>
    <row r="39" spans="2:4" ht="15.9" customHeight="1" x14ac:dyDescent="0.25">
      <c r="B39" s="142" t="s">
        <v>46</v>
      </c>
      <c r="C39" s="143">
        <v>0.33</v>
      </c>
      <c r="D39" s="144" t="s">
        <v>351</v>
      </c>
    </row>
    <row r="40" spans="2:4" ht="15.9" customHeight="1" x14ac:dyDescent="0.25">
      <c r="B40" s="142" t="s">
        <v>137</v>
      </c>
      <c r="C40" s="143">
        <v>0</v>
      </c>
      <c r="D40" s="146"/>
    </row>
    <row r="41" spans="2:4" ht="15.9" customHeight="1" x14ac:dyDescent="0.25">
      <c r="B41" s="147"/>
      <c r="C41" s="148"/>
      <c r="D41" s="141"/>
    </row>
    <row r="42" spans="2:4" ht="15.9" customHeight="1" x14ac:dyDescent="0.25">
      <c r="B42" s="692" t="s">
        <v>352</v>
      </c>
      <c r="C42" s="693"/>
      <c r="D42" s="694"/>
    </row>
    <row r="43" spans="2:4" ht="15.9" customHeight="1" x14ac:dyDescent="0.25">
      <c r="B43" s="142" t="s">
        <v>71</v>
      </c>
      <c r="C43" s="143">
        <v>0</v>
      </c>
      <c r="D43" s="146"/>
    </row>
    <row r="44" spans="2:4" ht="15.9" customHeight="1" x14ac:dyDescent="0.25">
      <c r="B44" s="149" t="s">
        <v>37</v>
      </c>
      <c r="C44" s="150">
        <v>0.02</v>
      </c>
      <c r="D44" s="146" t="s">
        <v>334</v>
      </c>
    </row>
    <row r="45" spans="2:4" ht="15.9" customHeight="1" x14ac:dyDescent="0.25">
      <c r="B45" s="149" t="s">
        <v>336</v>
      </c>
      <c r="C45" s="150">
        <v>0.02</v>
      </c>
      <c r="D45" s="146" t="s">
        <v>334</v>
      </c>
    </row>
    <row r="46" spans="2:4" ht="15.9" customHeight="1" x14ac:dyDescent="0.25">
      <c r="B46" s="149" t="s">
        <v>136</v>
      </c>
      <c r="C46" s="150">
        <v>0.02</v>
      </c>
      <c r="D46" s="146" t="s">
        <v>334</v>
      </c>
    </row>
    <row r="47" spans="2:4" ht="15.9" customHeight="1" x14ac:dyDescent="0.25">
      <c r="B47" s="149" t="s">
        <v>337</v>
      </c>
      <c r="C47" s="150">
        <v>0.02</v>
      </c>
      <c r="D47" s="146" t="s">
        <v>334</v>
      </c>
    </row>
    <row r="48" spans="2:4" ht="15.9" customHeight="1" x14ac:dyDescent="0.25">
      <c r="B48" s="149" t="s">
        <v>353</v>
      </c>
      <c r="C48" s="143">
        <v>0.03</v>
      </c>
      <c r="D48" s="144" t="s">
        <v>338</v>
      </c>
    </row>
    <row r="49" spans="2:4" ht="15.9" customHeight="1" x14ac:dyDescent="0.25">
      <c r="B49" s="142" t="s">
        <v>41</v>
      </c>
      <c r="C49" s="143">
        <v>0.03</v>
      </c>
      <c r="D49" s="144" t="s">
        <v>338</v>
      </c>
    </row>
    <row r="50" spans="2:4" ht="15.9" customHeight="1" x14ac:dyDescent="0.25">
      <c r="B50" s="149" t="s">
        <v>42</v>
      </c>
      <c r="C50" s="150">
        <v>0.03</v>
      </c>
      <c r="D50" s="146" t="s">
        <v>338</v>
      </c>
    </row>
    <row r="51" spans="2:4" ht="15.9" customHeight="1" x14ac:dyDescent="0.25">
      <c r="B51" s="149" t="s">
        <v>342</v>
      </c>
      <c r="C51" s="150">
        <v>0.04</v>
      </c>
      <c r="D51" s="146" t="s">
        <v>341</v>
      </c>
    </row>
    <row r="52" spans="2:4" ht="15.9" customHeight="1" x14ac:dyDescent="0.25">
      <c r="B52" s="149" t="s">
        <v>127</v>
      </c>
      <c r="C52" s="150">
        <v>6.6699999999999995E-2</v>
      </c>
      <c r="D52" s="146" t="s">
        <v>343</v>
      </c>
    </row>
    <row r="53" spans="2:4" ht="15.9" customHeight="1" x14ac:dyDescent="0.25">
      <c r="B53" s="149" t="s">
        <v>354</v>
      </c>
      <c r="C53" s="150">
        <v>6.6699999999999995E-2</v>
      </c>
      <c r="D53" s="146" t="s">
        <v>343</v>
      </c>
    </row>
    <row r="54" spans="2:4" ht="15.9" customHeight="1" x14ac:dyDescent="0.25">
      <c r="B54" s="149" t="s">
        <v>165</v>
      </c>
      <c r="C54" s="150">
        <v>6.6699999999999995E-2</v>
      </c>
      <c r="D54" s="146" t="s">
        <v>343</v>
      </c>
    </row>
    <row r="55" spans="2:4" ht="15.9" customHeight="1" x14ac:dyDescent="0.25">
      <c r="B55" s="149" t="s">
        <v>72</v>
      </c>
      <c r="C55" s="150">
        <v>0.1</v>
      </c>
      <c r="D55" s="146" t="s">
        <v>344</v>
      </c>
    </row>
    <row r="56" spans="2:4" ht="15.9" customHeight="1" x14ac:dyDescent="0.25">
      <c r="B56" s="149" t="s">
        <v>47</v>
      </c>
      <c r="C56" s="150">
        <v>0.1</v>
      </c>
      <c r="D56" s="146" t="s">
        <v>344</v>
      </c>
    </row>
    <row r="57" spans="2:4" ht="15.9" customHeight="1" x14ac:dyDescent="0.25">
      <c r="B57" s="149" t="s">
        <v>345</v>
      </c>
      <c r="C57" s="150">
        <v>0.1</v>
      </c>
      <c r="D57" s="146" t="s">
        <v>344</v>
      </c>
    </row>
    <row r="58" spans="2:4" ht="15.9" customHeight="1" x14ac:dyDescent="0.25">
      <c r="B58" s="149" t="s">
        <v>1</v>
      </c>
      <c r="C58" s="150">
        <v>0.1</v>
      </c>
      <c r="D58" s="146" t="s">
        <v>344</v>
      </c>
    </row>
    <row r="59" spans="2:4" x14ac:dyDescent="0.25">
      <c r="B59" s="149" t="s">
        <v>43</v>
      </c>
      <c r="C59" s="150">
        <v>0.1</v>
      </c>
      <c r="D59" s="146" t="s">
        <v>344</v>
      </c>
    </row>
    <row r="60" spans="2:4" x14ac:dyDescent="0.25">
      <c r="B60" s="149" t="s">
        <v>346</v>
      </c>
      <c r="C60" s="150">
        <v>0.1</v>
      </c>
      <c r="D60" s="146" t="s">
        <v>344</v>
      </c>
    </row>
    <row r="61" spans="2:4" x14ac:dyDescent="0.25">
      <c r="B61" s="149" t="s">
        <v>347</v>
      </c>
      <c r="C61" s="150">
        <v>0.1111</v>
      </c>
      <c r="D61" s="146" t="s">
        <v>348</v>
      </c>
    </row>
    <row r="62" spans="2:4" x14ac:dyDescent="0.25">
      <c r="B62" s="149" t="s">
        <v>45</v>
      </c>
      <c r="C62" s="150">
        <v>0.1</v>
      </c>
      <c r="D62" s="146" t="s">
        <v>344</v>
      </c>
    </row>
    <row r="63" spans="2:4" x14ac:dyDescent="0.25">
      <c r="B63" s="149" t="s">
        <v>166</v>
      </c>
      <c r="C63" s="150">
        <v>0.1</v>
      </c>
      <c r="D63" s="146" t="s">
        <v>344</v>
      </c>
    </row>
    <row r="64" spans="2:4" x14ac:dyDescent="0.25">
      <c r="B64" s="149" t="s">
        <v>44</v>
      </c>
      <c r="C64" s="150">
        <v>0.2</v>
      </c>
      <c r="D64" s="146" t="s">
        <v>333</v>
      </c>
    </row>
    <row r="65" spans="2:4" x14ac:dyDescent="0.25">
      <c r="B65" s="149" t="s">
        <v>350</v>
      </c>
      <c r="C65" s="150">
        <v>0.2</v>
      </c>
      <c r="D65" s="146" t="s">
        <v>333</v>
      </c>
    </row>
    <row r="66" spans="2:4" x14ac:dyDescent="0.25">
      <c r="B66" s="142" t="s">
        <v>46</v>
      </c>
      <c r="C66" s="143">
        <v>0.33</v>
      </c>
      <c r="D66" s="144" t="s">
        <v>351</v>
      </c>
    </row>
    <row r="67" spans="2:4" ht="13.8" thickBot="1" x14ac:dyDescent="0.3">
      <c r="B67" s="151" t="s">
        <v>137</v>
      </c>
      <c r="C67" s="152">
        <v>0</v>
      </c>
      <c r="D67" s="153"/>
    </row>
  </sheetData>
  <sheetProtection algorithmName="SHA-512" hashValue="BTHz2CtMMoMHYJ/JSG907grpxRiuFnduoXth2chAwxtOMIefGwVlBsRTWdXRK+kRyKJcEx/v6l578NCrDkGsZQ==" saltValue="nfIYeMCAKEXB+LR8StwMog==" spinCount="100000" sheet="1" objects="1" scenarios="1"/>
  <mergeCells count="5">
    <mergeCell ref="B1:D1"/>
    <mergeCell ref="B6:D6"/>
    <mergeCell ref="B11:D11"/>
    <mergeCell ref="B42:D42"/>
    <mergeCell ref="B4:D4"/>
  </mergeCells>
  <pageMargins left="0.70866141732283472" right="0.70866141732283472" top="0.74803149606299213" bottom="0.74803149606299213" header="0.31496062992125984" footer="0.31496062992125984"/>
  <pageSetup paperSize="8" orientation="portrait" r:id="rId1"/>
  <extLst>
    <ext xmlns:x14="http://schemas.microsoft.com/office/spreadsheetml/2009/9/main" uri="{78C0D931-6437-407d-A8EE-F0AAD7539E65}">
      <x14:conditionalFormattings>
        <x14:conditionalFormatting xmlns:xm="http://schemas.microsoft.com/office/excel/2006/main">
          <x14:cfRule type="expression" priority="4" id="{547C7ABA-B5A3-4B5D-9927-E9B1162DA2AF}">
            <xm:f>TITELBLAD!$D$10&lt;&gt;"elektriciteit"</xm:f>
            <x14:dxf>
              <fill>
                <patternFill patternType="lightUp"/>
              </fill>
            </x14:dxf>
          </x14:cfRule>
          <xm:sqref>B11:D40</xm:sqref>
        </x14:conditionalFormatting>
        <x14:conditionalFormatting xmlns:xm="http://schemas.microsoft.com/office/excel/2006/main">
          <x14:cfRule type="expression" priority="1" id="{960FB677-318F-47DB-91A0-CFFE16661FCE}">
            <xm:f>TITELBLAD!$D$10&lt;&gt;"aardgas"</xm:f>
            <x14:dxf>
              <fill>
                <patternFill patternType="lightUp"/>
              </fill>
            </x14:dxf>
          </x14:cfRule>
          <xm:sqref>B42:D67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Blad3"/>
  <dimension ref="B1:K276"/>
  <sheetViews>
    <sheetView topLeftCell="A18" zoomScale="85" zoomScaleNormal="85" workbookViewId="0">
      <selection activeCell="G43" sqref="G43"/>
    </sheetView>
  </sheetViews>
  <sheetFormatPr defaultColWidth="9.109375" defaultRowHeight="13.2" x14ac:dyDescent="0.25"/>
  <cols>
    <col min="1" max="1" width="1.88671875" style="434" customWidth="1"/>
    <col min="2" max="2" width="5" style="434" customWidth="1"/>
    <col min="3" max="3" width="6.5546875" style="434" customWidth="1"/>
    <col min="4" max="4" width="9.109375" style="434"/>
    <col min="5" max="5" width="31.88671875" style="434" customWidth="1"/>
    <col min="6" max="6" width="8" style="434" customWidth="1"/>
    <col min="7" max="7" width="34.44140625" style="434" customWidth="1"/>
    <col min="8" max="8" width="34.5546875" style="434" customWidth="1"/>
    <col min="9" max="9" width="34.44140625" style="434" customWidth="1"/>
    <col min="10" max="10" width="19.5546875" style="434" customWidth="1"/>
    <col min="11" max="11" width="20.5546875" style="434" customWidth="1"/>
    <col min="12" max="16384" width="9.109375" style="434"/>
  </cols>
  <sheetData>
    <row r="1" spans="2:11" ht="18" customHeight="1" thickBot="1" x14ac:dyDescent="0.3">
      <c r="B1" s="719" t="str">
        <f>"TABEL 1: Balans (algemene boekhouding) voor boekjaar "&amp;TITELBLAD!F17</f>
        <v>TABEL 1: Balans (algemene boekhouding) voor boekjaar 2025</v>
      </c>
      <c r="C1" s="720"/>
      <c r="D1" s="720"/>
      <c r="E1" s="720"/>
      <c r="F1" s="720"/>
      <c r="G1" s="720"/>
      <c r="H1" s="720"/>
      <c r="I1" s="720"/>
      <c r="J1" s="721"/>
      <c r="K1" s="433"/>
    </row>
    <row r="2" spans="2:11" ht="13.8" thickBot="1" x14ac:dyDescent="0.3">
      <c r="B2" s="435"/>
      <c r="C2" s="435"/>
      <c r="D2" s="435"/>
      <c r="E2" s="435"/>
      <c r="F2" s="433"/>
      <c r="G2" s="435"/>
      <c r="H2" s="435"/>
      <c r="I2" s="435"/>
      <c r="J2" s="435"/>
      <c r="K2" s="433"/>
    </row>
    <row r="3" spans="2:11" ht="13.8" thickBot="1" x14ac:dyDescent="0.3">
      <c r="B3" s="714" t="str">
        <f>"BOEKJAAR "&amp;TITELBLAD!$F$17</f>
        <v>BOEKJAAR 2025</v>
      </c>
      <c r="C3" s="715"/>
      <c r="D3" s="715"/>
      <c r="E3" s="715"/>
      <c r="F3" s="715"/>
      <c r="G3" s="715"/>
      <c r="H3" s="715"/>
      <c r="I3" s="715"/>
      <c r="J3" s="716"/>
      <c r="K3" s="433"/>
    </row>
    <row r="4" spans="2:11" x14ac:dyDescent="0.25">
      <c r="B4" s="435"/>
      <c r="C4" s="435"/>
      <c r="D4" s="435"/>
      <c r="E4" s="435"/>
      <c r="F4" s="433"/>
      <c r="G4" s="435"/>
      <c r="H4" s="435"/>
      <c r="I4" s="435"/>
      <c r="J4" s="435"/>
      <c r="K4" s="433"/>
    </row>
    <row r="5" spans="2:11" x14ac:dyDescent="0.25">
      <c r="C5" s="436" t="s">
        <v>83</v>
      </c>
      <c r="D5" s="437"/>
      <c r="J5" s="437"/>
    </row>
    <row r="6" spans="2:11" x14ac:dyDescent="0.25">
      <c r="C6" s="438" t="s">
        <v>147</v>
      </c>
      <c r="D6" s="437"/>
      <c r="J6" s="437"/>
    </row>
    <row r="7" spans="2:11" ht="13.8" thickBot="1" x14ac:dyDescent="0.3">
      <c r="B7" s="435"/>
    </row>
    <row r="8" spans="2:11" ht="13.8" thickTop="1" x14ac:dyDescent="0.25">
      <c r="B8" s="700" t="s">
        <v>11</v>
      </c>
      <c r="C8" s="701"/>
      <c r="D8" s="701"/>
      <c r="E8" s="702"/>
      <c r="F8" s="706" t="s">
        <v>17</v>
      </c>
      <c r="G8" s="710" t="s">
        <v>105</v>
      </c>
      <c r="H8" s="710" t="s">
        <v>355</v>
      </c>
      <c r="I8" s="717" t="s">
        <v>84</v>
      </c>
      <c r="J8" s="717" t="s">
        <v>16</v>
      </c>
      <c r="K8" s="440"/>
    </row>
    <row r="9" spans="2:11" x14ac:dyDescent="0.25">
      <c r="B9" s="703"/>
      <c r="C9" s="704"/>
      <c r="D9" s="704"/>
      <c r="E9" s="705"/>
      <c r="F9" s="707"/>
      <c r="G9" s="711"/>
      <c r="H9" s="711"/>
      <c r="I9" s="718"/>
      <c r="J9" s="718"/>
      <c r="K9" s="440"/>
    </row>
    <row r="10" spans="2:11" x14ac:dyDescent="0.25">
      <c r="B10" s="442"/>
      <c r="F10" s="443"/>
      <c r="G10" s="444"/>
      <c r="H10" s="444"/>
      <c r="I10" s="444"/>
      <c r="J10" s="444"/>
      <c r="K10" s="440"/>
    </row>
    <row r="11" spans="2:11" x14ac:dyDescent="0.25">
      <c r="B11" s="445" t="s">
        <v>167</v>
      </c>
      <c r="C11" s="446"/>
      <c r="F11" s="447">
        <v>20</v>
      </c>
      <c r="G11" s="12">
        <v>0</v>
      </c>
      <c r="H11" s="12">
        <v>0</v>
      </c>
      <c r="I11" s="12">
        <v>0</v>
      </c>
      <c r="J11" s="448">
        <f>SUM(G11:I11)</f>
        <v>0</v>
      </c>
      <c r="K11" s="440"/>
    </row>
    <row r="12" spans="2:11" x14ac:dyDescent="0.25">
      <c r="B12" s="442"/>
      <c r="F12" s="443"/>
      <c r="G12" s="449"/>
      <c r="H12" s="450"/>
      <c r="I12" s="450"/>
      <c r="J12" s="450"/>
      <c r="K12" s="440"/>
    </row>
    <row r="13" spans="2:11" x14ac:dyDescent="0.25">
      <c r="B13" s="445" t="s">
        <v>85</v>
      </c>
      <c r="F13" s="447" t="s">
        <v>168</v>
      </c>
      <c r="G13" s="451">
        <f t="shared" ref="G13:I13" si="0">SUM(G15,G17,G19)</f>
        <v>0</v>
      </c>
      <c r="H13" s="451">
        <f t="shared" si="0"/>
        <v>0</v>
      </c>
      <c r="I13" s="451">
        <f t="shared" si="0"/>
        <v>0</v>
      </c>
      <c r="J13" s="451">
        <f>SUM(J15,J17,J19)</f>
        <v>0</v>
      </c>
      <c r="K13" s="440"/>
    </row>
    <row r="14" spans="2:11" x14ac:dyDescent="0.25">
      <c r="B14" s="442"/>
      <c r="F14" s="443"/>
      <c r="G14" s="444"/>
      <c r="H14" s="444"/>
      <c r="I14" s="444"/>
      <c r="J14" s="452"/>
      <c r="K14" s="440"/>
    </row>
    <row r="15" spans="2:11" x14ac:dyDescent="0.25">
      <c r="B15" s="442"/>
      <c r="C15" s="446" t="s">
        <v>169</v>
      </c>
      <c r="F15" s="453">
        <v>21</v>
      </c>
      <c r="G15" s="11">
        <v>0</v>
      </c>
      <c r="H15" s="11">
        <v>0</v>
      </c>
      <c r="I15" s="11">
        <v>0</v>
      </c>
      <c r="J15" s="454">
        <f>SUM(G15:I15)</f>
        <v>0</v>
      </c>
      <c r="K15" s="440"/>
    </row>
    <row r="16" spans="2:11" x14ac:dyDescent="0.25">
      <c r="B16" s="442"/>
      <c r="F16" s="443"/>
      <c r="G16" s="444"/>
      <c r="H16" s="444"/>
      <c r="I16" s="444"/>
      <c r="J16" s="452"/>
      <c r="K16" s="440"/>
    </row>
    <row r="17" spans="2:11" x14ac:dyDescent="0.25">
      <c r="B17" s="442"/>
      <c r="C17" s="446" t="s">
        <v>170</v>
      </c>
      <c r="F17" s="453" t="s">
        <v>86</v>
      </c>
      <c r="G17" s="11">
        <v>0</v>
      </c>
      <c r="H17" s="11">
        <v>0</v>
      </c>
      <c r="I17" s="11">
        <v>0</v>
      </c>
      <c r="J17" s="454">
        <f>SUM(G17:I17)</f>
        <v>0</v>
      </c>
      <c r="K17" s="440"/>
    </row>
    <row r="18" spans="2:11" x14ac:dyDescent="0.25">
      <c r="B18" s="442"/>
      <c r="F18" s="443"/>
      <c r="G18" s="444"/>
      <c r="H18" s="444"/>
      <c r="I18" s="444"/>
      <c r="J18" s="452"/>
      <c r="K18" s="440"/>
    </row>
    <row r="19" spans="2:11" x14ac:dyDescent="0.25">
      <c r="B19" s="442"/>
      <c r="C19" s="446" t="s">
        <v>171</v>
      </c>
      <c r="E19" s="455"/>
      <c r="F19" s="453">
        <v>28</v>
      </c>
      <c r="G19" s="11">
        <v>0</v>
      </c>
      <c r="H19" s="11">
        <v>0</v>
      </c>
      <c r="I19" s="11">
        <v>0</v>
      </c>
      <c r="J19" s="454">
        <f>SUM(G19:I19)</f>
        <v>0</v>
      </c>
      <c r="K19" s="440"/>
    </row>
    <row r="20" spans="2:11" x14ac:dyDescent="0.25">
      <c r="B20" s="442"/>
      <c r="F20" s="443"/>
      <c r="G20" s="444"/>
      <c r="H20" s="444"/>
      <c r="I20" s="444"/>
      <c r="J20" s="452"/>
      <c r="K20" s="440"/>
    </row>
    <row r="21" spans="2:11" x14ac:dyDescent="0.25">
      <c r="B21" s="445" t="s">
        <v>87</v>
      </c>
      <c r="F21" s="447" t="s">
        <v>88</v>
      </c>
      <c r="G21" s="451">
        <f t="shared" ref="G21:J21" si="1">SUM(G23,G25,G27,G29,G31,G33)</f>
        <v>0</v>
      </c>
      <c r="H21" s="451">
        <f t="shared" si="1"/>
        <v>0</v>
      </c>
      <c r="I21" s="451">
        <f t="shared" si="1"/>
        <v>0</v>
      </c>
      <c r="J21" s="451">
        <f t="shared" si="1"/>
        <v>0</v>
      </c>
      <c r="K21" s="440"/>
    </row>
    <row r="22" spans="2:11" x14ac:dyDescent="0.25">
      <c r="B22" s="442"/>
      <c r="F22" s="443"/>
      <c r="G22" s="444"/>
      <c r="H22" s="444"/>
      <c r="I22" s="444"/>
      <c r="J22" s="452"/>
      <c r="K22" s="440"/>
    </row>
    <row r="23" spans="2:11" x14ac:dyDescent="0.25">
      <c r="B23" s="442"/>
      <c r="C23" s="446" t="s">
        <v>172</v>
      </c>
      <c r="F23" s="453">
        <v>29</v>
      </c>
      <c r="G23" s="11">
        <v>0</v>
      </c>
      <c r="H23" s="11">
        <v>0</v>
      </c>
      <c r="I23" s="11">
        <v>0</v>
      </c>
      <c r="J23" s="454">
        <f>SUM(G23:I23)</f>
        <v>0</v>
      </c>
      <c r="K23" s="440"/>
    </row>
    <row r="24" spans="2:11" x14ac:dyDescent="0.25">
      <c r="B24" s="442"/>
      <c r="F24" s="443"/>
      <c r="G24" s="444"/>
      <c r="H24" s="444"/>
      <c r="I24" s="444"/>
      <c r="J24" s="452"/>
      <c r="K24" s="440"/>
    </row>
    <row r="25" spans="2:11" x14ac:dyDescent="0.25">
      <c r="B25" s="442"/>
      <c r="C25" s="446" t="s">
        <v>173</v>
      </c>
      <c r="F25" s="453">
        <v>3</v>
      </c>
      <c r="G25" s="11">
        <v>0</v>
      </c>
      <c r="H25" s="11">
        <v>0</v>
      </c>
      <c r="I25" s="11">
        <v>0</v>
      </c>
      <c r="J25" s="454">
        <f>SUM(G25:I25)</f>
        <v>0</v>
      </c>
      <c r="K25" s="440"/>
    </row>
    <row r="26" spans="2:11" x14ac:dyDescent="0.25">
      <c r="B26" s="442"/>
      <c r="F26" s="443"/>
      <c r="G26" s="444"/>
      <c r="H26" s="444"/>
      <c r="I26" s="444"/>
      <c r="J26" s="452"/>
      <c r="K26" s="440"/>
    </row>
    <row r="27" spans="2:11" x14ac:dyDescent="0.25">
      <c r="B27" s="442"/>
      <c r="C27" s="446" t="s">
        <v>174</v>
      </c>
      <c r="F27" s="453" t="s">
        <v>89</v>
      </c>
      <c r="G27" s="11">
        <v>0</v>
      </c>
      <c r="H27" s="11">
        <v>0</v>
      </c>
      <c r="I27" s="11">
        <v>0</v>
      </c>
      <c r="J27" s="454">
        <f>SUM(G27:I27)</f>
        <v>0</v>
      </c>
      <c r="K27" s="440"/>
    </row>
    <row r="28" spans="2:11" x14ac:dyDescent="0.25">
      <c r="B28" s="442"/>
      <c r="F28" s="443"/>
      <c r="G28" s="444"/>
      <c r="H28" s="444"/>
      <c r="I28" s="444"/>
      <c r="J28" s="452"/>
      <c r="K28" s="440"/>
    </row>
    <row r="29" spans="2:11" x14ac:dyDescent="0.25">
      <c r="B29" s="442"/>
      <c r="C29" s="446" t="s">
        <v>175</v>
      </c>
      <c r="F29" s="453" t="s">
        <v>90</v>
      </c>
      <c r="G29" s="11">
        <v>0</v>
      </c>
      <c r="H29" s="11">
        <v>0</v>
      </c>
      <c r="I29" s="11">
        <v>0</v>
      </c>
      <c r="J29" s="454">
        <f>SUM(G29:I29)</f>
        <v>0</v>
      </c>
      <c r="K29" s="440"/>
    </row>
    <row r="30" spans="2:11" x14ac:dyDescent="0.25">
      <c r="B30" s="442"/>
      <c r="F30" s="443"/>
      <c r="G30" s="444"/>
      <c r="H30" s="444"/>
      <c r="I30" s="444"/>
      <c r="J30" s="452"/>
      <c r="K30" s="440"/>
    </row>
    <row r="31" spans="2:11" x14ac:dyDescent="0.25">
      <c r="B31" s="442"/>
      <c r="C31" s="456" t="s">
        <v>176</v>
      </c>
      <c r="F31" s="457" t="s">
        <v>91</v>
      </c>
      <c r="G31" s="11">
        <v>0</v>
      </c>
      <c r="H31" s="11">
        <v>0</v>
      </c>
      <c r="I31" s="11">
        <v>0</v>
      </c>
      <c r="J31" s="454">
        <f>SUM(G31:I31)</f>
        <v>0</v>
      </c>
      <c r="K31" s="440"/>
    </row>
    <row r="32" spans="2:11" x14ac:dyDescent="0.25">
      <c r="B32" s="442"/>
      <c r="C32" s="456"/>
      <c r="F32" s="458"/>
      <c r="G32" s="459"/>
      <c r="H32" s="459"/>
      <c r="I32" s="459"/>
      <c r="J32" s="460"/>
      <c r="K32" s="440"/>
    </row>
    <row r="33" spans="2:11" x14ac:dyDescent="0.25">
      <c r="B33" s="442"/>
      <c r="C33" s="446" t="s">
        <v>52</v>
      </c>
      <c r="F33" s="453" t="s">
        <v>92</v>
      </c>
      <c r="G33" s="11">
        <v>0</v>
      </c>
      <c r="H33" s="11">
        <v>0</v>
      </c>
      <c r="I33" s="11">
        <v>0</v>
      </c>
      <c r="J33" s="454">
        <f>SUM(G33:I33)</f>
        <v>0</v>
      </c>
      <c r="K33" s="440"/>
    </row>
    <row r="34" spans="2:11" x14ac:dyDescent="0.25">
      <c r="B34" s="442"/>
      <c r="F34" s="443"/>
      <c r="G34" s="461"/>
      <c r="H34" s="461"/>
      <c r="I34" s="461"/>
      <c r="J34" s="461"/>
      <c r="K34" s="440"/>
    </row>
    <row r="35" spans="2:11" x14ac:dyDescent="0.25">
      <c r="B35" s="462"/>
      <c r="C35" s="463"/>
      <c r="D35" s="463"/>
      <c r="E35" s="463"/>
      <c r="F35" s="464"/>
      <c r="G35" s="444"/>
      <c r="H35" s="444"/>
      <c r="I35" s="444"/>
      <c r="J35" s="444"/>
      <c r="K35" s="440"/>
    </row>
    <row r="36" spans="2:11" x14ac:dyDescent="0.25">
      <c r="B36" s="445" t="s">
        <v>194</v>
      </c>
      <c r="F36" s="447"/>
      <c r="G36" s="451">
        <f>+SUM(G11,G13,G21)</f>
        <v>0</v>
      </c>
      <c r="H36" s="451">
        <f t="shared" ref="H36:J36" si="2">+SUM(H11,H13,H21)</f>
        <v>0</v>
      </c>
      <c r="I36" s="451">
        <f t="shared" si="2"/>
        <v>0</v>
      </c>
      <c r="J36" s="451">
        <f t="shared" si="2"/>
        <v>0</v>
      </c>
      <c r="K36" s="440"/>
    </row>
    <row r="37" spans="2:11" ht="13.8" thickBot="1" x14ac:dyDescent="0.3">
      <c r="B37" s="465"/>
      <c r="C37" s="466"/>
      <c r="D37" s="466"/>
      <c r="E37" s="467"/>
      <c r="F37" s="468"/>
      <c r="G37" s="469"/>
      <c r="H37" s="469"/>
      <c r="I37" s="469"/>
      <c r="J37" s="469"/>
      <c r="K37" s="440"/>
    </row>
    <row r="38" spans="2:11" ht="13.8" thickTop="1" x14ac:dyDescent="0.25">
      <c r="G38" s="470"/>
      <c r="H38" s="470"/>
      <c r="I38" s="470"/>
      <c r="J38" s="470"/>
      <c r="K38" s="440"/>
    </row>
    <row r="39" spans="2:11" ht="13.8" thickBot="1" x14ac:dyDescent="0.3">
      <c r="G39" s="470"/>
      <c r="H39" s="470"/>
      <c r="I39" s="470"/>
      <c r="J39" s="470"/>
      <c r="K39" s="440"/>
    </row>
    <row r="40" spans="2:11" ht="13.8" thickTop="1" x14ac:dyDescent="0.25">
      <c r="B40" s="700" t="s">
        <v>14</v>
      </c>
      <c r="C40" s="701"/>
      <c r="D40" s="701"/>
      <c r="E40" s="702"/>
      <c r="F40" s="706" t="s">
        <v>93</v>
      </c>
      <c r="G40" s="710" t="s">
        <v>105</v>
      </c>
      <c r="H40" s="710" t="s">
        <v>355</v>
      </c>
      <c r="I40" s="717" t="s">
        <v>84</v>
      </c>
      <c r="J40" s="717" t="s">
        <v>16</v>
      </c>
      <c r="K40" s="440"/>
    </row>
    <row r="41" spans="2:11" x14ac:dyDescent="0.25">
      <c r="B41" s="703"/>
      <c r="C41" s="704"/>
      <c r="D41" s="704"/>
      <c r="E41" s="705"/>
      <c r="F41" s="707"/>
      <c r="G41" s="711"/>
      <c r="H41" s="711"/>
      <c r="I41" s="718"/>
      <c r="J41" s="718"/>
      <c r="K41" s="440"/>
    </row>
    <row r="42" spans="2:11" x14ac:dyDescent="0.25">
      <c r="B42" s="442"/>
      <c r="F42" s="471"/>
      <c r="G42" s="472"/>
      <c r="H42" s="472"/>
      <c r="I42" s="472"/>
      <c r="J42" s="472"/>
      <c r="K42" s="440"/>
    </row>
    <row r="43" spans="2:11" x14ac:dyDescent="0.25">
      <c r="B43" s="445" t="s">
        <v>94</v>
      </c>
      <c r="F43" s="473" t="s">
        <v>402</v>
      </c>
      <c r="G43" s="451">
        <f>SUM(G45,G47,G51,G53,G58,G60,G62)</f>
        <v>0</v>
      </c>
      <c r="H43" s="451">
        <f t="shared" ref="H43:I43" si="3">SUM(H45,H47,H51,H53,H58,H60,H62)</f>
        <v>0</v>
      </c>
      <c r="I43" s="451">
        <f t="shared" si="3"/>
        <v>0</v>
      </c>
      <c r="J43" s="451">
        <f>SUM(J45,J47,J51,J53,J58,J60,J62)</f>
        <v>0</v>
      </c>
      <c r="K43" s="440"/>
    </row>
    <row r="44" spans="2:11" x14ac:dyDescent="0.25">
      <c r="B44" s="442"/>
      <c r="F44" s="471"/>
      <c r="G44" s="444"/>
      <c r="H44" s="444"/>
      <c r="I44" s="444"/>
      <c r="J44" s="444"/>
      <c r="K44" s="440"/>
    </row>
    <row r="45" spans="2:11" x14ac:dyDescent="0.25">
      <c r="B45" s="442"/>
      <c r="C45" s="446" t="s">
        <v>177</v>
      </c>
      <c r="F45" s="474">
        <v>10</v>
      </c>
      <c r="G45" s="11">
        <v>0</v>
      </c>
      <c r="H45" s="11">
        <v>0</v>
      </c>
      <c r="I45" s="11">
        <v>0</v>
      </c>
      <c r="J45" s="454">
        <f>SUM(G45:I45)</f>
        <v>0</v>
      </c>
      <c r="K45" s="440"/>
    </row>
    <row r="46" spans="2:11" x14ac:dyDescent="0.25">
      <c r="B46" s="442"/>
      <c r="F46" s="471"/>
      <c r="G46" s="444"/>
      <c r="H46" s="444"/>
      <c r="I46" s="444"/>
      <c r="J46" s="444"/>
      <c r="K46" s="440"/>
    </row>
    <row r="47" spans="2:11" x14ac:dyDescent="0.25">
      <c r="B47" s="442"/>
      <c r="C47" s="446" t="s">
        <v>356</v>
      </c>
      <c r="F47" s="474">
        <v>11</v>
      </c>
      <c r="G47" s="154">
        <f>SUM(G48:G49)</f>
        <v>0</v>
      </c>
      <c r="H47" s="154">
        <f t="shared" ref="H47:J47" si="4">SUM(H48:H49)</f>
        <v>0</v>
      </c>
      <c r="I47" s="154">
        <f t="shared" si="4"/>
        <v>0</v>
      </c>
      <c r="J47" s="475">
        <f t="shared" si="4"/>
        <v>0</v>
      </c>
      <c r="K47" s="440"/>
    </row>
    <row r="48" spans="2:11" x14ac:dyDescent="0.25">
      <c r="B48" s="442"/>
      <c r="D48" s="476" t="s">
        <v>305</v>
      </c>
      <c r="F48" s="471">
        <v>110</v>
      </c>
      <c r="G48" s="11">
        <v>0</v>
      </c>
      <c r="H48" s="11">
        <v>0</v>
      </c>
      <c r="I48" s="11">
        <v>0</v>
      </c>
      <c r="J48" s="452">
        <f>SUM(G48:I48)</f>
        <v>0</v>
      </c>
      <c r="K48" s="440"/>
    </row>
    <row r="49" spans="2:11" x14ac:dyDescent="0.25">
      <c r="B49" s="442"/>
      <c r="D49" s="476" t="s">
        <v>306</v>
      </c>
      <c r="F49" s="471">
        <v>111</v>
      </c>
      <c r="G49" s="11">
        <v>0</v>
      </c>
      <c r="H49" s="11">
        <v>0</v>
      </c>
      <c r="I49" s="11">
        <v>0</v>
      </c>
      <c r="J49" s="452">
        <f>SUM(G49:I49)</f>
        <v>0</v>
      </c>
      <c r="K49" s="440"/>
    </row>
    <row r="50" spans="2:11" x14ac:dyDescent="0.25">
      <c r="B50" s="442"/>
      <c r="C50" s="446"/>
      <c r="F50" s="471"/>
      <c r="G50" s="444"/>
      <c r="H50" s="444"/>
      <c r="I50" s="444"/>
      <c r="J50" s="452"/>
      <c r="K50" s="440"/>
    </row>
    <row r="51" spans="2:11" x14ac:dyDescent="0.25">
      <c r="B51" s="442"/>
      <c r="C51" s="477" t="s">
        <v>178</v>
      </c>
      <c r="D51" s="476"/>
      <c r="F51" s="474">
        <v>12</v>
      </c>
      <c r="G51" s="11">
        <v>0</v>
      </c>
      <c r="H51" s="11">
        <v>0</v>
      </c>
      <c r="I51" s="11">
        <v>0</v>
      </c>
      <c r="J51" s="454">
        <f>SUM(G51:I51)</f>
        <v>0</v>
      </c>
      <c r="K51" s="440"/>
    </row>
    <row r="52" spans="2:11" x14ac:dyDescent="0.25">
      <c r="B52" s="442"/>
      <c r="D52" s="476"/>
      <c r="E52" s="455"/>
      <c r="F52" s="471"/>
      <c r="G52" s="444"/>
      <c r="H52" s="444"/>
      <c r="I52" s="444"/>
      <c r="J52" s="452"/>
      <c r="K52" s="440"/>
    </row>
    <row r="53" spans="2:11" x14ac:dyDescent="0.25">
      <c r="B53" s="442"/>
      <c r="C53" s="477" t="s">
        <v>179</v>
      </c>
      <c r="D53" s="476"/>
      <c r="E53" s="455"/>
      <c r="F53" s="474">
        <v>13</v>
      </c>
      <c r="G53" s="154">
        <f>SUM(G54:G56)</f>
        <v>0</v>
      </c>
      <c r="H53" s="154">
        <f t="shared" ref="H53:J53" si="5">SUM(H54:H56)</f>
        <v>0</v>
      </c>
      <c r="I53" s="154">
        <f t="shared" si="5"/>
        <v>0</v>
      </c>
      <c r="J53" s="475">
        <f t="shared" si="5"/>
        <v>0</v>
      </c>
      <c r="K53" s="440"/>
    </row>
    <row r="54" spans="2:11" x14ac:dyDescent="0.25">
      <c r="B54" s="442"/>
      <c r="D54" s="476" t="s">
        <v>307</v>
      </c>
      <c r="F54" s="471" t="s">
        <v>310</v>
      </c>
      <c r="G54" s="11">
        <v>0</v>
      </c>
      <c r="H54" s="11">
        <v>0</v>
      </c>
      <c r="I54" s="11">
        <v>0</v>
      </c>
      <c r="J54" s="452">
        <f>SUM(G54:I54)</f>
        <v>0</v>
      </c>
      <c r="K54" s="440"/>
    </row>
    <row r="55" spans="2:11" x14ac:dyDescent="0.25">
      <c r="B55" s="442"/>
      <c r="D55" s="476" t="s">
        <v>308</v>
      </c>
      <c r="F55" s="471">
        <v>132</v>
      </c>
      <c r="G55" s="11">
        <v>0</v>
      </c>
      <c r="H55" s="11">
        <v>0</v>
      </c>
      <c r="I55" s="11">
        <v>0</v>
      </c>
      <c r="J55" s="452">
        <f>SUM(G55:I55)</f>
        <v>0</v>
      </c>
      <c r="K55" s="440"/>
    </row>
    <row r="56" spans="2:11" x14ac:dyDescent="0.25">
      <c r="B56" s="442"/>
      <c r="D56" s="476" t="s">
        <v>309</v>
      </c>
      <c r="F56" s="471">
        <v>133</v>
      </c>
      <c r="G56" s="11">
        <v>0</v>
      </c>
      <c r="H56" s="11">
        <v>0</v>
      </c>
      <c r="I56" s="11">
        <v>0</v>
      </c>
      <c r="J56" s="452">
        <f>SUM(G56:I56)</f>
        <v>0</v>
      </c>
      <c r="K56" s="440"/>
    </row>
    <row r="57" spans="2:11" x14ac:dyDescent="0.25">
      <c r="B57" s="442"/>
      <c r="C57" s="446"/>
      <c r="E57" s="455"/>
      <c r="F57" s="471"/>
      <c r="G57" s="444"/>
      <c r="H57" s="444"/>
      <c r="I57" s="444"/>
      <c r="J57" s="452"/>
      <c r="K57" s="440"/>
    </row>
    <row r="58" spans="2:11" x14ac:dyDescent="0.25">
      <c r="B58" s="442"/>
      <c r="C58" s="446" t="s">
        <v>311</v>
      </c>
      <c r="E58" s="455"/>
      <c r="F58" s="474">
        <v>14</v>
      </c>
      <c r="G58" s="11">
        <v>0</v>
      </c>
      <c r="H58" s="11">
        <v>0</v>
      </c>
      <c r="I58" s="11">
        <v>0</v>
      </c>
      <c r="J58" s="454">
        <f>SUM(G58:I58)</f>
        <v>0</v>
      </c>
      <c r="K58" s="440"/>
    </row>
    <row r="59" spans="2:11" x14ac:dyDescent="0.25">
      <c r="B59" s="442"/>
      <c r="C59" s="446"/>
      <c r="E59" s="455"/>
      <c r="F59" s="471"/>
      <c r="G59" s="478"/>
      <c r="H59" s="478"/>
      <c r="I59" s="478"/>
      <c r="J59" s="454"/>
      <c r="K59" s="440"/>
    </row>
    <row r="60" spans="2:11" x14ac:dyDescent="0.25">
      <c r="B60" s="442"/>
      <c r="C60" s="446" t="s">
        <v>181</v>
      </c>
      <c r="E60" s="455"/>
      <c r="F60" s="474">
        <v>15</v>
      </c>
      <c r="G60" s="11">
        <v>0</v>
      </c>
      <c r="H60" s="11">
        <v>0</v>
      </c>
      <c r="I60" s="11">
        <v>0</v>
      </c>
      <c r="J60" s="454">
        <f>SUM(G60:I60)</f>
        <v>0</v>
      </c>
      <c r="K60" s="440"/>
    </row>
    <row r="61" spans="2:11" x14ac:dyDescent="0.25">
      <c r="B61" s="442"/>
      <c r="C61" s="446"/>
      <c r="E61" s="455"/>
      <c r="F61" s="471"/>
      <c r="G61" s="478"/>
      <c r="H61" s="478"/>
      <c r="I61" s="478"/>
      <c r="J61" s="454"/>
      <c r="K61" s="440"/>
    </row>
    <row r="62" spans="2:11" ht="27.6" customHeight="1" x14ac:dyDescent="0.25">
      <c r="B62" s="442"/>
      <c r="C62" s="722" t="s">
        <v>195</v>
      </c>
      <c r="D62" s="722"/>
      <c r="E62" s="723"/>
      <c r="F62" s="474">
        <v>19</v>
      </c>
      <c r="G62" s="11">
        <v>0</v>
      </c>
      <c r="H62" s="11">
        <v>0</v>
      </c>
      <c r="I62" s="11">
        <v>0</v>
      </c>
      <c r="J62" s="454">
        <f>SUM(G62:I62)</f>
        <v>0</v>
      </c>
      <c r="K62" s="440"/>
    </row>
    <row r="63" spans="2:11" x14ac:dyDescent="0.25">
      <c r="B63" s="442"/>
      <c r="C63" s="446"/>
      <c r="E63" s="455"/>
      <c r="F63" s="474"/>
      <c r="G63" s="478"/>
      <c r="H63" s="478"/>
      <c r="I63" s="478"/>
      <c r="J63" s="454"/>
      <c r="K63" s="440"/>
    </row>
    <row r="64" spans="2:11" x14ac:dyDescent="0.25">
      <c r="B64" s="445" t="s">
        <v>182</v>
      </c>
      <c r="C64" s="446"/>
      <c r="E64" s="455"/>
      <c r="F64" s="479">
        <v>16</v>
      </c>
      <c r="G64" s="121">
        <f>SUM(G66,G68)</f>
        <v>0</v>
      </c>
      <c r="H64" s="121">
        <f t="shared" ref="H64:I64" si="6">SUM(H66,H68)</f>
        <v>0</v>
      </c>
      <c r="I64" s="121">
        <f t="shared" si="6"/>
        <v>0</v>
      </c>
      <c r="J64" s="448">
        <f>SUM(J66,J68)</f>
        <v>0</v>
      </c>
      <c r="K64" s="440"/>
    </row>
    <row r="65" spans="2:11" x14ac:dyDescent="0.25">
      <c r="B65" s="442"/>
      <c r="F65" s="471"/>
      <c r="G65" s="444"/>
      <c r="H65" s="444"/>
      <c r="I65" s="444"/>
      <c r="J65" s="444"/>
      <c r="K65" s="440"/>
    </row>
    <row r="66" spans="2:11" x14ac:dyDescent="0.25">
      <c r="B66" s="442"/>
      <c r="C66" s="446" t="s">
        <v>190</v>
      </c>
      <c r="F66" s="474" t="s">
        <v>192</v>
      </c>
      <c r="G66" s="11">
        <v>0</v>
      </c>
      <c r="H66" s="11">
        <v>0</v>
      </c>
      <c r="I66" s="11">
        <v>0</v>
      </c>
      <c r="J66" s="454">
        <f>SUM(G66:I66)</f>
        <v>0</v>
      </c>
      <c r="K66" s="440"/>
    </row>
    <row r="67" spans="2:11" x14ac:dyDescent="0.25">
      <c r="B67" s="442"/>
      <c r="C67" s="446"/>
      <c r="F67" s="471"/>
      <c r="G67" s="444"/>
      <c r="H67" s="444"/>
      <c r="I67" s="444"/>
      <c r="J67" s="452"/>
      <c r="K67" s="440"/>
    </row>
    <row r="68" spans="2:11" x14ac:dyDescent="0.25">
      <c r="B68" s="442"/>
      <c r="C68" s="446" t="s">
        <v>191</v>
      </c>
      <c r="F68" s="474">
        <v>168</v>
      </c>
      <c r="G68" s="11">
        <v>0</v>
      </c>
      <c r="H68" s="11">
        <v>0</v>
      </c>
      <c r="I68" s="11">
        <v>0</v>
      </c>
      <c r="J68" s="454">
        <f>SUM(G68:I68)</f>
        <v>0</v>
      </c>
      <c r="K68" s="440"/>
    </row>
    <row r="69" spans="2:11" x14ac:dyDescent="0.25">
      <c r="B69" s="442"/>
      <c r="E69" s="455"/>
      <c r="F69" s="471"/>
      <c r="G69" s="444"/>
      <c r="H69" s="444"/>
      <c r="I69" s="444"/>
      <c r="J69" s="454"/>
      <c r="K69" s="440"/>
    </row>
    <row r="70" spans="2:11" x14ac:dyDescent="0.25">
      <c r="B70" s="480" t="s">
        <v>96</v>
      </c>
      <c r="F70" s="479" t="s">
        <v>97</v>
      </c>
      <c r="G70" s="451">
        <f>SUM(G72,G78,G86)</f>
        <v>0</v>
      </c>
      <c r="H70" s="451">
        <f>SUM(H72,H78,H86)</f>
        <v>0</v>
      </c>
      <c r="I70" s="451">
        <f>SUM(I72,I78,I86)</f>
        <v>0</v>
      </c>
      <c r="J70" s="451">
        <f>SUM(J72,J78,J86)</f>
        <v>0</v>
      </c>
      <c r="K70" s="440"/>
    </row>
    <row r="71" spans="2:11" x14ac:dyDescent="0.25">
      <c r="B71" s="442"/>
      <c r="D71" s="476"/>
      <c r="F71" s="471"/>
      <c r="G71" s="444"/>
      <c r="H71" s="444"/>
      <c r="I71" s="444"/>
      <c r="J71" s="452"/>
      <c r="K71" s="440"/>
    </row>
    <row r="72" spans="2:11" x14ac:dyDescent="0.25">
      <c r="B72" s="442"/>
      <c r="C72" s="477" t="s">
        <v>183</v>
      </c>
      <c r="F72" s="474">
        <v>17</v>
      </c>
      <c r="G72" s="481">
        <f t="shared" ref="G72:J72" si="7">SUM(G73:G76)</f>
        <v>0</v>
      </c>
      <c r="H72" s="481">
        <f t="shared" si="7"/>
        <v>0</v>
      </c>
      <c r="I72" s="481">
        <f t="shared" si="7"/>
        <v>0</v>
      </c>
      <c r="J72" s="478">
        <f t="shared" si="7"/>
        <v>0</v>
      </c>
      <c r="K72" s="440"/>
    </row>
    <row r="73" spans="2:11" x14ac:dyDescent="0.25">
      <c r="B73" s="442"/>
      <c r="D73" s="476" t="s">
        <v>184</v>
      </c>
      <c r="F73" s="482" t="s">
        <v>98</v>
      </c>
      <c r="G73" s="117">
        <v>0</v>
      </c>
      <c r="H73" s="117">
        <v>0</v>
      </c>
      <c r="I73" s="117">
        <v>0</v>
      </c>
      <c r="J73" s="452">
        <f>SUM(G73:I73)</f>
        <v>0</v>
      </c>
      <c r="K73" s="440"/>
    </row>
    <row r="74" spans="2:11" x14ac:dyDescent="0.25">
      <c r="B74" s="442"/>
      <c r="D74" s="476" t="s">
        <v>185</v>
      </c>
      <c r="F74" s="482">
        <v>175</v>
      </c>
      <c r="G74" s="117">
        <v>0</v>
      </c>
      <c r="H74" s="117">
        <v>0</v>
      </c>
      <c r="I74" s="117">
        <v>0</v>
      </c>
      <c r="J74" s="452">
        <f>SUM(G74:I74)</f>
        <v>0</v>
      </c>
      <c r="K74" s="440"/>
    </row>
    <row r="75" spans="2:11" x14ac:dyDescent="0.25">
      <c r="B75" s="442"/>
      <c r="D75" s="476" t="s">
        <v>312</v>
      </c>
      <c r="F75" s="482">
        <v>176</v>
      </c>
      <c r="G75" s="117">
        <v>0</v>
      </c>
      <c r="H75" s="117">
        <v>0</v>
      </c>
      <c r="I75" s="117">
        <v>0</v>
      </c>
      <c r="J75" s="452">
        <f>SUM(G75:I75)</f>
        <v>0</v>
      </c>
      <c r="K75" s="440"/>
    </row>
    <row r="76" spans="2:11" x14ac:dyDescent="0.25">
      <c r="B76" s="442"/>
      <c r="D76" s="434" t="s">
        <v>186</v>
      </c>
      <c r="F76" s="482" t="s">
        <v>99</v>
      </c>
      <c r="G76" s="117">
        <v>0</v>
      </c>
      <c r="H76" s="117">
        <v>0</v>
      </c>
      <c r="I76" s="117">
        <v>0</v>
      </c>
      <c r="J76" s="452">
        <f>SUM(G76:I76)</f>
        <v>0</v>
      </c>
      <c r="K76" s="440"/>
    </row>
    <row r="77" spans="2:11" x14ac:dyDescent="0.25">
      <c r="B77" s="442"/>
      <c r="D77" s="476"/>
      <c r="F77" s="482"/>
      <c r="G77" s="481"/>
      <c r="H77" s="481"/>
      <c r="I77" s="481"/>
      <c r="J77" s="452"/>
      <c r="K77" s="440"/>
    </row>
    <row r="78" spans="2:11" x14ac:dyDescent="0.25">
      <c r="B78" s="442"/>
      <c r="C78" s="477" t="s">
        <v>187</v>
      </c>
      <c r="F78" s="474" t="s">
        <v>100</v>
      </c>
      <c r="G78" s="481">
        <f>SUM(G79:G84)</f>
        <v>0</v>
      </c>
      <c r="H78" s="481">
        <f>SUM(H79:H84)</f>
        <v>0</v>
      </c>
      <c r="I78" s="481">
        <f>SUM(I79:I84)</f>
        <v>0</v>
      </c>
      <c r="J78" s="478">
        <f>SUM(J79:J84)</f>
        <v>0</v>
      </c>
      <c r="K78" s="440"/>
    </row>
    <row r="79" spans="2:11" x14ac:dyDescent="0.25">
      <c r="B79" s="442"/>
      <c r="C79" s="446"/>
      <c r="D79" s="434" t="s">
        <v>188</v>
      </c>
      <c r="F79" s="482">
        <v>42</v>
      </c>
      <c r="G79" s="117">
        <v>0</v>
      </c>
      <c r="H79" s="117">
        <v>0</v>
      </c>
      <c r="I79" s="117">
        <v>0</v>
      </c>
      <c r="J79" s="452">
        <f t="shared" ref="J79:J84" si="8">SUM(G79:I79)</f>
        <v>0</v>
      </c>
      <c r="K79" s="440"/>
    </row>
    <row r="80" spans="2:11" x14ac:dyDescent="0.25">
      <c r="B80" s="442"/>
      <c r="D80" s="476" t="s">
        <v>184</v>
      </c>
      <c r="E80" s="483"/>
      <c r="F80" s="482">
        <v>43</v>
      </c>
      <c r="G80" s="117">
        <v>0</v>
      </c>
      <c r="H80" s="117">
        <v>0</v>
      </c>
      <c r="I80" s="117">
        <v>0</v>
      </c>
      <c r="J80" s="452">
        <f t="shared" si="8"/>
        <v>0</v>
      </c>
      <c r="K80" s="440"/>
    </row>
    <row r="81" spans="2:11" x14ac:dyDescent="0.25">
      <c r="B81" s="442"/>
      <c r="D81" s="476" t="s">
        <v>185</v>
      </c>
      <c r="E81" s="483"/>
      <c r="F81" s="482">
        <v>44</v>
      </c>
      <c r="G81" s="117">
        <v>0</v>
      </c>
      <c r="H81" s="117">
        <v>0</v>
      </c>
      <c r="I81" s="117">
        <v>0</v>
      </c>
      <c r="J81" s="452">
        <f t="shared" si="8"/>
        <v>0</v>
      </c>
      <c r="K81" s="440"/>
    </row>
    <row r="82" spans="2:11" x14ac:dyDescent="0.25">
      <c r="B82" s="442"/>
      <c r="D82" s="434" t="s">
        <v>189</v>
      </c>
      <c r="F82" s="482">
        <v>45</v>
      </c>
      <c r="G82" s="117">
        <v>0</v>
      </c>
      <c r="H82" s="117">
        <v>0</v>
      </c>
      <c r="I82" s="117">
        <v>0</v>
      </c>
      <c r="J82" s="452">
        <f t="shared" si="8"/>
        <v>0</v>
      </c>
      <c r="K82" s="440"/>
    </row>
    <row r="83" spans="2:11" x14ac:dyDescent="0.25">
      <c r="B83" s="442"/>
      <c r="D83" s="476" t="s">
        <v>312</v>
      </c>
      <c r="F83" s="482">
        <v>46</v>
      </c>
      <c r="G83" s="117">
        <v>0</v>
      </c>
      <c r="H83" s="117">
        <v>0</v>
      </c>
      <c r="I83" s="117">
        <v>0</v>
      </c>
      <c r="J83" s="452">
        <f t="shared" si="8"/>
        <v>0</v>
      </c>
      <c r="K83" s="440"/>
    </row>
    <row r="84" spans="2:11" x14ac:dyDescent="0.25">
      <c r="B84" s="442"/>
      <c r="D84" s="434" t="s">
        <v>186</v>
      </c>
      <c r="F84" s="482" t="s">
        <v>101</v>
      </c>
      <c r="G84" s="117">
        <v>0</v>
      </c>
      <c r="H84" s="117">
        <v>0</v>
      </c>
      <c r="I84" s="117">
        <v>0</v>
      </c>
      <c r="J84" s="452">
        <f t="shared" si="8"/>
        <v>0</v>
      </c>
      <c r="K84" s="440"/>
    </row>
    <row r="85" spans="2:11" x14ac:dyDescent="0.25">
      <c r="B85" s="442"/>
      <c r="E85" s="484"/>
      <c r="F85" s="482"/>
      <c r="G85" s="481"/>
      <c r="H85" s="481"/>
      <c r="I85" s="481"/>
      <c r="J85" s="452"/>
      <c r="K85" s="440"/>
    </row>
    <row r="86" spans="2:11" x14ac:dyDescent="0.25">
      <c r="B86" s="442"/>
      <c r="C86" s="477" t="s">
        <v>52</v>
      </c>
      <c r="F86" s="474" t="s">
        <v>102</v>
      </c>
      <c r="G86" s="117">
        <v>0</v>
      </c>
      <c r="H86" s="117">
        <v>0</v>
      </c>
      <c r="I86" s="117">
        <v>0</v>
      </c>
      <c r="J86" s="454">
        <f>SUM(G86:I86)</f>
        <v>0</v>
      </c>
      <c r="K86" s="440"/>
    </row>
    <row r="87" spans="2:11" x14ac:dyDescent="0.25">
      <c r="B87" s="442"/>
      <c r="C87" s="477"/>
      <c r="F87" s="482"/>
      <c r="G87" s="485"/>
      <c r="H87" s="485"/>
      <c r="I87" s="485"/>
      <c r="J87" s="485"/>
      <c r="K87" s="440"/>
    </row>
    <row r="88" spans="2:11" x14ac:dyDescent="0.25">
      <c r="B88" s="486"/>
      <c r="C88" s="487"/>
      <c r="D88" s="487"/>
      <c r="E88" s="487"/>
      <c r="F88" s="488"/>
      <c r="G88" s="489"/>
      <c r="H88" s="489"/>
      <c r="I88" s="489"/>
      <c r="J88" s="489"/>
      <c r="K88" s="440"/>
    </row>
    <row r="89" spans="2:11" x14ac:dyDescent="0.25">
      <c r="B89" s="462"/>
      <c r="C89" s="463"/>
      <c r="D89" s="463"/>
      <c r="E89" s="463"/>
      <c r="F89" s="464"/>
      <c r="G89" s="444"/>
      <c r="H89" s="444"/>
      <c r="I89" s="444"/>
      <c r="J89" s="444"/>
      <c r="K89" s="440"/>
    </row>
    <row r="90" spans="2:11" x14ac:dyDescent="0.25">
      <c r="B90" s="445" t="s">
        <v>193</v>
      </c>
      <c r="F90" s="479"/>
      <c r="G90" s="451">
        <f>+SUM(G43,G64,G70)</f>
        <v>0</v>
      </c>
      <c r="H90" s="451">
        <f>+SUM(H43,H64,H70)</f>
        <v>0</v>
      </c>
      <c r="I90" s="451">
        <f>+SUM(I43,I64,I70)</f>
        <v>0</v>
      </c>
      <c r="J90" s="451">
        <f>+SUM(J43,J64,J70)</f>
        <v>0</v>
      </c>
      <c r="K90" s="440"/>
    </row>
    <row r="91" spans="2:11" ht="13.8" thickBot="1" x14ac:dyDescent="0.3">
      <c r="B91" s="490"/>
      <c r="C91" s="466"/>
      <c r="D91" s="466"/>
      <c r="E91" s="466"/>
      <c r="F91" s="491"/>
      <c r="G91" s="492"/>
      <c r="H91" s="492"/>
      <c r="I91" s="492"/>
      <c r="J91" s="492"/>
      <c r="K91" s="440"/>
    </row>
    <row r="92" spans="2:11" ht="13.8" thickTop="1" x14ac:dyDescent="0.25">
      <c r="G92" s="493"/>
      <c r="H92" s="493"/>
      <c r="I92" s="493"/>
      <c r="J92" s="493"/>
    </row>
    <row r="93" spans="2:11" x14ac:dyDescent="0.25">
      <c r="F93" s="438" t="s">
        <v>103</v>
      </c>
      <c r="G93" s="494">
        <f>G36-G90</f>
        <v>0</v>
      </c>
      <c r="H93" s="494">
        <f>H36-H90</f>
        <v>0</v>
      </c>
      <c r="I93" s="494">
        <f>I36-I90</f>
        <v>0</v>
      </c>
      <c r="J93" s="494">
        <f>J36-J90</f>
        <v>0</v>
      </c>
    </row>
    <row r="95" spans="2:11" ht="13.8" thickBot="1" x14ac:dyDescent="0.3"/>
    <row r="96" spans="2:11" ht="13.8" thickBot="1" x14ac:dyDescent="0.3">
      <c r="B96" s="714" t="str">
        <f>"BOEKJAAR "&amp;TITELBLAD!$F$17-1</f>
        <v>BOEKJAAR 2024</v>
      </c>
      <c r="C96" s="715"/>
      <c r="D96" s="715"/>
      <c r="E96" s="715"/>
      <c r="F96" s="715"/>
      <c r="G96" s="715"/>
      <c r="H96" s="715"/>
      <c r="I96" s="715"/>
      <c r="J96" s="716"/>
      <c r="K96" s="433"/>
    </row>
    <row r="97" spans="2:11" x14ac:dyDescent="0.25">
      <c r="B97" s="435"/>
      <c r="C97" s="435"/>
      <c r="D97" s="435"/>
      <c r="E97" s="435"/>
      <c r="F97" s="433"/>
      <c r="G97" s="435"/>
      <c r="H97" s="435"/>
      <c r="I97" s="435"/>
      <c r="J97" s="435"/>
      <c r="K97" s="433"/>
    </row>
    <row r="98" spans="2:11" x14ac:dyDescent="0.25">
      <c r="C98" s="436" t="s">
        <v>83</v>
      </c>
      <c r="D98" s="437"/>
      <c r="J98" s="437"/>
    </row>
    <row r="99" spans="2:11" x14ac:dyDescent="0.25">
      <c r="C99" s="438" t="s">
        <v>147</v>
      </c>
      <c r="D99" s="437"/>
      <c r="J99" s="437"/>
    </row>
    <row r="100" spans="2:11" ht="13.8" thickBot="1" x14ac:dyDescent="0.3">
      <c r="B100" s="435"/>
    </row>
    <row r="101" spans="2:11" ht="13.8" thickTop="1" x14ac:dyDescent="0.25">
      <c r="B101" s="700" t="s">
        <v>11</v>
      </c>
      <c r="C101" s="701"/>
      <c r="D101" s="701"/>
      <c r="E101" s="702"/>
      <c r="F101" s="706" t="s">
        <v>17</v>
      </c>
      <c r="G101" s="710" t="s">
        <v>105</v>
      </c>
      <c r="H101" s="710" t="s">
        <v>355</v>
      </c>
      <c r="I101" s="717" t="s">
        <v>84</v>
      </c>
      <c r="J101" s="717" t="s">
        <v>16</v>
      </c>
      <c r="K101" s="440"/>
    </row>
    <row r="102" spans="2:11" x14ac:dyDescent="0.25">
      <c r="B102" s="703"/>
      <c r="C102" s="704"/>
      <c r="D102" s="704"/>
      <c r="E102" s="705"/>
      <c r="F102" s="707"/>
      <c r="G102" s="711"/>
      <c r="H102" s="711"/>
      <c r="I102" s="718"/>
      <c r="J102" s="718"/>
      <c r="K102" s="440"/>
    </row>
    <row r="103" spans="2:11" x14ac:dyDescent="0.25">
      <c r="B103" s="442"/>
      <c r="F103" s="443"/>
      <c r="G103" s="444"/>
      <c r="H103" s="444"/>
      <c r="I103" s="444"/>
      <c r="J103" s="444"/>
      <c r="K103" s="440"/>
    </row>
    <row r="104" spans="2:11" x14ac:dyDescent="0.25">
      <c r="B104" s="445" t="s">
        <v>167</v>
      </c>
      <c r="C104" s="446"/>
      <c r="F104" s="447">
        <v>20</v>
      </c>
      <c r="G104" s="12">
        <v>0</v>
      </c>
      <c r="H104" s="12">
        <v>0</v>
      </c>
      <c r="I104" s="12">
        <v>0</v>
      </c>
      <c r="J104" s="448">
        <f>SUM(G104:I104)</f>
        <v>0</v>
      </c>
      <c r="K104" s="440"/>
    </row>
    <row r="105" spans="2:11" x14ac:dyDescent="0.25">
      <c r="B105" s="442"/>
      <c r="F105" s="443"/>
      <c r="G105" s="449"/>
      <c r="H105" s="450"/>
      <c r="I105" s="450"/>
      <c r="J105" s="450"/>
      <c r="K105" s="440"/>
    </row>
    <row r="106" spans="2:11" x14ac:dyDescent="0.25">
      <c r="B106" s="445" t="s">
        <v>85</v>
      </c>
      <c r="F106" s="447" t="s">
        <v>168</v>
      </c>
      <c r="G106" s="451">
        <f t="shared" ref="G106:I106" si="9">SUM(G108,G110,G112)</f>
        <v>0</v>
      </c>
      <c r="H106" s="451">
        <f t="shared" si="9"/>
        <v>0</v>
      </c>
      <c r="I106" s="451">
        <f t="shared" si="9"/>
        <v>0</v>
      </c>
      <c r="J106" s="451">
        <f>SUM(J108,J110,J112)</f>
        <v>0</v>
      </c>
      <c r="K106" s="440"/>
    </row>
    <row r="107" spans="2:11" x14ac:dyDescent="0.25">
      <c r="B107" s="442"/>
      <c r="F107" s="443"/>
      <c r="G107" s="444"/>
      <c r="H107" s="444"/>
      <c r="I107" s="444"/>
      <c r="J107" s="452"/>
      <c r="K107" s="440"/>
    </row>
    <row r="108" spans="2:11" x14ac:dyDescent="0.25">
      <c r="B108" s="442"/>
      <c r="C108" s="446" t="s">
        <v>169</v>
      </c>
      <c r="F108" s="453">
        <v>21</v>
      </c>
      <c r="G108" s="11">
        <v>0</v>
      </c>
      <c r="H108" s="11">
        <v>0</v>
      </c>
      <c r="I108" s="11">
        <v>0</v>
      </c>
      <c r="J108" s="454">
        <f>SUM(G108:I108)</f>
        <v>0</v>
      </c>
      <c r="K108" s="440"/>
    </row>
    <row r="109" spans="2:11" x14ac:dyDescent="0.25">
      <c r="B109" s="442"/>
      <c r="F109" s="443"/>
      <c r="G109" s="444"/>
      <c r="H109" s="444"/>
      <c r="I109" s="444"/>
      <c r="J109" s="452"/>
      <c r="K109" s="440"/>
    </row>
    <row r="110" spans="2:11" x14ac:dyDescent="0.25">
      <c r="B110" s="442"/>
      <c r="C110" s="446" t="s">
        <v>170</v>
      </c>
      <c r="F110" s="453" t="s">
        <v>86</v>
      </c>
      <c r="G110" s="11">
        <v>0</v>
      </c>
      <c r="H110" s="11">
        <v>0</v>
      </c>
      <c r="I110" s="11">
        <v>0</v>
      </c>
      <c r="J110" s="454">
        <f>SUM(G110:I110)</f>
        <v>0</v>
      </c>
      <c r="K110" s="440"/>
    </row>
    <row r="111" spans="2:11" x14ac:dyDescent="0.25">
      <c r="B111" s="442"/>
      <c r="F111" s="443"/>
      <c r="G111" s="444"/>
      <c r="H111" s="444"/>
      <c r="I111" s="444"/>
      <c r="J111" s="452"/>
      <c r="K111" s="440"/>
    </row>
    <row r="112" spans="2:11" x14ac:dyDescent="0.25">
      <c r="B112" s="442"/>
      <c r="C112" s="446" t="s">
        <v>171</v>
      </c>
      <c r="E112" s="455"/>
      <c r="F112" s="453">
        <v>28</v>
      </c>
      <c r="G112" s="11">
        <v>0</v>
      </c>
      <c r="H112" s="11">
        <v>0</v>
      </c>
      <c r="I112" s="11">
        <v>0</v>
      </c>
      <c r="J112" s="454">
        <f>SUM(G112:I112)</f>
        <v>0</v>
      </c>
      <c r="K112" s="440"/>
    </row>
    <row r="113" spans="2:11" x14ac:dyDescent="0.25">
      <c r="B113" s="442"/>
      <c r="F113" s="443"/>
      <c r="G113" s="444"/>
      <c r="H113" s="444"/>
      <c r="I113" s="444"/>
      <c r="J113" s="452"/>
      <c r="K113" s="440"/>
    </row>
    <row r="114" spans="2:11" x14ac:dyDescent="0.25">
      <c r="B114" s="445" t="s">
        <v>87</v>
      </c>
      <c r="F114" s="447" t="s">
        <v>88</v>
      </c>
      <c r="G114" s="451">
        <f t="shared" ref="G114:J114" si="10">SUM(G116,G118,G120,G122,G124,G126)</f>
        <v>0</v>
      </c>
      <c r="H114" s="451">
        <f t="shared" si="10"/>
        <v>0</v>
      </c>
      <c r="I114" s="451">
        <f t="shared" si="10"/>
        <v>0</v>
      </c>
      <c r="J114" s="451">
        <f t="shared" si="10"/>
        <v>0</v>
      </c>
      <c r="K114" s="440"/>
    </row>
    <row r="115" spans="2:11" x14ac:dyDescent="0.25">
      <c r="B115" s="442"/>
      <c r="F115" s="443"/>
      <c r="G115" s="444"/>
      <c r="H115" s="444"/>
      <c r="I115" s="444"/>
      <c r="J115" s="452"/>
      <c r="K115" s="440"/>
    </row>
    <row r="116" spans="2:11" x14ac:dyDescent="0.25">
      <c r="B116" s="442"/>
      <c r="C116" s="446" t="s">
        <v>172</v>
      </c>
      <c r="F116" s="453">
        <v>29</v>
      </c>
      <c r="G116" s="11">
        <v>0</v>
      </c>
      <c r="H116" s="11">
        <v>0</v>
      </c>
      <c r="I116" s="11">
        <v>0</v>
      </c>
      <c r="J116" s="454">
        <f>SUM(G116:I116)</f>
        <v>0</v>
      </c>
      <c r="K116" s="440"/>
    </row>
    <row r="117" spans="2:11" x14ac:dyDescent="0.25">
      <c r="B117" s="442"/>
      <c r="F117" s="443"/>
      <c r="G117" s="444"/>
      <c r="H117" s="444"/>
      <c r="I117" s="444"/>
      <c r="J117" s="452"/>
      <c r="K117" s="440"/>
    </row>
    <row r="118" spans="2:11" x14ac:dyDescent="0.25">
      <c r="B118" s="442"/>
      <c r="C118" s="446" t="s">
        <v>173</v>
      </c>
      <c r="F118" s="453">
        <v>3</v>
      </c>
      <c r="G118" s="11">
        <v>0</v>
      </c>
      <c r="H118" s="11">
        <v>0</v>
      </c>
      <c r="I118" s="11">
        <v>0</v>
      </c>
      <c r="J118" s="454">
        <f>SUM(G118:I118)</f>
        <v>0</v>
      </c>
      <c r="K118" s="440"/>
    </row>
    <row r="119" spans="2:11" x14ac:dyDescent="0.25">
      <c r="B119" s="442"/>
      <c r="F119" s="443"/>
      <c r="G119" s="444"/>
      <c r="H119" s="444"/>
      <c r="I119" s="444"/>
      <c r="J119" s="452"/>
      <c r="K119" s="440"/>
    </row>
    <row r="120" spans="2:11" x14ac:dyDescent="0.25">
      <c r="B120" s="442"/>
      <c r="C120" s="446" t="s">
        <v>174</v>
      </c>
      <c r="F120" s="453" t="s">
        <v>89</v>
      </c>
      <c r="G120" s="11">
        <v>0</v>
      </c>
      <c r="H120" s="11">
        <v>0</v>
      </c>
      <c r="I120" s="11">
        <v>0</v>
      </c>
      <c r="J120" s="454">
        <f>SUM(G120:I120)</f>
        <v>0</v>
      </c>
      <c r="K120" s="440"/>
    </row>
    <row r="121" spans="2:11" x14ac:dyDescent="0.25">
      <c r="B121" s="442"/>
      <c r="F121" s="443"/>
      <c r="G121" s="444"/>
      <c r="H121" s="444"/>
      <c r="I121" s="444"/>
      <c r="J121" s="452"/>
      <c r="K121" s="440"/>
    </row>
    <row r="122" spans="2:11" x14ac:dyDescent="0.25">
      <c r="B122" s="442"/>
      <c r="C122" s="446" t="s">
        <v>175</v>
      </c>
      <c r="F122" s="453" t="s">
        <v>90</v>
      </c>
      <c r="G122" s="11">
        <v>0</v>
      </c>
      <c r="H122" s="11">
        <v>0</v>
      </c>
      <c r="I122" s="11">
        <v>0</v>
      </c>
      <c r="J122" s="454">
        <f>SUM(G122:I122)</f>
        <v>0</v>
      </c>
      <c r="K122" s="440"/>
    </row>
    <row r="123" spans="2:11" x14ac:dyDescent="0.25">
      <c r="B123" s="442"/>
      <c r="F123" s="443"/>
      <c r="G123" s="444"/>
      <c r="H123" s="444"/>
      <c r="I123" s="444"/>
      <c r="J123" s="452"/>
      <c r="K123" s="440"/>
    </row>
    <row r="124" spans="2:11" x14ac:dyDescent="0.25">
      <c r="B124" s="442"/>
      <c r="C124" s="456" t="s">
        <v>176</v>
      </c>
      <c r="F124" s="457" t="s">
        <v>91</v>
      </c>
      <c r="G124" s="11">
        <v>0</v>
      </c>
      <c r="H124" s="11">
        <v>0</v>
      </c>
      <c r="I124" s="11">
        <v>0</v>
      </c>
      <c r="J124" s="454">
        <f>SUM(G124:I124)</f>
        <v>0</v>
      </c>
      <c r="K124" s="440"/>
    </row>
    <row r="125" spans="2:11" x14ac:dyDescent="0.25">
      <c r="B125" s="442"/>
      <c r="C125" s="456"/>
      <c r="F125" s="458"/>
      <c r="G125" s="459"/>
      <c r="H125" s="459"/>
      <c r="I125" s="459"/>
      <c r="J125" s="460"/>
      <c r="K125" s="440"/>
    </row>
    <row r="126" spans="2:11" x14ac:dyDescent="0.25">
      <c r="B126" s="442"/>
      <c r="C126" s="446" t="s">
        <v>52</v>
      </c>
      <c r="F126" s="453" t="s">
        <v>92</v>
      </c>
      <c r="G126" s="11">
        <v>0</v>
      </c>
      <c r="H126" s="11">
        <v>0</v>
      </c>
      <c r="I126" s="11">
        <v>0</v>
      </c>
      <c r="J126" s="454">
        <f>SUM(G126:I126)</f>
        <v>0</v>
      </c>
      <c r="K126" s="440"/>
    </row>
    <row r="127" spans="2:11" x14ac:dyDescent="0.25">
      <c r="B127" s="442"/>
      <c r="F127" s="443"/>
      <c r="G127" s="461"/>
      <c r="H127" s="461"/>
      <c r="I127" s="461"/>
      <c r="J127" s="461"/>
      <c r="K127" s="440"/>
    </row>
    <row r="128" spans="2:11" x14ac:dyDescent="0.25">
      <c r="B128" s="462"/>
      <c r="C128" s="463"/>
      <c r="D128" s="463"/>
      <c r="E128" s="463"/>
      <c r="F128" s="464"/>
      <c r="G128" s="444"/>
      <c r="H128" s="444"/>
      <c r="I128" s="444"/>
      <c r="J128" s="444"/>
      <c r="K128" s="440"/>
    </row>
    <row r="129" spans="2:11" x14ac:dyDescent="0.25">
      <c r="B129" s="445" t="s">
        <v>194</v>
      </c>
      <c r="F129" s="447"/>
      <c r="G129" s="451">
        <f>+SUM(G104,G106,G114)</f>
        <v>0</v>
      </c>
      <c r="H129" s="451">
        <f t="shared" ref="H129:J129" si="11">+SUM(H104,H106,H114)</f>
        <v>0</v>
      </c>
      <c r="I129" s="451">
        <f t="shared" si="11"/>
        <v>0</v>
      </c>
      <c r="J129" s="451">
        <f t="shared" si="11"/>
        <v>0</v>
      </c>
      <c r="K129" s="440"/>
    </row>
    <row r="130" spans="2:11" ht="13.8" thickBot="1" x14ac:dyDescent="0.3">
      <c r="B130" s="465"/>
      <c r="C130" s="466"/>
      <c r="D130" s="466"/>
      <c r="E130" s="467"/>
      <c r="F130" s="468"/>
      <c r="G130" s="469"/>
      <c r="H130" s="469"/>
      <c r="I130" s="469"/>
      <c r="J130" s="469"/>
      <c r="K130" s="440"/>
    </row>
    <row r="131" spans="2:11" ht="13.8" thickTop="1" x14ac:dyDescent="0.25">
      <c r="G131" s="470"/>
      <c r="H131" s="470"/>
      <c r="I131" s="470"/>
      <c r="J131" s="470"/>
      <c r="K131" s="440"/>
    </row>
    <row r="132" spans="2:11" ht="13.8" thickBot="1" x14ac:dyDescent="0.3">
      <c r="G132" s="470"/>
      <c r="H132" s="470"/>
      <c r="I132" s="470"/>
      <c r="J132" s="470"/>
      <c r="K132" s="440"/>
    </row>
    <row r="133" spans="2:11" ht="13.8" thickTop="1" x14ac:dyDescent="0.25">
      <c r="B133" s="700" t="s">
        <v>14</v>
      </c>
      <c r="C133" s="701"/>
      <c r="D133" s="701"/>
      <c r="E133" s="702"/>
      <c r="F133" s="706" t="s">
        <v>93</v>
      </c>
      <c r="G133" s="710" t="s">
        <v>105</v>
      </c>
      <c r="H133" s="710" t="s">
        <v>355</v>
      </c>
      <c r="I133" s="717" t="s">
        <v>84</v>
      </c>
      <c r="J133" s="439" t="s">
        <v>16</v>
      </c>
      <c r="K133" s="440"/>
    </row>
    <row r="134" spans="2:11" x14ac:dyDescent="0.25">
      <c r="B134" s="703"/>
      <c r="C134" s="704"/>
      <c r="D134" s="704"/>
      <c r="E134" s="705"/>
      <c r="F134" s="707"/>
      <c r="G134" s="711"/>
      <c r="H134" s="711"/>
      <c r="I134" s="718"/>
      <c r="J134" s="441"/>
      <c r="K134" s="440"/>
    </row>
    <row r="135" spans="2:11" x14ac:dyDescent="0.25">
      <c r="B135" s="442"/>
      <c r="F135" s="471"/>
      <c r="G135" s="472"/>
      <c r="H135" s="472"/>
      <c r="I135" s="472"/>
      <c r="J135" s="472"/>
      <c r="K135" s="440"/>
    </row>
    <row r="136" spans="2:11" x14ac:dyDescent="0.25">
      <c r="B136" s="445" t="s">
        <v>94</v>
      </c>
      <c r="F136" s="473" t="s">
        <v>95</v>
      </c>
      <c r="G136" s="451">
        <f>SUM(G138,G140,G144,G146,G151,G153,G155)</f>
        <v>0</v>
      </c>
      <c r="H136" s="451">
        <f t="shared" ref="H136:I136" si="12">SUM(H138,H140,H144,H146,H151,H153,H155)</f>
        <v>0</v>
      </c>
      <c r="I136" s="451">
        <f t="shared" si="12"/>
        <v>0</v>
      </c>
      <c r="J136" s="451">
        <f>SUM(J138,J140,J144,J146,J151,J153,J155)</f>
        <v>0</v>
      </c>
      <c r="K136" s="440"/>
    </row>
    <row r="137" spans="2:11" x14ac:dyDescent="0.25">
      <c r="B137" s="442"/>
      <c r="F137" s="471"/>
      <c r="G137" s="444"/>
      <c r="H137" s="444"/>
      <c r="I137" s="444"/>
      <c r="J137" s="444"/>
      <c r="K137" s="440"/>
    </row>
    <row r="138" spans="2:11" x14ac:dyDescent="0.25">
      <c r="B138" s="442"/>
      <c r="C138" s="446" t="s">
        <v>177</v>
      </c>
      <c r="F138" s="474">
        <v>10</v>
      </c>
      <c r="G138" s="11">
        <v>0</v>
      </c>
      <c r="H138" s="11">
        <v>0</v>
      </c>
      <c r="I138" s="11">
        <v>0</v>
      </c>
      <c r="J138" s="454">
        <f>SUM(G138:I138)</f>
        <v>0</v>
      </c>
      <c r="K138" s="440"/>
    </row>
    <row r="139" spans="2:11" x14ac:dyDescent="0.25">
      <c r="B139" s="442"/>
      <c r="F139" s="471"/>
      <c r="G139" s="444"/>
      <c r="H139" s="444"/>
      <c r="I139" s="444"/>
      <c r="J139" s="444"/>
      <c r="K139" s="440"/>
    </row>
    <row r="140" spans="2:11" x14ac:dyDescent="0.25">
      <c r="B140" s="442"/>
      <c r="C140" s="446" t="s">
        <v>356</v>
      </c>
      <c r="F140" s="474">
        <v>11</v>
      </c>
      <c r="G140" s="154">
        <f>SUM(G141:G142)</f>
        <v>0</v>
      </c>
      <c r="H140" s="154">
        <f t="shared" ref="H140" si="13">SUM(H141:H142)</f>
        <v>0</v>
      </c>
      <c r="I140" s="154">
        <f t="shared" ref="I140" si="14">SUM(I141:I142)</f>
        <v>0</v>
      </c>
      <c r="J140" s="475">
        <f t="shared" ref="J140" si="15">SUM(J141:J142)</f>
        <v>0</v>
      </c>
      <c r="K140" s="440"/>
    </row>
    <row r="141" spans="2:11" x14ac:dyDescent="0.25">
      <c r="B141" s="442"/>
      <c r="D141" s="476" t="s">
        <v>305</v>
      </c>
      <c r="F141" s="471">
        <v>110</v>
      </c>
      <c r="G141" s="11">
        <v>0</v>
      </c>
      <c r="H141" s="11">
        <v>0</v>
      </c>
      <c r="I141" s="11">
        <v>0</v>
      </c>
      <c r="J141" s="452">
        <f>SUM(G141:I141)</f>
        <v>0</v>
      </c>
      <c r="K141" s="440"/>
    </row>
    <row r="142" spans="2:11" x14ac:dyDescent="0.25">
      <c r="B142" s="442"/>
      <c r="D142" s="476" t="s">
        <v>306</v>
      </c>
      <c r="F142" s="471">
        <v>111</v>
      </c>
      <c r="G142" s="11">
        <v>0</v>
      </c>
      <c r="H142" s="11">
        <v>0</v>
      </c>
      <c r="I142" s="11">
        <v>0</v>
      </c>
      <c r="J142" s="452">
        <f>SUM(G142:I142)</f>
        <v>0</v>
      </c>
      <c r="K142" s="440"/>
    </row>
    <row r="143" spans="2:11" x14ac:dyDescent="0.25">
      <c r="B143" s="442"/>
      <c r="C143" s="446"/>
      <c r="F143" s="471"/>
      <c r="G143" s="444"/>
      <c r="H143" s="444"/>
      <c r="I143" s="444"/>
      <c r="J143" s="452"/>
      <c r="K143" s="440"/>
    </row>
    <row r="144" spans="2:11" x14ac:dyDescent="0.25">
      <c r="B144" s="442"/>
      <c r="C144" s="477" t="s">
        <v>178</v>
      </c>
      <c r="D144" s="476"/>
      <c r="F144" s="474">
        <v>12</v>
      </c>
      <c r="G144" s="11">
        <v>0</v>
      </c>
      <c r="H144" s="11">
        <v>0</v>
      </c>
      <c r="I144" s="11">
        <v>0</v>
      </c>
      <c r="J144" s="454">
        <f>SUM(G144:I144)</f>
        <v>0</v>
      </c>
      <c r="K144" s="440"/>
    </row>
    <row r="145" spans="2:11" x14ac:dyDescent="0.25">
      <c r="B145" s="442"/>
      <c r="D145" s="476"/>
      <c r="E145" s="455"/>
      <c r="F145" s="471"/>
      <c r="G145" s="444"/>
      <c r="H145" s="444"/>
      <c r="I145" s="444"/>
      <c r="J145" s="452"/>
      <c r="K145" s="440"/>
    </row>
    <row r="146" spans="2:11" x14ac:dyDescent="0.25">
      <c r="B146" s="442"/>
      <c r="C146" s="477" t="s">
        <v>179</v>
      </c>
      <c r="D146" s="476"/>
      <c r="E146" s="455"/>
      <c r="F146" s="474">
        <v>13</v>
      </c>
      <c r="G146" s="138">
        <f>SUM(G147:G149)</f>
        <v>0</v>
      </c>
      <c r="H146" s="138">
        <f t="shared" ref="H146" si="16">SUM(H147:H149)</f>
        <v>0</v>
      </c>
      <c r="I146" s="138">
        <f t="shared" ref="I146" si="17">SUM(I147:I149)</f>
        <v>0</v>
      </c>
      <c r="J146" s="475">
        <f t="shared" ref="J146" si="18">SUM(J147:J149)</f>
        <v>0</v>
      </c>
      <c r="K146" s="440"/>
    </row>
    <row r="147" spans="2:11" x14ac:dyDescent="0.25">
      <c r="B147" s="442"/>
      <c r="D147" s="476" t="s">
        <v>307</v>
      </c>
      <c r="F147" s="471" t="s">
        <v>310</v>
      </c>
      <c r="G147" s="11">
        <v>0</v>
      </c>
      <c r="H147" s="11">
        <v>0</v>
      </c>
      <c r="I147" s="11">
        <v>0</v>
      </c>
      <c r="J147" s="452">
        <f>SUM(G147:I147)</f>
        <v>0</v>
      </c>
      <c r="K147" s="440"/>
    </row>
    <row r="148" spans="2:11" x14ac:dyDescent="0.25">
      <c r="B148" s="442"/>
      <c r="D148" s="476" t="s">
        <v>308</v>
      </c>
      <c r="F148" s="471">
        <v>132</v>
      </c>
      <c r="G148" s="11">
        <v>0</v>
      </c>
      <c r="H148" s="11">
        <v>0</v>
      </c>
      <c r="I148" s="11">
        <v>0</v>
      </c>
      <c r="J148" s="452">
        <f>SUM(G148:I148)</f>
        <v>0</v>
      </c>
      <c r="K148" s="440"/>
    </row>
    <row r="149" spans="2:11" x14ac:dyDescent="0.25">
      <c r="B149" s="442"/>
      <c r="D149" s="476" t="s">
        <v>309</v>
      </c>
      <c r="F149" s="471">
        <v>133</v>
      </c>
      <c r="G149" s="11">
        <v>0</v>
      </c>
      <c r="H149" s="11">
        <v>0</v>
      </c>
      <c r="I149" s="11">
        <v>0</v>
      </c>
      <c r="J149" s="452">
        <f>SUM(G149:I149)</f>
        <v>0</v>
      </c>
      <c r="K149" s="440"/>
    </row>
    <row r="150" spans="2:11" x14ac:dyDescent="0.25">
      <c r="B150" s="442"/>
      <c r="C150" s="446"/>
      <c r="E150" s="455"/>
      <c r="F150" s="471"/>
      <c r="G150" s="444"/>
      <c r="H150" s="444"/>
      <c r="I150" s="444"/>
      <c r="J150" s="452"/>
      <c r="K150" s="440"/>
    </row>
    <row r="151" spans="2:11" x14ac:dyDescent="0.25">
      <c r="B151" s="442"/>
      <c r="C151" s="446" t="s">
        <v>311</v>
      </c>
      <c r="E151" s="455"/>
      <c r="F151" s="474">
        <v>14</v>
      </c>
      <c r="G151" s="11">
        <v>0</v>
      </c>
      <c r="H151" s="11">
        <v>0</v>
      </c>
      <c r="I151" s="11">
        <v>0</v>
      </c>
      <c r="J151" s="454">
        <f>SUM(G151:I151)</f>
        <v>0</v>
      </c>
      <c r="K151" s="440"/>
    </row>
    <row r="152" spans="2:11" x14ac:dyDescent="0.25">
      <c r="B152" s="442"/>
      <c r="C152" s="446"/>
      <c r="E152" s="455"/>
      <c r="F152" s="471"/>
      <c r="G152" s="478"/>
      <c r="H152" s="478"/>
      <c r="I152" s="478"/>
      <c r="J152" s="454"/>
      <c r="K152" s="440"/>
    </row>
    <row r="153" spans="2:11" x14ac:dyDescent="0.25">
      <c r="B153" s="442"/>
      <c r="C153" s="446" t="s">
        <v>181</v>
      </c>
      <c r="E153" s="455"/>
      <c r="F153" s="474">
        <v>15</v>
      </c>
      <c r="G153" s="11">
        <v>0</v>
      </c>
      <c r="H153" s="11">
        <v>0</v>
      </c>
      <c r="I153" s="11">
        <v>0</v>
      </c>
      <c r="J153" s="454">
        <f>SUM(G153:I153)</f>
        <v>0</v>
      </c>
      <c r="K153" s="440"/>
    </row>
    <row r="154" spans="2:11" x14ac:dyDescent="0.25">
      <c r="B154" s="442"/>
      <c r="C154" s="446"/>
      <c r="E154" s="455"/>
      <c r="F154" s="471"/>
      <c r="G154" s="478"/>
      <c r="H154" s="478"/>
      <c r="I154" s="478"/>
      <c r="J154" s="454"/>
      <c r="K154" s="440"/>
    </row>
    <row r="155" spans="2:11" ht="27.6" customHeight="1" x14ac:dyDescent="0.25">
      <c r="B155" s="442"/>
      <c r="C155" s="698" t="s">
        <v>195</v>
      </c>
      <c r="D155" s="698"/>
      <c r="E155" s="699"/>
      <c r="F155" s="474">
        <v>19</v>
      </c>
      <c r="G155" s="11">
        <v>0</v>
      </c>
      <c r="H155" s="11">
        <v>0</v>
      </c>
      <c r="I155" s="11">
        <v>0</v>
      </c>
      <c r="J155" s="454">
        <f>SUM(G155:I155)</f>
        <v>0</v>
      </c>
      <c r="K155" s="440"/>
    </row>
    <row r="156" spans="2:11" x14ac:dyDescent="0.25">
      <c r="B156" s="442"/>
      <c r="C156" s="446"/>
      <c r="E156" s="455"/>
      <c r="F156" s="474"/>
      <c r="G156" s="478"/>
      <c r="H156" s="478"/>
      <c r="I156" s="478"/>
      <c r="J156" s="454"/>
      <c r="K156" s="440"/>
    </row>
    <row r="157" spans="2:11" x14ac:dyDescent="0.25">
      <c r="B157" s="445" t="s">
        <v>182</v>
      </c>
      <c r="C157" s="446"/>
      <c r="E157" s="455"/>
      <c r="F157" s="479">
        <v>16</v>
      </c>
      <c r="G157" s="121">
        <f>SUM(G159,G161)</f>
        <v>0</v>
      </c>
      <c r="H157" s="121">
        <f t="shared" ref="H157:J157" si="19">SUM(H159,H161)</f>
        <v>0</v>
      </c>
      <c r="I157" s="121">
        <f t="shared" si="19"/>
        <v>0</v>
      </c>
      <c r="J157" s="448">
        <f t="shared" si="19"/>
        <v>0</v>
      </c>
      <c r="K157" s="440"/>
    </row>
    <row r="158" spans="2:11" x14ac:dyDescent="0.25">
      <c r="B158" s="442"/>
      <c r="F158" s="471"/>
      <c r="G158" s="444"/>
      <c r="H158" s="444"/>
      <c r="I158" s="444"/>
      <c r="J158" s="444"/>
      <c r="K158" s="440"/>
    </row>
    <row r="159" spans="2:11" x14ac:dyDescent="0.25">
      <c r="B159" s="442"/>
      <c r="C159" s="446" t="s">
        <v>190</v>
      </c>
      <c r="F159" s="474" t="s">
        <v>192</v>
      </c>
      <c r="G159" s="11">
        <v>0</v>
      </c>
      <c r="H159" s="11">
        <v>0</v>
      </c>
      <c r="I159" s="11">
        <v>0</v>
      </c>
      <c r="J159" s="454">
        <f>SUM(G159:I159)</f>
        <v>0</v>
      </c>
      <c r="K159" s="440"/>
    </row>
    <row r="160" spans="2:11" x14ac:dyDescent="0.25">
      <c r="B160" s="442"/>
      <c r="C160" s="446"/>
      <c r="F160" s="471"/>
      <c r="G160" s="444"/>
      <c r="H160" s="444"/>
      <c r="I160" s="444"/>
      <c r="J160" s="452"/>
      <c r="K160" s="440"/>
    </row>
    <row r="161" spans="2:11" x14ac:dyDescent="0.25">
      <c r="B161" s="442"/>
      <c r="C161" s="446" t="s">
        <v>191</v>
      </c>
      <c r="F161" s="474">
        <v>168</v>
      </c>
      <c r="G161" s="11">
        <v>0</v>
      </c>
      <c r="H161" s="11">
        <v>0</v>
      </c>
      <c r="I161" s="11">
        <v>0</v>
      </c>
      <c r="J161" s="454">
        <f>SUM(G161:I161)</f>
        <v>0</v>
      </c>
      <c r="K161" s="440"/>
    </row>
    <row r="162" spans="2:11" x14ac:dyDescent="0.25">
      <c r="B162" s="442"/>
      <c r="E162" s="455"/>
      <c r="F162" s="471"/>
      <c r="G162" s="444"/>
      <c r="H162" s="444"/>
      <c r="I162" s="444"/>
      <c r="J162" s="454"/>
      <c r="K162" s="440"/>
    </row>
    <row r="163" spans="2:11" x14ac:dyDescent="0.25">
      <c r="B163" s="480" t="s">
        <v>96</v>
      </c>
      <c r="F163" s="479" t="s">
        <v>97</v>
      </c>
      <c r="G163" s="451">
        <f>SUM(G165,G171,G179)</f>
        <v>0</v>
      </c>
      <c r="H163" s="451">
        <f>SUM(H165,H171,H179)</f>
        <v>0</v>
      </c>
      <c r="I163" s="451">
        <f>SUM(I165,I171,I179)</f>
        <v>0</v>
      </c>
      <c r="J163" s="451">
        <f>SUM(J165,J171,J179)</f>
        <v>0</v>
      </c>
      <c r="K163" s="440"/>
    </row>
    <row r="164" spans="2:11" x14ac:dyDescent="0.25">
      <c r="B164" s="442"/>
      <c r="D164" s="476"/>
      <c r="F164" s="471"/>
      <c r="G164" s="444"/>
      <c r="H164" s="444"/>
      <c r="I164" s="444"/>
      <c r="J164" s="452"/>
      <c r="K164" s="440"/>
    </row>
    <row r="165" spans="2:11" x14ac:dyDescent="0.25">
      <c r="B165" s="442"/>
      <c r="C165" s="477" t="s">
        <v>183</v>
      </c>
      <c r="F165" s="474">
        <v>17</v>
      </c>
      <c r="G165" s="481">
        <f t="shared" ref="G165:J165" si="20">SUM(G166:G169)</f>
        <v>0</v>
      </c>
      <c r="H165" s="481">
        <f t="shared" si="20"/>
        <v>0</v>
      </c>
      <c r="I165" s="481">
        <f t="shared" si="20"/>
        <v>0</v>
      </c>
      <c r="J165" s="478">
        <f t="shared" si="20"/>
        <v>0</v>
      </c>
      <c r="K165" s="440"/>
    </row>
    <row r="166" spans="2:11" x14ac:dyDescent="0.25">
      <c r="B166" s="442"/>
      <c r="D166" s="476" t="s">
        <v>184</v>
      </c>
      <c r="F166" s="482" t="s">
        <v>98</v>
      </c>
      <c r="G166" s="117">
        <v>0</v>
      </c>
      <c r="H166" s="117">
        <v>0</v>
      </c>
      <c r="I166" s="117">
        <v>0</v>
      </c>
      <c r="J166" s="452">
        <f>SUM(G166:I166)</f>
        <v>0</v>
      </c>
      <c r="K166" s="440"/>
    </row>
    <row r="167" spans="2:11" x14ac:dyDescent="0.25">
      <c r="B167" s="442"/>
      <c r="D167" s="476" t="s">
        <v>185</v>
      </c>
      <c r="F167" s="482">
        <v>175</v>
      </c>
      <c r="G167" s="117">
        <v>0</v>
      </c>
      <c r="H167" s="117">
        <v>0</v>
      </c>
      <c r="I167" s="117">
        <v>0</v>
      </c>
      <c r="J167" s="452">
        <f>SUM(G167:I167)</f>
        <v>0</v>
      </c>
      <c r="K167" s="440"/>
    </row>
    <row r="168" spans="2:11" x14ac:dyDescent="0.25">
      <c r="B168" s="442"/>
      <c r="D168" s="476" t="s">
        <v>312</v>
      </c>
      <c r="F168" s="482">
        <v>176</v>
      </c>
      <c r="G168" s="117">
        <v>0</v>
      </c>
      <c r="H168" s="117">
        <v>0</v>
      </c>
      <c r="I168" s="117">
        <v>0</v>
      </c>
      <c r="J168" s="452">
        <f>SUM(G168:I168)</f>
        <v>0</v>
      </c>
      <c r="K168" s="440"/>
    </row>
    <row r="169" spans="2:11" x14ac:dyDescent="0.25">
      <c r="B169" s="442"/>
      <c r="D169" s="434" t="s">
        <v>186</v>
      </c>
      <c r="F169" s="482" t="s">
        <v>99</v>
      </c>
      <c r="G169" s="117">
        <v>0</v>
      </c>
      <c r="H169" s="117">
        <v>0</v>
      </c>
      <c r="I169" s="117">
        <v>0</v>
      </c>
      <c r="J169" s="452">
        <f>SUM(G169:I169)</f>
        <v>0</v>
      </c>
      <c r="K169" s="440"/>
    </row>
    <row r="170" spans="2:11" x14ac:dyDescent="0.25">
      <c r="B170" s="442"/>
      <c r="D170" s="476"/>
      <c r="F170" s="482"/>
      <c r="G170" s="481"/>
      <c r="H170" s="481"/>
      <c r="I170" s="481"/>
      <c r="J170" s="452"/>
      <c r="K170" s="440"/>
    </row>
    <row r="171" spans="2:11" x14ac:dyDescent="0.25">
      <c r="B171" s="442"/>
      <c r="C171" s="477" t="s">
        <v>187</v>
      </c>
      <c r="F171" s="474" t="s">
        <v>100</v>
      </c>
      <c r="G171" s="481">
        <f>SUM(G172:G177)</f>
        <v>0</v>
      </c>
      <c r="H171" s="481">
        <f>SUM(H172:H177)</f>
        <v>0</v>
      </c>
      <c r="I171" s="481">
        <f>SUM(I172:I177)</f>
        <v>0</v>
      </c>
      <c r="J171" s="478">
        <f>SUM(J172:J177)</f>
        <v>0</v>
      </c>
      <c r="K171" s="440"/>
    </row>
    <row r="172" spans="2:11" x14ac:dyDescent="0.25">
      <c r="B172" s="442"/>
      <c r="C172" s="446"/>
      <c r="D172" s="434" t="s">
        <v>188</v>
      </c>
      <c r="F172" s="482">
        <v>42</v>
      </c>
      <c r="G172" s="117">
        <v>0</v>
      </c>
      <c r="H172" s="117">
        <v>0</v>
      </c>
      <c r="I172" s="117">
        <v>0</v>
      </c>
      <c r="J172" s="452">
        <f t="shared" ref="J172:J177" si="21">SUM(G172:I172)</f>
        <v>0</v>
      </c>
      <c r="K172" s="440"/>
    </row>
    <row r="173" spans="2:11" x14ac:dyDescent="0.25">
      <c r="B173" s="442"/>
      <c r="D173" s="476" t="s">
        <v>184</v>
      </c>
      <c r="E173" s="483"/>
      <c r="F173" s="482">
        <v>43</v>
      </c>
      <c r="G173" s="117">
        <v>0</v>
      </c>
      <c r="H173" s="117">
        <v>0</v>
      </c>
      <c r="I173" s="117">
        <v>0</v>
      </c>
      <c r="J173" s="452">
        <f t="shared" si="21"/>
        <v>0</v>
      </c>
      <c r="K173" s="440"/>
    </row>
    <row r="174" spans="2:11" x14ac:dyDescent="0.25">
      <c r="B174" s="442"/>
      <c r="D174" s="476" t="s">
        <v>185</v>
      </c>
      <c r="E174" s="483"/>
      <c r="F174" s="482">
        <v>44</v>
      </c>
      <c r="G174" s="117">
        <v>0</v>
      </c>
      <c r="H174" s="117">
        <v>0</v>
      </c>
      <c r="I174" s="117">
        <v>0</v>
      </c>
      <c r="J174" s="452">
        <f t="shared" si="21"/>
        <v>0</v>
      </c>
      <c r="K174" s="440"/>
    </row>
    <row r="175" spans="2:11" x14ac:dyDescent="0.25">
      <c r="B175" s="442"/>
      <c r="D175" s="434" t="s">
        <v>189</v>
      </c>
      <c r="F175" s="482">
        <v>45</v>
      </c>
      <c r="G175" s="117">
        <v>0</v>
      </c>
      <c r="H175" s="117">
        <v>0</v>
      </c>
      <c r="I175" s="117">
        <v>0</v>
      </c>
      <c r="J175" s="452">
        <f>SUM(G175:I175)</f>
        <v>0</v>
      </c>
      <c r="K175" s="440"/>
    </row>
    <row r="176" spans="2:11" x14ac:dyDescent="0.25">
      <c r="B176" s="442"/>
      <c r="D176" s="476" t="s">
        <v>312</v>
      </c>
      <c r="F176" s="482">
        <v>46</v>
      </c>
      <c r="G176" s="117">
        <v>0</v>
      </c>
      <c r="H176" s="117">
        <v>0</v>
      </c>
      <c r="I176" s="117">
        <v>0</v>
      </c>
      <c r="J176" s="452">
        <f>SUM(G176:I176)</f>
        <v>0</v>
      </c>
      <c r="K176" s="440"/>
    </row>
    <row r="177" spans="2:11" x14ac:dyDescent="0.25">
      <c r="B177" s="442"/>
      <c r="D177" s="434" t="s">
        <v>186</v>
      </c>
      <c r="F177" s="482" t="s">
        <v>101</v>
      </c>
      <c r="G177" s="117">
        <v>0</v>
      </c>
      <c r="H177" s="117">
        <v>0</v>
      </c>
      <c r="I177" s="117">
        <v>0</v>
      </c>
      <c r="J177" s="452">
        <f t="shared" si="21"/>
        <v>0</v>
      </c>
      <c r="K177" s="440"/>
    </row>
    <row r="178" spans="2:11" x14ac:dyDescent="0.25">
      <c r="B178" s="442"/>
      <c r="E178" s="484"/>
      <c r="F178" s="482"/>
      <c r="G178" s="481"/>
      <c r="H178" s="481"/>
      <c r="I178" s="481"/>
      <c r="J178" s="452"/>
      <c r="K178" s="440"/>
    </row>
    <row r="179" spans="2:11" x14ac:dyDescent="0.25">
      <c r="B179" s="442"/>
      <c r="C179" s="477" t="s">
        <v>52</v>
      </c>
      <c r="F179" s="474" t="s">
        <v>102</v>
      </c>
      <c r="G179" s="117">
        <v>0</v>
      </c>
      <c r="H179" s="117">
        <v>0</v>
      </c>
      <c r="I179" s="117">
        <v>0</v>
      </c>
      <c r="J179" s="454">
        <f>SUM(G179:I179)</f>
        <v>0</v>
      </c>
      <c r="K179" s="440"/>
    </row>
    <row r="180" spans="2:11" x14ac:dyDescent="0.25">
      <c r="B180" s="442"/>
      <c r="C180" s="477"/>
      <c r="F180" s="482"/>
      <c r="G180" s="485"/>
      <c r="H180" s="485"/>
      <c r="I180" s="485"/>
      <c r="J180" s="485"/>
      <c r="K180" s="440"/>
    </row>
    <row r="181" spans="2:11" x14ac:dyDescent="0.25">
      <c r="B181" s="486"/>
      <c r="C181" s="487"/>
      <c r="D181" s="487"/>
      <c r="E181" s="487"/>
      <c r="F181" s="488"/>
      <c r="G181" s="461"/>
      <c r="H181" s="461"/>
      <c r="I181" s="461"/>
      <c r="J181" s="461"/>
      <c r="K181" s="440"/>
    </row>
    <row r="182" spans="2:11" x14ac:dyDescent="0.25">
      <c r="B182" s="462"/>
      <c r="C182" s="463"/>
      <c r="D182" s="463"/>
      <c r="E182" s="463"/>
      <c r="F182" s="464"/>
      <c r="G182" s="444"/>
      <c r="H182" s="444"/>
      <c r="I182" s="444"/>
      <c r="J182" s="444"/>
      <c r="K182" s="440"/>
    </row>
    <row r="183" spans="2:11" x14ac:dyDescent="0.25">
      <c r="B183" s="445" t="s">
        <v>193</v>
      </c>
      <c r="F183" s="479"/>
      <c r="G183" s="451">
        <f>+SUM(G136,G157,G163)</f>
        <v>0</v>
      </c>
      <c r="H183" s="451">
        <f>+SUM(H136,H157,H163)</f>
        <v>0</v>
      </c>
      <c r="I183" s="451">
        <f>+SUM(I136,I157,I163)</f>
        <v>0</v>
      </c>
      <c r="J183" s="451">
        <f>+SUM(J136,J157,J163)</f>
        <v>0</v>
      </c>
      <c r="K183" s="440"/>
    </row>
    <row r="184" spans="2:11" ht="13.8" thickBot="1" x14ac:dyDescent="0.3">
      <c r="B184" s="490"/>
      <c r="C184" s="466"/>
      <c r="D184" s="466"/>
      <c r="E184" s="466"/>
      <c r="F184" s="491"/>
      <c r="G184" s="492"/>
      <c r="H184" s="492"/>
      <c r="I184" s="492"/>
      <c r="J184" s="492"/>
      <c r="K184" s="440"/>
    </row>
    <row r="185" spans="2:11" ht="13.8" thickTop="1" x14ac:dyDescent="0.25">
      <c r="G185" s="493"/>
      <c r="H185" s="493"/>
      <c r="I185" s="493"/>
      <c r="J185" s="493"/>
    </row>
    <row r="186" spans="2:11" x14ac:dyDescent="0.25">
      <c r="F186" s="438" t="s">
        <v>103</v>
      </c>
      <c r="G186" s="495">
        <f>G129-G183</f>
        <v>0</v>
      </c>
      <c r="H186" s="495">
        <f>H129-H183</f>
        <v>0</v>
      </c>
      <c r="I186" s="495">
        <f>I129-I183</f>
        <v>0</v>
      </c>
      <c r="J186" s="495">
        <f>J129-J183</f>
        <v>0</v>
      </c>
    </row>
    <row r="188" spans="2:11" ht="13.8" thickBot="1" x14ac:dyDescent="0.3"/>
    <row r="189" spans="2:11" ht="13.8" thickBot="1" x14ac:dyDescent="0.3">
      <c r="B189" s="714" t="str">
        <f>"DELTA BOEKJAAR "&amp;TITELBLAD!$F$17&amp;" VS BOEKJAAR "&amp;TITELBLAD!F17-1</f>
        <v>DELTA BOEKJAAR 2025 VS BOEKJAAR 2024</v>
      </c>
      <c r="C189" s="715"/>
      <c r="D189" s="715"/>
      <c r="E189" s="715"/>
      <c r="F189" s="715"/>
      <c r="G189" s="715"/>
      <c r="H189" s="715"/>
      <c r="I189" s="715"/>
      <c r="J189" s="716"/>
      <c r="K189" s="433"/>
    </row>
    <row r="190" spans="2:11" x14ac:dyDescent="0.25">
      <c r="B190" s="435"/>
    </row>
    <row r="191" spans="2:11" ht="13.8" thickBot="1" x14ac:dyDescent="0.3">
      <c r="B191" s="435"/>
    </row>
    <row r="192" spans="2:11" ht="13.8" thickTop="1" x14ac:dyDescent="0.25">
      <c r="B192" s="700" t="s">
        <v>11</v>
      </c>
      <c r="C192" s="701"/>
      <c r="D192" s="701"/>
      <c r="E192" s="702"/>
      <c r="F192" s="706" t="s">
        <v>17</v>
      </c>
      <c r="G192" s="710" t="s">
        <v>105</v>
      </c>
      <c r="H192" s="710" t="s">
        <v>355</v>
      </c>
      <c r="I192" s="717" t="s">
        <v>84</v>
      </c>
      <c r="J192" s="439" t="s">
        <v>16</v>
      </c>
      <c r="K192" s="440"/>
    </row>
    <row r="193" spans="2:11" x14ac:dyDescent="0.25">
      <c r="B193" s="703"/>
      <c r="C193" s="704"/>
      <c r="D193" s="704"/>
      <c r="E193" s="705"/>
      <c r="F193" s="707"/>
      <c r="G193" s="711"/>
      <c r="H193" s="711"/>
      <c r="I193" s="718"/>
      <c r="J193" s="441"/>
      <c r="K193" s="440"/>
    </row>
    <row r="194" spans="2:11" x14ac:dyDescent="0.25">
      <c r="B194" s="442"/>
      <c r="F194" s="443"/>
      <c r="G194" s="444"/>
      <c r="H194" s="444"/>
      <c r="I194" s="444"/>
      <c r="J194" s="444"/>
      <c r="K194" s="440"/>
    </row>
    <row r="195" spans="2:11" x14ac:dyDescent="0.25">
      <c r="B195" s="445" t="s">
        <v>167</v>
      </c>
      <c r="C195" s="446"/>
      <c r="F195" s="447">
        <v>20</v>
      </c>
      <c r="G195" s="16">
        <f>+IF(G104=0,IF(G11&lt;&gt;0,100%,0),(G11-G104)/G104)</f>
        <v>0</v>
      </c>
      <c r="H195" s="16">
        <f>+IF(H104=0,IF(H11&lt;&gt;0,100%,0),(H11-H104)/H104)</f>
        <v>0</v>
      </c>
      <c r="I195" s="16">
        <f>+IF(I104=0,IF(I11&lt;&gt;0,100%,0),(I11-I104)/I104)</f>
        <v>0</v>
      </c>
      <c r="J195" s="13">
        <f>+IF(J104=0,IF(J11&lt;&gt;0,100%,0),(J11-J104)/J104)</f>
        <v>0</v>
      </c>
      <c r="K195" s="440"/>
    </row>
    <row r="196" spans="2:11" x14ac:dyDescent="0.25">
      <c r="B196" s="442"/>
      <c r="F196" s="443"/>
      <c r="G196" s="14"/>
      <c r="H196" s="15"/>
      <c r="I196" s="15"/>
      <c r="J196" s="15"/>
      <c r="K196" s="440"/>
    </row>
    <row r="197" spans="2:11" x14ac:dyDescent="0.25">
      <c r="B197" s="445" t="s">
        <v>85</v>
      </c>
      <c r="F197" s="447" t="s">
        <v>168</v>
      </c>
      <c r="G197" s="16">
        <f>+IF(G106=0,IF(G13&lt;&gt;0,100%,0),(G13-G106)/G106)</f>
        <v>0</v>
      </c>
      <c r="H197" s="16">
        <f>+IF(H106=0,IF(H13&lt;&gt;0,100%,0),(H13-H106)/H106)</f>
        <v>0</v>
      </c>
      <c r="I197" s="16">
        <f>+IF(I106=0,IF(I13&lt;&gt;0,100%,0),(I13-I106)/I106)</f>
        <v>0</v>
      </c>
      <c r="J197" s="16">
        <f>+IF(J106=0,IF(J13&lt;&gt;0,100%,0),(J13-J106)/J106)</f>
        <v>0</v>
      </c>
      <c r="K197" s="440"/>
    </row>
    <row r="198" spans="2:11" x14ac:dyDescent="0.25">
      <c r="B198" s="442"/>
      <c r="F198" s="443"/>
      <c r="G198" s="14"/>
      <c r="H198" s="14"/>
      <c r="I198" s="14"/>
      <c r="J198" s="17"/>
      <c r="K198" s="440"/>
    </row>
    <row r="199" spans="2:11" x14ac:dyDescent="0.25">
      <c r="B199" s="442"/>
      <c r="C199" s="446" t="s">
        <v>169</v>
      </c>
      <c r="F199" s="453">
        <v>21</v>
      </c>
      <c r="G199" s="14">
        <f>+IF(G108=0,IF(G15&lt;&gt;0,100%,0),(G15-G108)/G108)</f>
        <v>0</v>
      </c>
      <c r="H199" s="14">
        <f>+IF(H108=0,IF(H15&lt;&gt;0,100%,0),(H15-H108)/H108)</f>
        <v>0</v>
      </c>
      <c r="I199" s="14">
        <f>+IF(I108=0,IF(I15&lt;&gt;0,100%,0),(I15-I108)/I108)</f>
        <v>0</v>
      </c>
      <c r="J199" s="18">
        <f>+IF(J108=0,IF(J15&lt;&gt;0,100%,0),(J15-J108)/J108)</f>
        <v>0</v>
      </c>
      <c r="K199" s="440"/>
    </row>
    <row r="200" spans="2:11" x14ac:dyDescent="0.25">
      <c r="B200" s="442"/>
      <c r="F200" s="443"/>
      <c r="G200" s="14"/>
      <c r="H200" s="14"/>
      <c r="I200" s="14"/>
      <c r="J200" s="17"/>
      <c r="K200" s="440"/>
    </row>
    <row r="201" spans="2:11" x14ac:dyDescent="0.25">
      <c r="B201" s="442"/>
      <c r="C201" s="446" t="s">
        <v>170</v>
      </c>
      <c r="F201" s="453" t="s">
        <v>86</v>
      </c>
      <c r="G201" s="14">
        <f>+IF(G110=0,IF(G17&lt;&gt;0,100%,0),(G17-G110)/G110)</f>
        <v>0</v>
      </c>
      <c r="H201" s="14">
        <f>+IF(H110=0,IF(H17&lt;&gt;0,100%,0),(H17-H110)/H110)</f>
        <v>0</v>
      </c>
      <c r="I201" s="14">
        <f>+IF(I110=0,IF(I17&lt;&gt;0,100%,0),(I17-I110)/I110)</f>
        <v>0</v>
      </c>
      <c r="J201" s="18">
        <f>+IF(J110=0,IF(J17&lt;&gt;0,100%,0),(J17-J110)/J110)</f>
        <v>0</v>
      </c>
      <c r="K201" s="440"/>
    </row>
    <row r="202" spans="2:11" x14ac:dyDescent="0.25">
      <c r="B202" s="442"/>
      <c r="F202" s="443"/>
      <c r="G202" s="14"/>
      <c r="H202" s="14"/>
      <c r="I202" s="14"/>
      <c r="J202" s="17"/>
      <c r="K202" s="440"/>
    </row>
    <row r="203" spans="2:11" x14ac:dyDescent="0.25">
      <c r="B203" s="442"/>
      <c r="C203" s="446" t="s">
        <v>171</v>
      </c>
      <c r="E203" s="455"/>
      <c r="F203" s="453">
        <v>28</v>
      </c>
      <c r="G203" s="14">
        <f>+IF(G112=0,IF(G19&lt;&gt;0,100%,0),(G19-G112)/G112)</f>
        <v>0</v>
      </c>
      <c r="H203" s="14">
        <f>+IF(H112=0,IF(H19&lt;&gt;0,100%,0),(H19-H112)/H112)</f>
        <v>0</v>
      </c>
      <c r="I203" s="14">
        <f>+IF(I112=0,IF(I19&lt;&gt;0,100%,0),(I19-I112)/I112)</f>
        <v>0</v>
      </c>
      <c r="J203" s="18">
        <f>+IF(J112=0,IF(J19&lt;&gt;0,100%,0),(J19-J112)/J112)</f>
        <v>0</v>
      </c>
      <c r="K203" s="440"/>
    </row>
    <row r="204" spans="2:11" x14ac:dyDescent="0.25">
      <c r="B204" s="442"/>
      <c r="F204" s="443"/>
      <c r="G204" s="14"/>
      <c r="H204" s="14"/>
      <c r="I204" s="14"/>
      <c r="J204" s="17"/>
      <c r="K204" s="440"/>
    </row>
    <row r="205" spans="2:11" x14ac:dyDescent="0.25">
      <c r="B205" s="445" t="s">
        <v>87</v>
      </c>
      <c r="F205" s="447" t="s">
        <v>88</v>
      </c>
      <c r="G205" s="16">
        <f>+IF(G114=0,IF(G21&lt;&gt;0,100%,0),(G21-G114)/G114)</f>
        <v>0</v>
      </c>
      <c r="H205" s="16">
        <f>+IF(H114=0,IF(H21&lt;&gt;0,100%,0),(H21-H114)/H114)</f>
        <v>0</v>
      </c>
      <c r="I205" s="16">
        <f>+IF(I114=0,IF(I21&lt;&gt;0,100%,0),(I21-I114)/I114)</f>
        <v>0</v>
      </c>
      <c r="J205" s="16">
        <f>+IF(J114=0,IF(J21&lt;&gt;0,100%,0),(J21-J114)/J114)</f>
        <v>0</v>
      </c>
      <c r="K205" s="440"/>
    </row>
    <row r="206" spans="2:11" x14ac:dyDescent="0.25">
      <c r="B206" s="442"/>
      <c r="F206" s="443"/>
      <c r="G206" s="14"/>
      <c r="H206" s="14"/>
      <c r="I206" s="14"/>
      <c r="J206" s="17"/>
      <c r="K206" s="440"/>
    </row>
    <row r="207" spans="2:11" x14ac:dyDescent="0.25">
      <c r="B207" s="442"/>
      <c r="C207" s="446" t="s">
        <v>172</v>
      </c>
      <c r="F207" s="453">
        <v>29</v>
      </c>
      <c r="G207" s="14">
        <f>+IF(G116=0,IF(G23&lt;&gt;0,100%,0),(G23-G116)/G116)</f>
        <v>0</v>
      </c>
      <c r="H207" s="14">
        <f>+IF(H116=0,IF(H23&lt;&gt;0,100%,0),(H23-H116)/H116)</f>
        <v>0</v>
      </c>
      <c r="I207" s="14">
        <f>+IF(I116=0,IF(I23&lt;&gt;0,100%,0),(I23-I116)/I116)</f>
        <v>0</v>
      </c>
      <c r="J207" s="18">
        <f>+IF(J116=0,IF(J23&lt;&gt;0,100%,0),(J23-J116)/J116)</f>
        <v>0</v>
      </c>
      <c r="K207" s="440"/>
    </row>
    <row r="208" spans="2:11" x14ac:dyDescent="0.25">
      <c r="B208" s="442"/>
      <c r="F208" s="443"/>
      <c r="G208" s="14"/>
      <c r="H208" s="14"/>
      <c r="I208" s="14"/>
      <c r="J208" s="17"/>
      <c r="K208" s="440"/>
    </row>
    <row r="209" spans="2:11" x14ac:dyDescent="0.25">
      <c r="B209" s="442"/>
      <c r="C209" s="446" t="s">
        <v>173</v>
      </c>
      <c r="F209" s="453">
        <v>3</v>
      </c>
      <c r="G209" s="14">
        <f>+IF(G118=0,IF(G25&lt;&gt;0,100%,0),(G25-G118)/G118)</f>
        <v>0</v>
      </c>
      <c r="H209" s="14">
        <f>+IF(H118=0,IF(H25&lt;&gt;0,100%,0),(H25-H118)/H118)</f>
        <v>0</v>
      </c>
      <c r="I209" s="14">
        <f>+IF(I118=0,IF(I25&lt;&gt;0,100%,0),(I25-I118)/I118)</f>
        <v>0</v>
      </c>
      <c r="J209" s="18">
        <f>+IF(J118=0,IF(J25&lt;&gt;0,100%,0),(J25-J118)/J118)</f>
        <v>0</v>
      </c>
      <c r="K209" s="440"/>
    </row>
    <row r="210" spans="2:11" x14ac:dyDescent="0.25">
      <c r="B210" s="442"/>
      <c r="F210" s="443"/>
      <c r="G210" s="14"/>
      <c r="H210" s="14"/>
      <c r="I210" s="14"/>
      <c r="J210" s="17"/>
      <c r="K210" s="440"/>
    </row>
    <row r="211" spans="2:11" x14ac:dyDescent="0.25">
      <c r="B211" s="442"/>
      <c r="C211" s="446" t="s">
        <v>174</v>
      </c>
      <c r="F211" s="453" t="s">
        <v>89</v>
      </c>
      <c r="G211" s="14">
        <f>+IF(G120=0,IF(G27&lt;&gt;0,100%,0),(G27-G120)/G120)</f>
        <v>0</v>
      </c>
      <c r="H211" s="14">
        <f>+IF(H120=0,IF(H27&lt;&gt;0,100%,0),(H27-H120)/H120)</f>
        <v>0</v>
      </c>
      <c r="I211" s="14">
        <f>+IF(I120=0,IF(I27&lt;&gt;0,100%,0),(I27-I120)/I120)</f>
        <v>0</v>
      </c>
      <c r="J211" s="18">
        <f>+IF(J120=0,IF(J27&lt;&gt;0,100%,0),(J27-J120)/J120)</f>
        <v>0</v>
      </c>
      <c r="K211" s="440"/>
    </row>
    <row r="212" spans="2:11" x14ac:dyDescent="0.25">
      <c r="B212" s="442"/>
      <c r="F212" s="443"/>
      <c r="G212" s="14"/>
      <c r="H212" s="14"/>
      <c r="I212" s="14"/>
      <c r="J212" s="17"/>
      <c r="K212" s="440"/>
    </row>
    <row r="213" spans="2:11" x14ac:dyDescent="0.25">
      <c r="B213" s="442"/>
      <c r="C213" s="446" t="s">
        <v>175</v>
      </c>
      <c r="F213" s="453" t="s">
        <v>90</v>
      </c>
      <c r="G213" s="14">
        <f>+IF(G122=0,IF(G29&lt;&gt;0,100%,0),(G29-G122)/G122)</f>
        <v>0</v>
      </c>
      <c r="H213" s="14">
        <f>+IF(H122=0,IF(H29&lt;&gt;0,100%,0),(H29-H122)/H122)</f>
        <v>0</v>
      </c>
      <c r="I213" s="14">
        <f>+IF(I122=0,IF(I29&lt;&gt;0,100%,0),(I29-I122)/I122)</f>
        <v>0</v>
      </c>
      <c r="J213" s="18">
        <f>+IF(J122=0,IF(J29&lt;&gt;0,100%,0),(J29-J122)/J122)</f>
        <v>0</v>
      </c>
      <c r="K213" s="440"/>
    </row>
    <row r="214" spans="2:11" x14ac:dyDescent="0.25">
      <c r="B214" s="442"/>
      <c r="F214" s="443"/>
      <c r="G214" s="14"/>
      <c r="H214" s="14"/>
      <c r="I214" s="14"/>
      <c r="J214" s="17"/>
      <c r="K214" s="440"/>
    </row>
    <row r="215" spans="2:11" x14ac:dyDescent="0.25">
      <c r="B215" s="442"/>
      <c r="C215" s="456" t="s">
        <v>176</v>
      </c>
      <c r="F215" s="457" t="s">
        <v>91</v>
      </c>
      <c r="G215" s="14">
        <f>+IF(G124=0,IF(G31&lt;&gt;0,100%,0),(G31-G124)/G124)</f>
        <v>0</v>
      </c>
      <c r="H215" s="14">
        <f>+IF(H124=0,IF(H31&lt;&gt;0,100%,0),(H31-H124)/H124)</f>
        <v>0</v>
      </c>
      <c r="I215" s="14">
        <f>+IF(I124=0,IF(I31&lt;&gt;0,100%,0),(I31-I124)/I124)</f>
        <v>0</v>
      </c>
      <c r="J215" s="18">
        <f>+IF(J124=0,IF(J31&lt;&gt;0,100%,0),(J31-J124)/J124)</f>
        <v>0</v>
      </c>
      <c r="K215" s="440"/>
    </row>
    <row r="216" spans="2:11" x14ac:dyDescent="0.25">
      <c r="B216" s="442"/>
      <c r="C216" s="456"/>
      <c r="F216" s="458"/>
      <c r="G216" s="19"/>
      <c r="H216" s="19"/>
      <c r="I216" s="19"/>
      <c r="J216" s="20"/>
      <c r="K216" s="440"/>
    </row>
    <row r="217" spans="2:11" x14ac:dyDescent="0.25">
      <c r="B217" s="442"/>
      <c r="C217" s="446" t="s">
        <v>52</v>
      </c>
      <c r="F217" s="453" t="s">
        <v>92</v>
      </c>
      <c r="G217" s="14">
        <f>+IF(G126=0,IF(G33&lt;&gt;0,100%,0),(G33-G126)/G126)</f>
        <v>0</v>
      </c>
      <c r="H217" s="14">
        <f>+IF(H126=0,IF(H33&lt;&gt;0,100%,0),(H33-H126)/H126)</f>
        <v>0</v>
      </c>
      <c r="I217" s="14">
        <f>+IF(I126=0,IF(I33&lt;&gt;0,100%,0),(I33-I126)/I126)</f>
        <v>0</v>
      </c>
      <c r="J217" s="18">
        <f>+IF(J126=0,IF(J33&lt;&gt;0,100%,0),(J33-J126)/J126)</f>
        <v>0</v>
      </c>
      <c r="K217" s="440"/>
    </row>
    <row r="218" spans="2:11" x14ac:dyDescent="0.25">
      <c r="B218" s="442"/>
      <c r="F218" s="443"/>
      <c r="G218" s="21"/>
      <c r="H218" s="21"/>
      <c r="I218" s="21"/>
      <c r="J218" s="21"/>
      <c r="K218" s="440"/>
    </row>
    <row r="219" spans="2:11" x14ac:dyDescent="0.25">
      <c r="B219" s="462"/>
      <c r="C219" s="463"/>
      <c r="D219" s="463"/>
      <c r="E219" s="463"/>
      <c r="F219" s="464"/>
      <c r="G219" s="14"/>
      <c r="H219" s="14"/>
      <c r="I219" s="14"/>
      <c r="J219" s="14"/>
      <c r="K219" s="440"/>
    </row>
    <row r="220" spans="2:11" x14ac:dyDescent="0.25">
      <c r="B220" s="445" t="s">
        <v>194</v>
      </c>
      <c r="F220" s="447"/>
      <c r="G220" s="16">
        <f>+IF(G129=0,IF(G36&lt;&gt;0,100%,0),(G36-G129)/G129)</f>
        <v>0</v>
      </c>
      <c r="H220" s="16">
        <f>+IF(H129=0,IF(H36&lt;&gt;0,100%,0),(H36-H129)/H129)</f>
        <v>0</v>
      </c>
      <c r="I220" s="16">
        <f>+IF(I129=0,IF(I36&lt;&gt;0,100%,0),(I36-I129)/I129)</f>
        <v>0</v>
      </c>
      <c r="J220" s="16">
        <f>+IF(J129=0,IF(J36&lt;&gt;0,100%,0),(J36-J129)/J129)</f>
        <v>0</v>
      </c>
      <c r="K220" s="440"/>
    </row>
    <row r="221" spans="2:11" ht="13.8" thickBot="1" x14ac:dyDescent="0.3">
      <c r="B221" s="465"/>
      <c r="C221" s="466"/>
      <c r="D221" s="466"/>
      <c r="E221" s="467"/>
      <c r="F221" s="468"/>
      <c r="G221" s="22"/>
      <c r="H221" s="22"/>
      <c r="I221" s="22"/>
      <c r="J221" s="22"/>
      <c r="K221" s="440"/>
    </row>
    <row r="222" spans="2:11" ht="13.8" thickTop="1" x14ac:dyDescent="0.25">
      <c r="G222" s="23"/>
      <c r="H222" s="23"/>
      <c r="I222" s="23"/>
      <c r="J222" s="23"/>
      <c r="K222" s="440"/>
    </row>
    <row r="223" spans="2:11" ht="13.8" thickBot="1" x14ac:dyDescent="0.3">
      <c r="G223" s="23"/>
      <c r="H223" s="23"/>
      <c r="I223" s="23"/>
      <c r="J223" s="23"/>
      <c r="K223" s="440"/>
    </row>
    <row r="224" spans="2:11" ht="13.8" thickTop="1" x14ac:dyDescent="0.25">
      <c r="B224" s="700" t="s">
        <v>14</v>
      </c>
      <c r="C224" s="701"/>
      <c r="D224" s="701"/>
      <c r="E224" s="702"/>
      <c r="F224" s="706" t="s">
        <v>93</v>
      </c>
      <c r="G224" s="708" t="s">
        <v>105</v>
      </c>
      <c r="H224" s="710" t="s">
        <v>355</v>
      </c>
      <c r="I224" s="712" t="s">
        <v>84</v>
      </c>
      <c r="J224" s="118" t="s">
        <v>16</v>
      </c>
      <c r="K224" s="440"/>
    </row>
    <row r="225" spans="2:11" x14ac:dyDescent="0.25">
      <c r="B225" s="703"/>
      <c r="C225" s="704"/>
      <c r="D225" s="704"/>
      <c r="E225" s="705"/>
      <c r="F225" s="707"/>
      <c r="G225" s="709"/>
      <c r="H225" s="711"/>
      <c r="I225" s="713"/>
      <c r="J225" s="119"/>
      <c r="K225" s="440"/>
    </row>
    <row r="226" spans="2:11" x14ac:dyDescent="0.25">
      <c r="B226" s="442"/>
      <c r="F226" s="471"/>
      <c r="G226" s="24"/>
      <c r="H226" s="24"/>
      <c r="I226" s="24"/>
      <c r="J226" s="24"/>
      <c r="K226" s="440"/>
    </row>
    <row r="227" spans="2:11" x14ac:dyDescent="0.25">
      <c r="B227" s="445" t="s">
        <v>94</v>
      </c>
      <c r="F227" s="473" t="s">
        <v>95</v>
      </c>
      <c r="G227" s="16">
        <f>+IF(G136=0,IF(G43&lt;&gt;0,100%,0),(G43-G136)/G136)</f>
        <v>0</v>
      </c>
      <c r="H227" s="16">
        <f>+IF(H136=0,IF(H43&lt;&gt;0,100%,0),(H43-H136)/H136)</f>
        <v>0</v>
      </c>
      <c r="I227" s="16">
        <f>+IF(I136=0,IF(I43&lt;&gt;0,100%,0),(I43-I136)/I136)</f>
        <v>0</v>
      </c>
      <c r="J227" s="16">
        <f>+IF(J136=0,IF(J43&lt;&gt;0,100%,0),(J43-J136)/J136)</f>
        <v>0</v>
      </c>
      <c r="K227" s="440"/>
    </row>
    <row r="228" spans="2:11" x14ac:dyDescent="0.25">
      <c r="B228" s="442"/>
      <c r="F228" s="471"/>
      <c r="G228" s="14"/>
      <c r="H228" s="14"/>
      <c r="I228" s="14"/>
      <c r="J228" s="14"/>
      <c r="K228" s="440"/>
    </row>
    <row r="229" spans="2:11" x14ac:dyDescent="0.25">
      <c r="B229" s="442"/>
      <c r="C229" s="477" t="s">
        <v>177</v>
      </c>
      <c r="F229" s="474">
        <v>10</v>
      </c>
      <c r="G229" s="14">
        <f>+IF(G138=0,IF(G45&lt;&gt;0,100%,0),(G45-G138)/G138)</f>
        <v>0</v>
      </c>
      <c r="H229" s="14">
        <f>+IF(H138=0,IF(H45&lt;&gt;0,100%,0),(H45-H138)/H138)</f>
        <v>0</v>
      </c>
      <c r="I229" s="14">
        <f>+IF(I138=0,IF(I45&lt;&gt;0,100%,0),(I45-I138)/I138)</f>
        <v>0</v>
      </c>
      <c r="J229" s="18">
        <f>+IF(J138=0,IF(J45&lt;&gt;0,100%,0),(J45-J138)/J138)</f>
        <v>0</v>
      </c>
      <c r="K229" s="440"/>
    </row>
    <row r="230" spans="2:11" x14ac:dyDescent="0.25">
      <c r="B230" s="442"/>
      <c r="F230" s="471"/>
      <c r="G230" s="14"/>
      <c r="H230" s="14"/>
      <c r="I230" s="14"/>
      <c r="J230" s="14"/>
      <c r="K230" s="440"/>
    </row>
    <row r="231" spans="2:11" x14ac:dyDescent="0.25">
      <c r="B231" s="442"/>
      <c r="C231" s="446" t="s">
        <v>356</v>
      </c>
      <c r="F231" s="474">
        <v>11</v>
      </c>
      <c r="G231" s="14">
        <f t="shared" ref="G231:J233" si="22">+IF(G140=0,IF(G47&lt;&gt;0,100%,0),(G47-G140)/G140)</f>
        <v>0</v>
      </c>
      <c r="H231" s="14">
        <f t="shared" si="22"/>
        <v>0</v>
      </c>
      <c r="I231" s="14">
        <f t="shared" si="22"/>
        <v>0</v>
      </c>
      <c r="J231" s="18">
        <f t="shared" si="22"/>
        <v>0</v>
      </c>
      <c r="K231" s="440"/>
    </row>
    <row r="232" spans="2:11" x14ac:dyDescent="0.25">
      <c r="B232" s="442"/>
      <c r="C232" s="446"/>
      <c r="D232" s="476" t="s">
        <v>305</v>
      </c>
      <c r="F232" s="471">
        <v>110</v>
      </c>
      <c r="G232" s="14">
        <f t="shared" si="22"/>
        <v>0</v>
      </c>
      <c r="H232" s="14">
        <f t="shared" si="22"/>
        <v>0</v>
      </c>
      <c r="I232" s="14">
        <f t="shared" si="22"/>
        <v>0</v>
      </c>
      <c r="J232" s="17">
        <f t="shared" si="22"/>
        <v>0</v>
      </c>
      <c r="K232" s="440"/>
    </row>
    <row r="233" spans="2:11" x14ac:dyDescent="0.25">
      <c r="B233" s="442"/>
      <c r="C233" s="446"/>
      <c r="D233" s="476" t="s">
        <v>306</v>
      </c>
      <c r="F233" s="471">
        <v>111</v>
      </c>
      <c r="G233" s="14">
        <f t="shared" si="22"/>
        <v>0</v>
      </c>
      <c r="H233" s="14">
        <f t="shared" si="22"/>
        <v>0</v>
      </c>
      <c r="I233" s="14">
        <f t="shared" si="22"/>
        <v>0</v>
      </c>
      <c r="J233" s="17">
        <f t="shared" si="22"/>
        <v>0</v>
      </c>
      <c r="K233" s="440"/>
    </row>
    <row r="234" spans="2:11" x14ac:dyDescent="0.25">
      <c r="B234" s="442"/>
      <c r="C234" s="446"/>
      <c r="F234" s="471"/>
      <c r="G234" s="14"/>
      <c r="H234" s="14"/>
      <c r="I234" s="14"/>
      <c r="J234" s="17"/>
      <c r="K234" s="440"/>
    </row>
    <row r="235" spans="2:11" x14ac:dyDescent="0.25">
      <c r="B235" s="442"/>
      <c r="C235" s="477" t="s">
        <v>178</v>
      </c>
      <c r="D235" s="476"/>
      <c r="F235" s="474">
        <v>12</v>
      </c>
      <c r="G235" s="14">
        <f>+IF(G144=0,IF(G51&lt;&gt;0,100%,0),(G51-G144)/G144)</f>
        <v>0</v>
      </c>
      <c r="H235" s="14">
        <f>+IF(H144=0,IF(H51&lt;&gt;0,100%,0),(H51-H144)/H144)</f>
        <v>0</v>
      </c>
      <c r="I235" s="14">
        <f>+IF(I144=0,IF(I51&lt;&gt;0,100%,0),(I51-I144)/I144)</f>
        <v>0</v>
      </c>
      <c r="J235" s="18">
        <f>+IF(J144=0,IF(J51&lt;&gt;0,100%,0),(J51-J144)/J144)</f>
        <v>0</v>
      </c>
      <c r="K235" s="440"/>
    </row>
    <row r="236" spans="2:11" x14ac:dyDescent="0.25">
      <c r="B236" s="442"/>
      <c r="D236" s="476"/>
      <c r="E236" s="455"/>
      <c r="F236" s="471"/>
      <c r="G236" s="14"/>
      <c r="H236" s="14"/>
      <c r="I236" s="14"/>
      <c r="J236" s="17"/>
      <c r="K236" s="440"/>
    </row>
    <row r="237" spans="2:11" x14ac:dyDescent="0.25">
      <c r="B237" s="442"/>
      <c r="C237" s="477" t="s">
        <v>179</v>
      </c>
      <c r="D237" s="476"/>
      <c r="E237" s="455"/>
      <c r="F237" s="474">
        <v>13</v>
      </c>
      <c r="G237" s="14">
        <f t="shared" ref="G237:J240" si="23">+IF(G146=0,IF(G53&lt;&gt;0,100%,0),(G53-G146)/G146)</f>
        <v>0</v>
      </c>
      <c r="H237" s="14">
        <f t="shared" si="23"/>
        <v>0</v>
      </c>
      <c r="I237" s="14">
        <f t="shared" si="23"/>
        <v>0</v>
      </c>
      <c r="J237" s="18">
        <f t="shared" si="23"/>
        <v>0</v>
      </c>
      <c r="K237" s="440"/>
    </row>
    <row r="238" spans="2:11" x14ac:dyDescent="0.25">
      <c r="B238" s="442"/>
      <c r="C238" s="477"/>
      <c r="D238" s="476" t="s">
        <v>307</v>
      </c>
      <c r="F238" s="471" t="s">
        <v>310</v>
      </c>
      <c r="G238" s="14">
        <f t="shared" si="23"/>
        <v>0</v>
      </c>
      <c r="H238" s="14">
        <f t="shared" si="23"/>
        <v>0</v>
      </c>
      <c r="I238" s="14">
        <f t="shared" si="23"/>
        <v>0</v>
      </c>
      <c r="J238" s="17">
        <f t="shared" si="23"/>
        <v>0</v>
      </c>
      <c r="K238" s="440"/>
    </row>
    <row r="239" spans="2:11" x14ac:dyDescent="0.25">
      <c r="B239" s="442"/>
      <c r="C239" s="477"/>
      <c r="D239" s="476" t="s">
        <v>308</v>
      </c>
      <c r="F239" s="471">
        <v>132</v>
      </c>
      <c r="G239" s="14">
        <f t="shared" si="23"/>
        <v>0</v>
      </c>
      <c r="H239" s="14">
        <f t="shared" si="23"/>
        <v>0</v>
      </c>
      <c r="I239" s="14">
        <f t="shared" si="23"/>
        <v>0</v>
      </c>
      <c r="J239" s="17">
        <f t="shared" si="23"/>
        <v>0</v>
      </c>
      <c r="K239" s="440"/>
    </row>
    <row r="240" spans="2:11" x14ac:dyDescent="0.25">
      <c r="B240" s="442"/>
      <c r="C240" s="477"/>
      <c r="D240" s="476" t="s">
        <v>309</v>
      </c>
      <c r="F240" s="471">
        <v>133</v>
      </c>
      <c r="G240" s="14">
        <f t="shared" si="23"/>
        <v>0</v>
      </c>
      <c r="H240" s="14">
        <f t="shared" si="23"/>
        <v>0</v>
      </c>
      <c r="I240" s="14">
        <f t="shared" si="23"/>
        <v>0</v>
      </c>
      <c r="J240" s="17">
        <f t="shared" si="23"/>
        <v>0</v>
      </c>
      <c r="K240" s="440"/>
    </row>
    <row r="241" spans="2:11" x14ac:dyDescent="0.25">
      <c r="B241" s="442"/>
      <c r="C241" s="446"/>
      <c r="E241" s="455"/>
      <c r="F241" s="471"/>
      <c r="G241" s="14"/>
      <c r="H241" s="14"/>
      <c r="I241" s="14"/>
      <c r="J241" s="17"/>
      <c r="K241" s="440"/>
    </row>
    <row r="242" spans="2:11" x14ac:dyDescent="0.25">
      <c r="B242" s="442"/>
      <c r="C242" s="446" t="s">
        <v>180</v>
      </c>
      <c r="E242" s="455"/>
      <c r="F242" s="474">
        <v>14</v>
      </c>
      <c r="G242" s="14">
        <f>+IF(G151=0,IF(G58&lt;&gt;0,100%,0),(G58-G151)/G151)</f>
        <v>0</v>
      </c>
      <c r="H242" s="14">
        <f>+IF(H151=0,IF(H58&lt;&gt;0,100%,0),(H58-H151)/H151)</f>
        <v>0</v>
      </c>
      <c r="I242" s="14">
        <f>+IF(I151=0,IF(I58&lt;&gt;0,100%,0),(I58-I151)/I151)</f>
        <v>0</v>
      </c>
      <c r="J242" s="18">
        <f>+IF(J151=0,IF(J58&lt;&gt;0,100%,0),(J58-J151)/J151)</f>
        <v>0</v>
      </c>
      <c r="K242" s="440"/>
    </row>
    <row r="243" spans="2:11" x14ac:dyDescent="0.25">
      <c r="B243" s="442"/>
      <c r="C243" s="446"/>
      <c r="E243" s="455"/>
      <c r="F243" s="471"/>
      <c r="G243" s="25"/>
      <c r="H243" s="25"/>
      <c r="I243" s="25"/>
      <c r="J243" s="18"/>
      <c r="K243" s="440"/>
    </row>
    <row r="244" spans="2:11" x14ac:dyDescent="0.25">
      <c r="B244" s="442"/>
      <c r="C244" s="446" t="s">
        <v>181</v>
      </c>
      <c r="E244" s="455"/>
      <c r="F244" s="474">
        <v>15</v>
      </c>
      <c r="G244" s="14">
        <f>+IF(G153=0,IF(G60&lt;&gt;0,100%,0),(G60-G153)/G153)</f>
        <v>0</v>
      </c>
      <c r="H244" s="14">
        <f>+IF(H153=0,IF(H60&lt;&gt;0,100%,0),(H60-H153)/H153)</f>
        <v>0</v>
      </c>
      <c r="I244" s="14">
        <f>+IF(I153=0,IF(I60&lt;&gt;0,100%,0),(I60-I153)/I153)</f>
        <v>0</v>
      </c>
      <c r="J244" s="18">
        <f>+IF(J153=0,IF(J60&lt;&gt;0,100%,0),(J60-J153)/J153)</f>
        <v>0</v>
      </c>
      <c r="K244" s="440"/>
    </row>
    <row r="245" spans="2:11" x14ac:dyDescent="0.25">
      <c r="B245" s="442"/>
      <c r="C245" s="446"/>
      <c r="E245" s="455"/>
      <c r="F245" s="471"/>
      <c r="G245" s="25"/>
      <c r="H245" s="25"/>
      <c r="I245" s="25"/>
      <c r="J245" s="18"/>
      <c r="K245" s="440"/>
    </row>
    <row r="246" spans="2:11" ht="27.6" customHeight="1" x14ac:dyDescent="0.25">
      <c r="B246" s="442"/>
      <c r="C246" s="698" t="s">
        <v>195</v>
      </c>
      <c r="D246" s="698"/>
      <c r="E246" s="699"/>
      <c r="F246" s="474">
        <v>19</v>
      </c>
      <c r="G246" s="14">
        <f>+IF(G155=0,IF(G62&lt;&gt;0,100%,0),(G62-G155)/G155)</f>
        <v>0</v>
      </c>
      <c r="H246" s="14">
        <f>+IF(H155=0,IF(H62&lt;&gt;0,100%,0),(H62-H155)/H155)</f>
        <v>0</v>
      </c>
      <c r="I246" s="14">
        <f>+IF(I155=0,IF(I62&lt;&gt;0,100%,0),(I62-I155)/I155)</f>
        <v>0</v>
      </c>
      <c r="J246" s="18">
        <f>+IF(J155=0,IF(J62&lt;&gt;0,100%,0),(J62-J155)/J155)</f>
        <v>0</v>
      </c>
      <c r="K246" s="440"/>
    </row>
    <row r="247" spans="2:11" x14ac:dyDescent="0.25">
      <c r="B247" s="442"/>
      <c r="C247" s="446"/>
      <c r="E247" s="455"/>
      <c r="F247" s="474"/>
      <c r="G247" s="25"/>
      <c r="H247" s="25"/>
      <c r="I247" s="25"/>
      <c r="J247" s="18"/>
      <c r="K247" s="440"/>
    </row>
    <row r="248" spans="2:11" x14ac:dyDescent="0.25">
      <c r="B248" s="445" t="s">
        <v>182</v>
      </c>
      <c r="C248" s="446"/>
      <c r="E248" s="455"/>
      <c r="F248" s="479">
        <v>16</v>
      </c>
      <c r="G248" s="16">
        <f>+IF(G157=0,IF(G64&lt;&gt;0,100%,0),(G64-G157)/G157)</f>
        <v>0</v>
      </c>
      <c r="H248" s="16">
        <f>+IF(H157=0,IF(H64&lt;&gt;0,100%,0),(H64-H157)/H157)</f>
        <v>0</v>
      </c>
      <c r="I248" s="16">
        <f>+IF(I157=0,IF(I64&lt;&gt;0,100%,0),(I64-I157)/I157)</f>
        <v>0</v>
      </c>
      <c r="J248" s="13">
        <f>+IF(J157=0,IF(J64&lt;&gt;0,100%,0),(J64-J157)/J157)</f>
        <v>0</v>
      </c>
      <c r="K248" s="440"/>
    </row>
    <row r="249" spans="2:11" x14ac:dyDescent="0.25">
      <c r="B249" s="442"/>
      <c r="F249" s="471"/>
      <c r="G249" s="14"/>
      <c r="H249" s="14"/>
      <c r="I249" s="14"/>
      <c r="J249" s="14"/>
      <c r="K249" s="440"/>
    </row>
    <row r="250" spans="2:11" x14ac:dyDescent="0.25">
      <c r="B250" s="442"/>
      <c r="C250" s="446" t="s">
        <v>190</v>
      </c>
      <c r="F250" s="474" t="s">
        <v>192</v>
      </c>
      <c r="G250" s="14">
        <f>+IF(G159=0,IF(G66&lt;&gt;0,100%,0),(G66-G159)/G159)</f>
        <v>0</v>
      </c>
      <c r="H250" s="14">
        <f>+IF(H159=0,IF(H66&lt;&gt;0,100%,0),(H66-H159)/H159)</f>
        <v>0</v>
      </c>
      <c r="I250" s="14">
        <f>+IF(I159=0,IF(I66&lt;&gt;0,100%,0),(I66-I159)/I159)</f>
        <v>0</v>
      </c>
      <c r="J250" s="18">
        <f>+IF(J159=0,IF(J66&lt;&gt;0,100%,0),(J66-J159)/J159)</f>
        <v>0</v>
      </c>
      <c r="K250" s="440"/>
    </row>
    <row r="251" spans="2:11" x14ac:dyDescent="0.25">
      <c r="B251" s="442"/>
      <c r="C251" s="446"/>
      <c r="F251" s="471"/>
      <c r="G251" s="14"/>
      <c r="H251" s="14"/>
      <c r="I251" s="14"/>
      <c r="J251" s="17"/>
      <c r="K251" s="440"/>
    </row>
    <row r="252" spans="2:11" x14ac:dyDescent="0.25">
      <c r="B252" s="442"/>
      <c r="C252" s="446" t="s">
        <v>191</v>
      </c>
      <c r="F252" s="474">
        <v>168</v>
      </c>
      <c r="G252" s="14">
        <f>+IF(G161=0,IF(G68&lt;&gt;0,100%,0),(G68-G161)/G161)</f>
        <v>0</v>
      </c>
      <c r="H252" s="14">
        <f>+IF(H161=0,IF(H68&lt;&gt;0,100%,0),(H68-H161)/H161)</f>
        <v>0</v>
      </c>
      <c r="I252" s="14">
        <f>+IF(I161=0,IF(I68&lt;&gt;0,100%,0),(I68-I161)/I161)</f>
        <v>0</v>
      </c>
      <c r="J252" s="18">
        <f>+IF(J161=0,IF(J68&lt;&gt;0,100%,0),(J68-J161)/J161)</f>
        <v>0</v>
      </c>
      <c r="K252" s="440"/>
    </row>
    <row r="253" spans="2:11" x14ac:dyDescent="0.25">
      <c r="B253" s="442"/>
      <c r="E253" s="455"/>
      <c r="F253" s="471"/>
      <c r="G253" s="14"/>
      <c r="H253" s="14"/>
      <c r="I253" s="14"/>
      <c r="J253" s="18"/>
      <c r="K253" s="440"/>
    </row>
    <row r="254" spans="2:11" x14ac:dyDescent="0.25">
      <c r="B254" s="480" t="s">
        <v>96</v>
      </c>
      <c r="F254" s="479" t="s">
        <v>97</v>
      </c>
      <c r="G254" s="16">
        <f>+IF(G163=0,IF(G70&lt;&gt;0,100%,0),(G70-G163)/G163)</f>
        <v>0</v>
      </c>
      <c r="H254" s="16">
        <f>+IF(H163=0,IF(H70&lt;&gt;0,100%,0),(H70-H163)/H163)</f>
        <v>0</v>
      </c>
      <c r="I254" s="16">
        <f>+IF(I163=0,IF(I70&lt;&gt;0,100%,0),(I70-I163)/I163)</f>
        <v>0</v>
      </c>
      <c r="J254" s="16">
        <f>+IF(J163=0,IF(J70&lt;&gt;0,100%,0),(J70-J163)/J163)</f>
        <v>0</v>
      </c>
      <c r="K254" s="440"/>
    </row>
    <row r="255" spans="2:11" x14ac:dyDescent="0.25">
      <c r="B255" s="442"/>
      <c r="D255" s="476"/>
      <c r="F255" s="471"/>
      <c r="G255" s="14"/>
      <c r="H255" s="14"/>
      <c r="I255" s="14"/>
      <c r="J255" s="17"/>
      <c r="K255" s="440"/>
    </row>
    <row r="256" spans="2:11" x14ac:dyDescent="0.25">
      <c r="B256" s="442"/>
      <c r="C256" s="477" t="s">
        <v>183</v>
      </c>
      <c r="F256" s="474">
        <v>17</v>
      </c>
      <c r="G256" s="156">
        <f t="shared" ref="G256:J260" si="24">+IF(G165=0,IF(G72&lt;&gt;0,100%,0),(G72-G165)/G165)</f>
        <v>0</v>
      </c>
      <c r="H256" s="156">
        <f t="shared" si="24"/>
        <v>0</v>
      </c>
      <c r="I256" s="156">
        <f t="shared" si="24"/>
        <v>0</v>
      </c>
      <c r="J256" s="25">
        <f t="shared" si="24"/>
        <v>0</v>
      </c>
      <c r="K256" s="440"/>
    </row>
    <row r="257" spans="2:11" x14ac:dyDescent="0.25">
      <c r="B257" s="442"/>
      <c r="D257" s="476" t="s">
        <v>184</v>
      </c>
      <c r="F257" s="482" t="s">
        <v>98</v>
      </c>
      <c r="G257" s="14">
        <f t="shared" si="24"/>
        <v>0</v>
      </c>
      <c r="H257" s="14">
        <f t="shared" si="24"/>
        <v>0</v>
      </c>
      <c r="I257" s="14">
        <f t="shared" si="24"/>
        <v>0</v>
      </c>
      <c r="J257" s="17">
        <f t="shared" si="24"/>
        <v>0</v>
      </c>
      <c r="K257" s="440"/>
    </row>
    <row r="258" spans="2:11" x14ac:dyDescent="0.25">
      <c r="B258" s="442"/>
      <c r="D258" s="476" t="s">
        <v>185</v>
      </c>
      <c r="F258" s="482">
        <v>175</v>
      </c>
      <c r="G258" s="14">
        <f t="shared" si="24"/>
        <v>0</v>
      </c>
      <c r="H258" s="14">
        <f t="shared" si="24"/>
        <v>0</v>
      </c>
      <c r="I258" s="14">
        <f t="shared" si="24"/>
        <v>0</v>
      </c>
      <c r="J258" s="17">
        <f t="shared" si="24"/>
        <v>0</v>
      </c>
      <c r="K258" s="440"/>
    </row>
    <row r="259" spans="2:11" x14ac:dyDescent="0.25">
      <c r="B259" s="442"/>
      <c r="D259" s="476" t="s">
        <v>312</v>
      </c>
      <c r="F259" s="482">
        <v>176</v>
      </c>
      <c r="G259" s="14">
        <f t="shared" si="24"/>
        <v>0</v>
      </c>
      <c r="H259" s="14">
        <f t="shared" si="24"/>
        <v>0</v>
      </c>
      <c r="I259" s="14">
        <f t="shared" si="24"/>
        <v>0</v>
      </c>
      <c r="J259" s="17">
        <f t="shared" si="24"/>
        <v>0</v>
      </c>
      <c r="K259" s="440"/>
    </row>
    <row r="260" spans="2:11" x14ac:dyDescent="0.25">
      <c r="B260" s="442"/>
      <c r="D260" s="434" t="s">
        <v>186</v>
      </c>
      <c r="F260" s="482" t="s">
        <v>99</v>
      </c>
      <c r="G260" s="14">
        <f t="shared" si="24"/>
        <v>0</v>
      </c>
      <c r="H260" s="14">
        <f t="shared" si="24"/>
        <v>0</v>
      </c>
      <c r="I260" s="14">
        <f t="shared" si="24"/>
        <v>0</v>
      </c>
      <c r="J260" s="17">
        <f t="shared" si="24"/>
        <v>0</v>
      </c>
      <c r="K260" s="440"/>
    </row>
    <row r="261" spans="2:11" x14ac:dyDescent="0.25">
      <c r="B261" s="442"/>
      <c r="D261" s="476"/>
      <c r="F261" s="482"/>
      <c r="G261" s="14"/>
      <c r="H261" s="14"/>
      <c r="I261" s="14"/>
      <c r="J261" s="17"/>
      <c r="K261" s="440"/>
    </row>
    <row r="262" spans="2:11" x14ac:dyDescent="0.25">
      <c r="B262" s="442"/>
      <c r="C262" s="477" t="s">
        <v>187</v>
      </c>
      <c r="F262" s="474" t="s">
        <v>100</v>
      </c>
      <c r="G262" s="156">
        <f t="shared" ref="G262:J265" si="25">+IF(G171=0,IF(G78&lt;&gt;0,100%,0),(G78-G171)/G171)</f>
        <v>0</v>
      </c>
      <c r="H262" s="156">
        <f t="shared" si="25"/>
        <v>0</v>
      </c>
      <c r="I262" s="156">
        <f t="shared" si="25"/>
        <v>0</v>
      </c>
      <c r="J262" s="25">
        <f t="shared" si="25"/>
        <v>0</v>
      </c>
      <c r="K262" s="440"/>
    </row>
    <row r="263" spans="2:11" x14ac:dyDescent="0.25">
      <c r="B263" s="442"/>
      <c r="C263" s="446"/>
      <c r="D263" s="434" t="s">
        <v>188</v>
      </c>
      <c r="F263" s="482">
        <v>42</v>
      </c>
      <c r="G263" s="14">
        <f t="shared" si="25"/>
        <v>0</v>
      </c>
      <c r="H263" s="14">
        <f t="shared" si="25"/>
        <v>0</v>
      </c>
      <c r="I263" s="14">
        <f t="shared" si="25"/>
        <v>0</v>
      </c>
      <c r="J263" s="17">
        <f t="shared" si="25"/>
        <v>0</v>
      </c>
      <c r="K263" s="440"/>
    </row>
    <row r="264" spans="2:11" x14ac:dyDescent="0.25">
      <c r="B264" s="442"/>
      <c r="D264" s="476" t="s">
        <v>184</v>
      </c>
      <c r="E264" s="483"/>
      <c r="F264" s="482">
        <v>43</v>
      </c>
      <c r="G264" s="14">
        <f t="shared" si="25"/>
        <v>0</v>
      </c>
      <c r="H264" s="14">
        <f t="shared" si="25"/>
        <v>0</v>
      </c>
      <c r="I264" s="14">
        <f t="shared" si="25"/>
        <v>0</v>
      </c>
      <c r="J264" s="17">
        <f t="shared" si="25"/>
        <v>0</v>
      </c>
      <c r="K264" s="440"/>
    </row>
    <row r="265" spans="2:11" x14ac:dyDescent="0.25">
      <c r="B265" s="442"/>
      <c r="D265" s="476" t="s">
        <v>185</v>
      </c>
      <c r="E265" s="483"/>
      <c r="F265" s="482">
        <v>44</v>
      </c>
      <c r="G265" s="14">
        <f t="shared" si="25"/>
        <v>0</v>
      </c>
      <c r="H265" s="14">
        <f t="shared" si="25"/>
        <v>0</v>
      </c>
      <c r="I265" s="14">
        <f t="shared" si="25"/>
        <v>0</v>
      </c>
      <c r="J265" s="17">
        <f t="shared" si="25"/>
        <v>0</v>
      </c>
      <c r="K265" s="440"/>
    </row>
    <row r="266" spans="2:11" x14ac:dyDescent="0.25">
      <c r="B266" s="442"/>
      <c r="D266" s="476" t="s">
        <v>189</v>
      </c>
      <c r="E266" s="483"/>
      <c r="F266" s="482">
        <v>45</v>
      </c>
      <c r="G266" s="14">
        <f>+IF(G175=0,IF(G82&lt;&gt;0,100%,0),(G82-G175)/G175)</f>
        <v>0</v>
      </c>
      <c r="H266" s="14">
        <f t="shared" ref="H266:J266" si="26">+IF(H175=0,IF(H82&lt;&gt;0,100%,0),(H82-H175)/H175)</f>
        <v>0</v>
      </c>
      <c r="I266" s="14">
        <f>+IF(I175=0,IF(I82&lt;&gt;0,100%,0),(I82-I175)/I175)</f>
        <v>0</v>
      </c>
      <c r="J266" s="14">
        <f t="shared" si="26"/>
        <v>0</v>
      </c>
      <c r="K266" s="440"/>
    </row>
    <row r="267" spans="2:11" x14ac:dyDescent="0.25">
      <c r="B267" s="442"/>
      <c r="D267" s="476" t="s">
        <v>312</v>
      </c>
      <c r="F267" s="482">
        <v>46</v>
      </c>
      <c r="G267" s="14">
        <f>+IF(G176=0,IF(G83&lt;&gt;0,100%,0),(G83-G176)/G176)</f>
        <v>0</v>
      </c>
      <c r="H267" s="14">
        <f>+IF(H176=0,IF(H83&lt;&gt;0,100%,0),(H83-H176)/H176)</f>
        <v>0</v>
      </c>
      <c r="I267" s="14">
        <f>+IF(I176=0,IF(I83&lt;&gt;0,100%,0),(I83-I176)/I176)</f>
        <v>0</v>
      </c>
      <c r="J267" s="17">
        <f>+IF(J176=0,IF(J83&lt;&gt;0,100%,0),(J83-J176)/J176)</f>
        <v>0</v>
      </c>
      <c r="K267" s="440"/>
    </row>
    <row r="268" spans="2:11" x14ac:dyDescent="0.25">
      <c r="B268" s="442"/>
      <c r="D268" s="434" t="s">
        <v>186</v>
      </c>
      <c r="F268" s="482" t="s">
        <v>101</v>
      </c>
      <c r="G268" s="14">
        <f>+IF(G177=0,IF(G84&lt;&gt;0,100%,0),(G84-G177)/G177)</f>
        <v>0</v>
      </c>
      <c r="H268" s="14">
        <f>+IF(H177=0,IF(H84&lt;&gt;0,100%,0),(H84-H177)/H177)</f>
        <v>0</v>
      </c>
      <c r="I268" s="14">
        <f>+IF(I177=0,IF(I84&lt;&gt;0,100%,0),(I84-I177)/I177)</f>
        <v>0</v>
      </c>
      <c r="J268" s="17">
        <f>+IF(J177=0,IF(J84&lt;&gt;0,100%,0),(J84-J177)/J177)</f>
        <v>0</v>
      </c>
      <c r="K268" s="440"/>
    </row>
    <row r="269" spans="2:11" x14ac:dyDescent="0.25">
      <c r="B269" s="442"/>
      <c r="E269" s="484"/>
      <c r="F269" s="482"/>
      <c r="G269" s="14"/>
      <c r="H269" s="14"/>
      <c r="I269" s="14"/>
      <c r="J269" s="17"/>
      <c r="K269" s="440"/>
    </row>
    <row r="270" spans="2:11" x14ac:dyDescent="0.25">
      <c r="B270" s="442"/>
      <c r="C270" s="477" t="s">
        <v>52</v>
      </c>
      <c r="F270" s="474" t="s">
        <v>102</v>
      </c>
      <c r="G270" s="156">
        <f>+IF(G179=0,IF(G86&lt;&gt;0,100%,0),(G86-G179)/G179)</f>
        <v>0</v>
      </c>
      <c r="H270" s="156">
        <f>+IF(H179=0,IF(H86&lt;&gt;0,100%,0),(H86-H179)/H179)</f>
        <v>0</v>
      </c>
      <c r="I270" s="156">
        <f>+IF(I179=0,IF(I86&lt;&gt;0,100%,0),(I86-I179)/I179)</f>
        <v>0</v>
      </c>
      <c r="J270" s="18">
        <f>+IF(J179=0,IF(J86&lt;&gt;0,100%,0),(J86-J179)/J179)</f>
        <v>0</v>
      </c>
      <c r="K270" s="440"/>
    </row>
    <row r="271" spans="2:11" x14ac:dyDescent="0.25">
      <c r="B271" s="442"/>
      <c r="C271" s="477"/>
      <c r="F271" s="482"/>
      <c r="G271" s="26"/>
      <c r="H271" s="26"/>
      <c r="I271" s="26"/>
      <c r="J271" s="26"/>
      <c r="K271" s="440"/>
    </row>
    <row r="272" spans="2:11" x14ac:dyDescent="0.25">
      <c r="B272" s="486"/>
      <c r="C272" s="487"/>
      <c r="D272" s="487"/>
      <c r="E272" s="487"/>
      <c r="F272" s="488"/>
      <c r="G272" s="21"/>
      <c r="H272" s="21"/>
      <c r="I272" s="21"/>
      <c r="J272" s="21"/>
      <c r="K272" s="440"/>
    </row>
    <row r="273" spans="2:11" x14ac:dyDescent="0.25">
      <c r="B273" s="462"/>
      <c r="C273" s="463"/>
      <c r="D273" s="463"/>
      <c r="E273" s="463"/>
      <c r="F273" s="464"/>
      <c r="G273" s="14"/>
      <c r="H273" s="14"/>
      <c r="I273" s="14"/>
      <c r="J273" s="14"/>
      <c r="K273" s="440"/>
    </row>
    <row r="274" spans="2:11" x14ac:dyDescent="0.25">
      <c r="B274" s="445" t="s">
        <v>193</v>
      </c>
      <c r="F274" s="479"/>
      <c r="G274" s="16">
        <f>+IF(G183=0,IF(G90&lt;&gt;0,100%,0),(G90-G183)/G183)</f>
        <v>0</v>
      </c>
      <c r="H274" s="16">
        <f>+IF(H183=0,IF(H90&lt;&gt;0,100%,0),(H90-H183)/H183)</f>
        <v>0</v>
      </c>
      <c r="I274" s="16">
        <f>+IF(I183=0,IF(I90&lt;&gt;0,100%,0),(I90-I183)/I183)</f>
        <v>0</v>
      </c>
      <c r="J274" s="16">
        <f>+IF(J183=0,IF(J90&lt;&gt;0,100%,0),(J90-J183)/J183)</f>
        <v>0</v>
      </c>
      <c r="K274" s="440"/>
    </row>
    <row r="275" spans="2:11" ht="13.8" thickBot="1" x14ac:dyDescent="0.3">
      <c r="B275" s="490"/>
      <c r="C275" s="466"/>
      <c r="D275" s="466"/>
      <c r="E275" s="466"/>
      <c r="F275" s="491"/>
      <c r="G275" s="492"/>
      <c r="H275" s="492"/>
      <c r="I275" s="492"/>
      <c r="J275" s="492"/>
      <c r="K275" s="440"/>
    </row>
    <row r="276" spans="2:11" ht="13.8" thickTop="1" x14ac:dyDescent="0.25">
      <c r="G276" s="493"/>
      <c r="H276" s="493"/>
      <c r="I276" s="493"/>
      <c r="J276" s="493"/>
    </row>
  </sheetData>
  <sheetProtection algorithmName="SHA-512" hashValue="M98YGC9ItQO0sLmRb6gufAmnm6GpWM+oWFGXMfWBGDCjE1cQ/0uJrAppjVKC7iwFwMP2RGRrKU9dN97lam19VA==" saltValue="buvy3XFM9qsbD0DrPeOFOQ==" spinCount="100000" sheet="1" objects="1" scenarios="1"/>
  <mergeCells count="40">
    <mergeCell ref="B1:J1"/>
    <mergeCell ref="J40:J41"/>
    <mergeCell ref="J8:J9"/>
    <mergeCell ref="C155:E155"/>
    <mergeCell ref="G8:G9"/>
    <mergeCell ref="H8:H9"/>
    <mergeCell ref="I8:I9"/>
    <mergeCell ref="B8:E9"/>
    <mergeCell ref="F8:F9"/>
    <mergeCell ref="B3:J3"/>
    <mergeCell ref="G40:G41"/>
    <mergeCell ref="H40:H41"/>
    <mergeCell ref="I40:I41"/>
    <mergeCell ref="B40:E41"/>
    <mergeCell ref="F40:F41"/>
    <mergeCell ref="C62:E62"/>
    <mergeCell ref="B96:J96"/>
    <mergeCell ref="B101:E102"/>
    <mergeCell ref="F101:F102"/>
    <mergeCell ref="G101:G102"/>
    <mergeCell ref="H101:H102"/>
    <mergeCell ref="I101:I102"/>
    <mergeCell ref="J101:J102"/>
    <mergeCell ref="B133:E134"/>
    <mergeCell ref="F133:F134"/>
    <mergeCell ref="G133:G134"/>
    <mergeCell ref="H133:H134"/>
    <mergeCell ref="I133:I134"/>
    <mergeCell ref="I224:I225"/>
    <mergeCell ref="B189:J189"/>
    <mergeCell ref="B192:E193"/>
    <mergeCell ref="F192:F193"/>
    <mergeCell ref="G192:G193"/>
    <mergeCell ref="H192:H193"/>
    <mergeCell ref="I192:I193"/>
    <mergeCell ref="C246:E246"/>
    <mergeCell ref="B224:E225"/>
    <mergeCell ref="F224:F225"/>
    <mergeCell ref="G224:G225"/>
    <mergeCell ref="H224:H225"/>
  </mergeCells>
  <conditionalFormatting sqref="G93:J93 G186:J186">
    <cfRule type="cellIs" dxfId="10" priority="5" stopIfTrue="1" operator="equal">
      <formula>0</formula>
    </cfRule>
    <cfRule type="cellIs" dxfId="9" priority="10" stopIfTrue="1" operator="notEqual">
      <formula>0</formula>
    </cfRule>
  </conditionalFormatting>
  <pageMargins left="0.70866141732283472" right="0.70866141732283472" top="0.74803149606299213" bottom="0.74803149606299213" header="0.31496062992125984" footer="0.31496062992125984"/>
  <pageSetup paperSize="8" scale="68" fitToWidth="4" fitToHeight="4" orientation="landscape" r:id="rId1"/>
  <ignoredErrors>
    <ignoredError sqref="G221:G225 G228 G227 H221:H223 H227:J228 I221:J225 G226:J226" numberStoredAsText="1"/>
    <ignoredError sqref="F136 F43 F227"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5362-8D19-48DC-9D0E-CE9F043457D5}">
  <sheetPr published="0">
    <pageSetUpPr fitToPage="1"/>
  </sheetPr>
  <dimension ref="A1:Q241"/>
  <sheetViews>
    <sheetView zoomScale="85" zoomScaleNormal="85" workbookViewId="0">
      <selection activeCell="B2" sqref="B2"/>
    </sheetView>
  </sheetViews>
  <sheetFormatPr defaultColWidth="9.109375" defaultRowHeight="13.2" x14ac:dyDescent="0.25"/>
  <cols>
    <col min="1" max="1" width="1.5546875" style="496" customWidth="1"/>
    <col min="2" max="2" width="4.109375" style="569" customWidth="1"/>
    <col min="3" max="3" width="22.44140625" style="569" customWidth="1"/>
    <col min="4" max="4" width="1.44140625" style="569" customWidth="1"/>
    <col min="5" max="5" width="23.44140625" style="569" customWidth="1"/>
    <col min="6" max="6" width="10.6640625" style="559" customWidth="1"/>
    <col min="7" max="8" width="26.109375" style="569" customWidth="1"/>
    <col min="9" max="10" width="23.6640625" style="569" customWidth="1"/>
    <col min="11" max="12" width="25" style="569" customWidth="1"/>
    <col min="13" max="13" width="22.44140625" style="569" customWidth="1"/>
    <col min="14" max="14" width="26.5546875" style="569" customWidth="1"/>
    <col min="15" max="15" width="31.88671875" style="569" customWidth="1"/>
    <col min="16" max="16" width="19.6640625" style="569" customWidth="1"/>
    <col min="17" max="17" width="18.6640625" style="569" customWidth="1"/>
    <col min="18" max="16384" width="9.109375" style="496"/>
  </cols>
  <sheetData>
    <row r="1" spans="1:17" s="434" customFormat="1" ht="25.5" customHeight="1" thickBot="1" x14ac:dyDescent="0.3">
      <c r="B1" s="738" t="str">
        <f>"TABEL 2: Resultatenrekening (algemene boekhouding) voor boekjaar "&amp;TITELBLAD!F17</f>
        <v>TABEL 2: Resultatenrekening (algemene boekhouding) voor boekjaar 2025</v>
      </c>
      <c r="C1" s="739"/>
      <c r="D1" s="739"/>
      <c r="E1" s="739"/>
      <c r="F1" s="739"/>
      <c r="G1" s="739"/>
      <c r="H1" s="739"/>
      <c r="I1" s="739"/>
      <c r="J1" s="739"/>
      <c r="K1" s="739"/>
      <c r="L1" s="739"/>
      <c r="M1" s="739"/>
      <c r="N1" s="739"/>
      <c r="O1" s="739"/>
      <c r="P1" s="740"/>
    </row>
    <row r="2" spans="1:17" s="434" customFormat="1" ht="13.8" thickBot="1" x14ac:dyDescent="0.3">
      <c r="A2" s="435"/>
      <c r="B2" s="435"/>
      <c r="C2" s="435"/>
      <c r="D2" s="435"/>
      <c r="E2" s="433"/>
      <c r="F2" s="435"/>
      <c r="G2" s="435"/>
      <c r="H2" s="435"/>
      <c r="I2" s="435"/>
      <c r="J2" s="435"/>
      <c r="K2" s="433"/>
    </row>
    <row r="3" spans="1:17" s="434" customFormat="1" ht="15.9" customHeight="1" thickBot="1" x14ac:dyDescent="0.3">
      <c r="B3" s="714" t="str">
        <f>"BOEKJAAR "&amp;TITELBLAD!$F$17</f>
        <v>BOEKJAAR 2025</v>
      </c>
      <c r="C3" s="715"/>
      <c r="D3" s="715"/>
      <c r="E3" s="715"/>
      <c r="F3" s="715"/>
      <c r="G3" s="715"/>
      <c r="H3" s="715"/>
      <c r="I3" s="715"/>
      <c r="J3" s="715"/>
      <c r="K3" s="715"/>
      <c r="L3" s="715"/>
      <c r="M3" s="715"/>
      <c r="N3" s="715"/>
      <c r="O3" s="715"/>
      <c r="P3" s="716"/>
    </row>
    <row r="4" spans="1:17" ht="17.399999999999999" x14ac:dyDescent="0.25">
      <c r="B4" s="497"/>
      <c r="C4" s="497"/>
      <c r="D4" s="497"/>
      <c r="E4" s="497"/>
      <c r="F4" s="498"/>
      <c r="G4" s="497"/>
      <c r="H4" s="497"/>
      <c r="I4" s="497"/>
      <c r="J4" s="497"/>
      <c r="K4" s="497"/>
      <c r="L4" s="497"/>
      <c r="M4" s="497"/>
      <c r="N4" s="499"/>
      <c r="O4" s="499"/>
      <c r="P4" s="500"/>
      <c r="Q4" s="501"/>
    </row>
    <row r="5" spans="1:17" x14ac:dyDescent="0.25">
      <c r="B5" s="496"/>
      <c r="C5" s="502" t="s">
        <v>83</v>
      </c>
      <c r="D5" s="503"/>
      <c r="E5" s="496"/>
      <c r="F5" s="496"/>
      <c r="G5" s="496"/>
      <c r="H5" s="496"/>
      <c r="I5" s="496"/>
      <c r="J5" s="496"/>
      <c r="K5" s="503"/>
      <c r="L5" s="496"/>
      <c r="M5" s="496"/>
      <c r="N5" s="504"/>
      <c r="O5" s="504"/>
      <c r="P5" s="504"/>
      <c r="Q5" s="504"/>
    </row>
    <row r="6" spans="1:17" x14ac:dyDescent="0.25">
      <c r="B6" s="496"/>
      <c r="C6" s="505" t="s">
        <v>197</v>
      </c>
      <c r="D6" s="503"/>
      <c r="E6" s="496"/>
      <c r="F6" s="496"/>
      <c r="G6" s="496"/>
      <c r="H6" s="496"/>
      <c r="I6" s="496"/>
      <c r="J6" s="496"/>
      <c r="K6" s="503"/>
      <c r="L6" s="496"/>
      <c r="M6" s="496"/>
      <c r="N6" s="504"/>
      <c r="O6" s="504"/>
      <c r="P6" s="504"/>
      <c r="Q6" s="504"/>
    </row>
    <row r="7" spans="1:17" ht="13.8" thickBot="1" x14ac:dyDescent="0.3">
      <c r="B7" s="506"/>
      <c r="C7" s="506"/>
      <c r="D7" s="506"/>
      <c r="E7" s="506"/>
      <c r="F7" s="507"/>
      <c r="G7" s="506"/>
      <c r="H7" s="506"/>
      <c r="I7" s="506"/>
      <c r="J7" s="506"/>
      <c r="K7" s="506"/>
      <c r="L7" s="506"/>
      <c r="M7" s="506"/>
      <c r="N7" s="508"/>
      <c r="O7" s="508"/>
      <c r="P7" s="508"/>
      <c r="Q7" s="508"/>
    </row>
    <row r="8" spans="1:17" s="434" customFormat="1" ht="13.8" thickTop="1" x14ac:dyDescent="0.25">
      <c r="B8" s="731" t="s">
        <v>106</v>
      </c>
      <c r="C8" s="732"/>
      <c r="D8" s="732"/>
      <c r="E8" s="733"/>
      <c r="F8" s="741" t="s">
        <v>17</v>
      </c>
      <c r="G8" s="710" t="s">
        <v>105</v>
      </c>
      <c r="H8" s="743"/>
      <c r="I8" s="743"/>
      <c r="J8" s="743"/>
      <c r="K8" s="710" t="s">
        <v>355</v>
      </c>
      <c r="L8" s="743"/>
      <c r="M8" s="743"/>
      <c r="N8" s="743"/>
      <c r="O8" s="717" t="s">
        <v>84</v>
      </c>
      <c r="P8" s="717" t="s">
        <v>16</v>
      </c>
      <c r="Q8" s="509"/>
    </row>
    <row r="9" spans="1:17" s="434" customFormat="1" x14ac:dyDescent="0.25">
      <c r="B9" s="734"/>
      <c r="C9" s="735"/>
      <c r="D9" s="735"/>
      <c r="E9" s="736"/>
      <c r="F9" s="742"/>
      <c r="G9" s="711"/>
      <c r="H9" s="744"/>
      <c r="I9" s="744"/>
      <c r="J9" s="744"/>
      <c r="K9" s="711"/>
      <c r="L9" s="744"/>
      <c r="M9" s="744"/>
      <c r="N9" s="744"/>
      <c r="O9" s="718"/>
      <c r="P9" s="718"/>
      <c r="Q9" s="509"/>
    </row>
    <row r="10" spans="1:17" s="434" customFormat="1" ht="31.5" customHeight="1" x14ac:dyDescent="0.25">
      <c r="B10" s="510"/>
      <c r="C10" s="511"/>
      <c r="D10" s="511"/>
      <c r="E10" s="511"/>
      <c r="F10" s="512"/>
      <c r="G10" s="513" t="s">
        <v>198</v>
      </c>
      <c r="H10" s="513" t="s">
        <v>199</v>
      </c>
      <c r="I10" s="513" t="s">
        <v>200</v>
      </c>
      <c r="J10" s="513" t="s">
        <v>138</v>
      </c>
      <c r="K10" s="513" t="s">
        <v>198</v>
      </c>
      <c r="L10" s="513" t="s">
        <v>199</v>
      </c>
      <c r="M10" s="513" t="s">
        <v>200</v>
      </c>
      <c r="N10" s="513" t="s">
        <v>138</v>
      </c>
      <c r="O10" s="514"/>
      <c r="P10" s="514"/>
      <c r="Q10" s="509"/>
    </row>
    <row r="11" spans="1:17" x14ac:dyDescent="0.25">
      <c r="B11" s="515"/>
      <c r="C11" s="516"/>
      <c r="D11" s="516"/>
      <c r="E11" s="516"/>
      <c r="F11" s="517"/>
      <c r="G11" s="518"/>
      <c r="H11" s="518"/>
      <c r="I11" s="518"/>
      <c r="J11" s="518"/>
      <c r="K11" s="518"/>
      <c r="L11" s="518"/>
      <c r="M11" s="518"/>
      <c r="N11" s="518"/>
      <c r="O11" s="518"/>
      <c r="P11" s="518"/>
      <c r="Q11" s="519"/>
    </row>
    <row r="12" spans="1:17" x14ac:dyDescent="0.25">
      <c r="B12" s="520"/>
      <c r="C12" s="521"/>
      <c r="D12" s="521"/>
      <c r="E12" s="521"/>
      <c r="F12" s="522"/>
      <c r="G12" s="523"/>
      <c r="H12" s="523"/>
      <c r="I12" s="523"/>
      <c r="J12" s="523"/>
      <c r="K12" s="523"/>
      <c r="L12" s="523"/>
      <c r="M12" s="523"/>
      <c r="N12" s="523"/>
      <c r="O12" s="523"/>
      <c r="P12" s="523"/>
      <c r="Q12" s="519"/>
    </row>
    <row r="13" spans="1:17" x14ac:dyDescent="0.25">
      <c r="B13" s="524" t="s">
        <v>201</v>
      </c>
      <c r="C13" s="525"/>
      <c r="D13" s="525"/>
      <c r="E13" s="525"/>
      <c r="F13" s="526" t="s">
        <v>324</v>
      </c>
      <c r="G13" s="527">
        <f t="shared" ref="G13:P13" si="0">SUM(G15,G18,G19,G20,G21)</f>
        <v>0</v>
      </c>
      <c r="H13" s="527">
        <f t="shared" si="0"/>
        <v>0</v>
      </c>
      <c r="I13" s="527">
        <f t="shared" si="0"/>
        <v>0</v>
      </c>
      <c r="J13" s="527">
        <f t="shared" si="0"/>
        <v>0</v>
      </c>
      <c r="K13" s="527">
        <f t="shared" si="0"/>
        <v>0</v>
      </c>
      <c r="L13" s="527">
        <f t="shared" si="0"/>
        <v>0</v>
      </c>
      <c r="M13" s="527">
        <f t="shared" si="0"/>
        <v>0</v>
      </c>
      <c r="N13" s="527">
        <f t="shared" si="0"/>
        <v>0</v>
      </c>
      <c r="O13" s="527">
        <f t="shared" si="0"/>
        <v>0</v>
      </c>
      <c r="P13" s="527">
        <f t="shared" si="0"/>
        <v>0</v>
      </c>
      <c r="Q13" s="519"/>
    </row>
    <row r="14" spans="1:17" x14ac:dyDescent="0.25">
      <c r="B14" s="528"/>
      <c r="C14" s="521"/>
      <c r="D14" s="521"/>
      <c r="E14" s="521"/>
      <c r="F14" s="522"/>
      <c r="G14" s="529"/>
      <c r="H14" s="529"/>
      <c r="I14" s="529"/>
      <c r="J14" s="529"/>
      <c r="K14" s="529"/>
      <c r="L14" s="529"/>
      <c r="M14" s="529"/>
      <c r="N14" s="529"/>
      <c r="O14" s="529"/>
      <c r="P14" s="529"/>
      <c r="Q14" s="519"/>
    </row>
    <row r="15" spans="1:17" ht="14.1" customHeight="1" x14ac:dyDescent="0.25">
      <c r="B15" s="520"/>
      <c r="C15" s="521" t="s">
        <v>107</v>
      </c>
      <c r="D15" s="521"/>
      <c r="E15" s="521"/>
      <c r="F15" s="522">
        <v>70</v>
      </c>
      <c r="G15" s="117">
        <v>0</v>
      </c>
      <c r="H15" s="117">
        <v>0</v>
      </c>
      <c r="I15" s="117">
        <v>0</v>
      </c>
      <c r="J15" s="117">
        <v>0</v>
      </c>
      <c r="K15" s="117">
        <v>0</v>
      </c>
      <c r="L15" s="117">
        <v>0</v>
      </c>
      <c r="M15" s="117">
        <v>0</v>
      </c>
      <c r="N15" s="117">
        <v>0</v>
      </c>
      <c r="O15" s="117">
        <v>0</v>
      </c>
      <c r="P15" s="529">
        <f>SUM(G15:O15)</f>
        <v>0</v>
      </c>
      <c r="Q15" s="519"/>
    </row>
    <row r="16" spans="1:17" ht="5.4" hidden="1" customHeight="1" x14ac:dyDescent="0.25">
      <c r="B16" s="520"/>
      <c r="C16" s="728" t="s">
        <v>437</v>
      </c>
      <c r="D16" s="729"/>
      <c r="E16" s="730"/>
      <c r="F16" s="737">
        <v>71</v>
      </c>
      <c r="G16" s="529"/>
      <c r="H16" s="529"/>
      <c r="I16" s="529"/>
      <c r="J16" s="529"/>
      <c r="K16" s="529"/>
      <c r="L16" s="529"/>
      <c r="M16" s="529"/>
      <c r="N16" s="529"/>
      <c r="O16" s="529"/>
      <c r="P16" s="529"/>
      <c r="Q16" s="519"/>
    </row>
    <row r="17" spans="2:17" x14ac:dyDescent="0.25">
      <c r="B17" s="520"/>
      <c r="C17" s="729"/>
      <c r="D17" s="729"/>
      <c r="E17" s="730"/>
      <c r="F17" s="737"/>
      <c r="G17" s="529"/>
      <c r="H17" s="529"/>
      <c r="I17" s="529"/>
      <c r="J17" s="529"/>
      <c r="K17" s="529"/>
      <c r="L17" s="529"/>
      <c r="M17" s="529"/>
      <c r="N17" s="529"/>
      <c r="O17" s="529"/>
      <c r="P17" s="529"/>
      <c r="Q17" s="519"/>
    </row>
    <row r="18" spans="2:17" x14ac:dyDescent="0.25">
      <c r="B18" s="520"/>
      <c r="C18" s="729"/>
      <c r="D18" s="729"/>
      <c r="E18" s="730"/>
      <c r="F18" s="737"/>
      <c r="G18" s="117">
        <v>0</v>
      </c>
      <c r="H18" s="117">
        <v>0</v>
      </c>
      <c r="I18" s="117">
        <v>0</v>
      </c>
      <c r="J18" s="117">
        <v>0</v>
      </c>
      <c r="K18" s="117">
        <v>0</v>
      </c>
      <c r="L18" s="117">
        <v>0</v>
      </c>
      <c r="M18" s="117">
        <v>0</v>
      </c>
      <c r="N18" s="117">
        <v>0</v>
      </c>
      <c r="O18" s="117">
        <v>0</v>
      </c>
      <c r="P18" s="529">
        <f>SUM(G18:O18)</f>
        <v>0</v>
      </c>
      <c r="Q18" s="519"/>
    </row>
    <row r="19" spans="2:17" x14ac:dyDescent="0.25">
      <c r="B19" s="520"/>
      <c r="C19" s="521" t="s">
        <v>108</v>
      </c>
      <c r="D19" s="521"/>
      <c r="E19" s="521"/>
      <c r="F19" s="522">
        <v>72</v>
      </c>
      <c r="G19" s="117">
        <v>0</v>
      </c>
      <c r="H19" s="117">
        <v>0</v>
      </c>
      <c r="I19" s="117">
        <v>0</v>
      </c>
      <c r="J19" s="117">
        <v>0</v>
      </c>
      <c r="K19" s="117">
        <v>0</v>
      </c>
      <c r="L19" s="117">
        <v>0</v>
      </c>
      <c r="M19" s="117">
        <v>0</v>
      </c>
      <c r="N19" s="117">
        <v>0</v>
      </c>
      <c r="O19" s="117">
        <v>0</v>
      </c>
      <c r="P19" s="529">
        <f>SUM(G19:O19)</f>
        <v>0</v>
      </c>
      <c r="Q19" s="519"/>
    </row>
    <row r="20" spans="2:17" x14ac:dyDescent="0.25">
      <c r="B20" s="520"/>
      <c r="C20" s="521" t="s">
        <v>109</v>
      </c>
      <c r="D20" s="530"/>
      <c r="E20" s="521"/>
      <c r="F20" s="522">
        <v>74</v>
      </c>
      <c r="G20" s="117">
        <v>0</v>
      </c>
      <c r="H20" s="117">
        <v>0</v>
      </c>
      <c r="I20" s="117">
        <v>0</v>
      </c>
      <c r="J20" s="117">
        <v>0</v>
      </c>
      <c r="K20" s="117">
        <v>0</v>
      </c>
      <c r="L20" s="117">
        <v>0</v>
      </c>
      <c r="M20" s="117">
        <v>0</v>
      </c>
      <c r="N20" s="117">
        <v>0</v>
      </c>
      <c r="O20" s="117">
        <v>0</v>
      </c>
      <c r="P20" s="529">
        <f>SUM(G20:O20)</f>
        <v>0</v>
      </c>
      <c r="Q20" s="519"/>
    </row>
    <row r="21" spans="2:17" x14ac:dyDescent="0.25">
      <c r="B21" s="520"/>
      <c r="C21" s="521" t="s">
        <v>316</v>
      </c>
      <c r="D21" s="530"/>
      <c r="E21" s="521"/>
      <c r="F21" s="522" t="s">
        <v>317</v>
      </c>
      <c r="G21" s="117">
        <v>0</v>
      </c>
      <c r="H21" s="117">
        <v>0</v>
      </c>
      <c r="I21" s="117">
        <v>0</v>
      </c>
      <c r="J21" s="117">
        <v>0</v>
      </c>
      <c r="K21" s="117">
        <v>0</v>
      </c>
      <c r="L21" s="117">
        <v>0</v>
      </c>
      <c r="M21" s="117">
        <v>0</v>
      </c>
      <c r="N21" s="117">
        <v>0</v>
      </c>
      <c r="O21" s="117">
        <v>0</v>
      </c>
      <c r="P21" s="529">
        <f>SUM(G21:O21)</f>
        <v>0</v>
      </c>
      <c r="Q21" s="519"/>
    </row>
    <row r="22" spans="2:17" x14ac:dyDescent="0.25">
      <c r="B22" s="520"/>
      <c r="C22" s="530"/>
      <c r="D22" s="521"/>
      <c r="E22" s="521"/>
      <c r="F22" s="522"/>
      <c r="G22" s="529"/>
      <c r="H22" s="529"/>
      <c r="I22" s="529"/>
      <c r="J22" s="529"/>
      <c r="K22" s="529"/>
      <c r="L22" s="529"/>
      <c r="M22" s="529"/>
      <c r="N22" s="529"/>
      <c r="O22" s="529"/>
      <c r="P22" s="529"/>
      <c r="Q22" s="519"/>
    </row>
    <row r="23" spans="2:17" x14ac:dyDescent="0.25">
      <c r="B23" s="531" t="s">
        <v>74</v>
      </c>
      <c r="C23" s="532"/>
      <c r="D23" s="525"/>
      <c r="E23" s="525"/>
      <c r="F23" s="526" t="s">
        <v>320</v>
      </c>
      <c r="G23" s="121">
        <f>+SUM(G25:G26)</f>
        <v>0</v>
      </c>
      <c r="H23" s="121">
        <f t="shared" ref="H23:P23" si="1">+SUM(H25:H26)</f>
        <v>0</v>
      </c>
      <c r="I23" s="121">
        <f t="shared" si="1"/>
        <v>0</v>
      </c>
      <c r="J23" s="121">
        <f t="shared" si="1"/>
        <v>0</v>
      </c>
      <c r="K23" s="121">
        <f t="shared" si="1"/>
        <v>0</v>
      </c>
      <c r="L23" s="121">
        <f t="shared" si="1"/>
        <v>0</v>
      </c>
      <c r="M23" s="121">
        <f t="shared" si="1"/>
        <v>0</v>
      </c>
      <c r="N23" s="121">
        <f t="shared" si="1"/>
        <v>0</v>
      </c>
      <c r="O23" s="121">
        <f t="shared" si="1"/>
        <v>0</v>
      </c>
      <c r="P23" s="527">
        <f t="shared" si="1"/>
        <v>0</v>
      </c>
      <c r="Q23" s="519"/>
    </row>
    <row r="24" spans="2:17" x14ac:dyDescent="0.25">
      <c r="B24" s="531"/>
      <c r="C24" s="532"/>
      <c r="D24" s="525"/>
      <c r="E24" s="525"/>
      <c r="F24" s="526"/>
      <c r="G24" s="121"/>
      <c r="H24" s="121"/>
      <c r="I24" s="121"/>
      <c r="J24" s="121"/>
      <c r="K24" s="121"/>
      <c r="L24" s="121"/>
      <c r="M24" s="121"/>
      <c r="N24" s="121"/>
      <c r="O24" s="121"/>
      <c r="P24" s="527"/>
      <c r="Q24" s="519"/>
    </row>
    <row r="25" spans="2:17" ht="14.1" customHeight="1" x14ac:dyDescent="0.25">
      <c r="B25" s="520"/>
      <c r="C25" s="533" t="s">
        <v>326</v>
      </c>
      <c r="D25" s="521"/>
      <c r="E25" s="521"/>
      <c r="F25" s="522">
        <v>75</v>
      </c>
      <c r="G25" s="117">
        <v>0</v>
      </c>
      <c r="H25" s="117">
        <v>0</v>
      </c>
      <c r="I25" s="117">
        <v>0</v>
      </c>
      <c r="J25" s="117">
        <v>0</v>
      </c>
      <c r="K25" s="117">
        <v>0</v>
      </c>
      <c r="L25" s="117">
        <v>0</v>
      </c>
      <c r="M25" s="117">
        <v>0</v>
      </c>
      <c r="N25" s="117">
        <v>0</v>
      </c>
      <c r="O25" s="117">
        <v>0</v>
      </c>
      <c r="P25" s="529">
        <f>SUM(G25:O25)</f>
        <v>0</v>
      </c>
      <c r="Q25" s="519"/>
    </row>
    <row r="26" spans="2:17" ht="14.1" customHeight="1" x14ac:dyDescent="0.25">
      <c r="B26" s="520"/>
      <c r="C26" s="521" t="s">
        <v>327</v>
      </c>
      <c r="D26" s="521"/>
      <c r="E26" s="521"/>
      <c r="F26" s="522" t="s">
        <v>321</v>
      </c>
      <c r="G26" s="117">
        <v>0</v>
      </c>
      <c r="H26" s="117">
        <v>0</v>
      </c>
      <c r="I26" s="117">
        <v>0</v>
      </c>
      <c r="J26" s="117">
        <v>0</v>
      </c>
      <c r="K26" s="117">
        <v>0</v>
      </c>
      <c r="L26" s="117">
        <v>0</v>
      </c>
      <c r="M26" s="117">
        <v>0</v>
      </c>
      <c r="N26" s="117">
        <v>0</v>
      </c>
      <c r="O26" s="117">
        <v>0</v>
      </c>
      <c r="P26" s="529">
        <f>SUM(G26:O26)</f>
        <v>0</v>
      </c>
      <c r="Q26" s="519"/>
    </row>
    <row r="27" spans="2:17" x14ac:dyDescent="0.25">
      <c r="B27" s="534"/>
      <c r="C27" s="535"/>
      <c r="D27" s="536"/>
      <c r="E27" s="536"/>
      <c r="F27" s="537"/>
      <c r="G27" s="538"/>
      <c r="H27" s="538"/>
      <c r="I27" s="538"/>
      <c r="J27" s="538"/>
      <c r="K27" s="538"/>
      <c r="L27" s="538"/>
      <c r="M27" s="538"/>
      <c r="N27" s="538"/>
      <c r="O27" s="538"/>
      <c r="P27" s="527"/>
      <c r="Q27" s="519"/>
    </row>
    <row r="28" spans="2:17" x14ac:dyDescent="0.25">
      <c r="B28" s="724" t="s">
        <v>203</v>
      </c>
      <c r="C28" s="725"/>
      <c r="D28" s="725"/>
      <c r="E28" s="726"/>
      <c r="F28" s="727">
        <v>78</v>
      </c>
      <c r="G28" s="527"/>
      <c r="H28" s="527"/>
      <c r="I28" s="527"/>
      <c r="J28" s="527"/>
      <c r="K28" s="527"/>
      <c r="L28" s="527"/>
      <c r="M28" s="527"/>
      <c r="N28" s="527"/>
      <c r="O28" s="527"/>
      <c r="P28" s="527"/>
      <c r="Q28" s="519"/>
    </row>
    <row r="29" spans="2:17" x14ac:dyDescent="0.25">
      <c r="B29" s="724"/>
      <c r="C29" s="725"/>
      <c r="D29" s="725"/>
      <c r="E29" s="726"/>
      <c r="F29" s="727"/>
      <c r="G29" s="12">
        <v>0</v>
      </c>
      <c r="H29" s="12">
        <v>0</v>
      </c>
      <c r="I29" s="12">
        <v>0</v>
      </c>
      <c r="J29" s="12">
        <v>0</v>
      </c>
      <c r="K29" s="12">
        <v>0</v>
      </c>
      <c r="L29" s="12">
        <v>0</v>
      </c>
      <c r="M29" s="12">
        <v>0</v>
      </c>
      <c r="N29" s="12">
        <v>0</v>
      </c>
      <c r="O29" s="12">
        <v>0</v>
      </c>
      <c r="P29" s="527">
        <f>SUM(G29:O29)</f>
        <v>0</v>
      </c>
      <c r="Q29" s="519"/>
    </row>
    <row r="30" spans="2:17" x14ac:dyDescent="0.25">
      <c r="B30" s="534"/>
      <c r="C30" s="536"/>
      <c r="D30" s="536"/>
      <c r="E30" s="536"/>
      <c r="F30" s="537"/>
      <c r="G30" s="538"/>
      <c r="H30" s="538"/>
      <c r="I30" s="538"/>
      <c r="J30" s="538"/>
      <c r="K30" s="538"/>
      <c r="L30" s="538"/>
      <c r="M30" s="538"/>
      <c r="N30" s="538"/>
      <c r="O30" s="538"/>
      <c r="P30" s="527"/>
      <c r="Q30" s="519"/>
    </row>
    <row r="31" spans="2:17" x14ac:dyDescent="0.25">
      <c r="B31" s="724" t="s">
        <v>438</v>
      </c>
      <c r="C31" s="725"/>
      <c r="D31" s="725"/>
      <c r="E31" s="726"/>
      <c r="F31" s="727">
        <v>77</v>
      </c>
      <c r="G31" s="527"/>
      <c r="H31" s="527"/>
      <c r="I31" s="527"/>
      <c r="J31" s="527"/>
      <c r="K31" s="527"/>
      <c r="L31" s="527"/>
      <c r="M31" s="527"/>
      <c r="N31" s="527"/>
      <c r="O31" s="527"/>
      <c r="P31" s="527"/>
      <c r="Q31" s="519"/>
    </row>
    <row r="32" spans="2:17" x14ac:dyDescent="0.25">
      <c r="B32" s="724"/>
      <c r="C32" s="725"/>
      <c r="D32" s="725"/>
      <c r="E32" s="726"/>
      <c r="F32" s="727"/>
      <c r="G32" s="12">
        <v>0</v>
      </c>
      <c r="H32" s="12">
        <v>0</v>
      </c>
      <c r="I32" s="12">
        <v>0</v>
      </c>
      <c r="J32" s="12">
        <v>0</v>
      </c>
      <c r="K32" s="12">
        <v>0</v>
      </c>
      <c r="L32" s="12">
        <v>0</v>
      </c>
      <c r="M32" s="12">
        <v>0</v>
      </c>
      <c r="N32" s="12">
        <v>0</v>
      </c>
      <c r="O32" s="12">
        <v>0</v>
      </c>
      <c r="P32" s="527">
        <f>SUM(G32:O32)</f>
        <v>0</v>
      </c>
      <c r="Q32" s="519"/>
    </row>
    <row r="33" spans="2:17" x14ac:dyDescent="0.25">
      <c r="B33" s="534"/>
      <c r="C33" s="536"/>
      <c r="D33" s="536"/>
      <c r="E33" s="536"/>
      <c r="F33" s="539"/>
      <c r="G33" s="538"/>
      <c r="H33" s="538"/>
      <c r="I33" s="538"/>
      <c r="J33" s="538"/>
      <c r="K33" s="538"/>
      <c r="L33" s="538"/>
      <c r="M33" s="538"/>
      <c r="N33" s="538"/>
      <c r="O33" s="538"/>
      <c r="P33" s="527"/>
      <c r="Q33" s="519"/>
    </row>
    <row r="34" spans="2:17" x14ac:dyDescent="0.25">
      <c r="B34" s="531" t="s">
        <v>204</v>
      </c>
      <c r="C34" s="525"/>
      <c r="D34" s="532"/>
      <c r="E34" s="525"/>
      <c r="F34" s="540"/>
      <c r="G34" s="12">
        <v>0</v>
      </c>
      <c r="H34" s="12">
        <v>0</v>
      </c>
      <c r="I34" s="12">
        <v>0</v>
      </c>
      <c r="J34" s="12">
        <v>0</v>
      </c>
      <c r="K34" s="12">
        <v>0</v>
      </c>
      <c r="L34" s="12">
        <v>0</v>
      </c>
      <c r="M34" s="12">
        <v>0</v>
      </c>
      <c r="N34" s="12">
        <v>0</v>
      </c>
      <c r="O34" s="12">
        <v>0</v>
      </c>
      <c r="P34" s="527">
        <f>SUM(G34:O34)</f>
        <v>0</v>
      </c>
      <c r="Q34" s="519"/>
    </row>
    <row r="35" spans="2:17" x14ac:dyDescent="0.25">
      <c r="B35" s="520"/>
      <c r="C35" s="521"/>
      <c r="D35" s="521"/>
      <c r="E35" s="521"/>
      <c r="F35" s="541"/>
      <c r="G35" s="542"/>
      <c r="H35" s="542"/>
      <c r="I35" s="542"/>
      <c r="J35" s="542"/>
      <c r="K35" s="542"/>
      <c r="L35" s="542"/>
      <c r="M35" s="542"/>
      <c r="N35" s="542"/>
      <c r="O35" s="542"/>
      <c r="P35" s="542"/>
      <c r="Q35" s="519"/>
    </row>
    <row r="36" spans="2:17" ht="15.6" x14ac:dyDescent="0.25">
      <c r="B36" s="543"/>
      <c r="C36" s="544"/>
      <c r="D36" s="544"/>
      <c r="E36" s="545"/>
      <c r="F36" s="546"/>
      <c r="G36" s="547"/>
      <c r="H36" s="547"/>
      <c r="I36" s="547"/>
      <c r="J36" s="547"/>
      <c r="K36" s="547"/>
      <c r="L36" s="547"/>
      <c r="M36" s="547"/>
      <c r="N36" s="547"/>
      <c r="O36" s="547"/>
      <c r="P36" s="547"/>
      <c r="Q36" s="519"/>
    </row>
    <row r="37" spans="2:17" ht="13.8" x14ac:dyDescent="0.25">
      <c r="B37" s="548"/>
      <c r="C37" s="549"/>
      <c r="D37" s="549"/>
      <c r="E37" s="550" t="s">
        <v>16</v>
      </c>
      <c r="F37" s="551"/>
      <c r="G37" s="552">
        <f>SUM(G13,G23,G29,G32,G34)</f>
        <v>0</v>
      </c>
      <c r="H37" s="552">
        <f t="shared" ref="H37:O37" si="2">SUM(H13,H23,H29,H32,H34)</f>
        <v>0</v>
      </c>
      <c r="I37" s="552">
        <f t="shared" si="2"/>
        <v>0</v>
      </c>
      <c r="J37" s="552">
        <f t="shared" si="2"/>
        <v>0</v>
      </c>
      <c r="K37" s="552">
        <f t="shared" si="2"/>
        <v>0</v>
      </c>
      <c r="L37" s="552">
        <f t="shared" si="2"/>
        <v>0</v>
      </c>
      <c r="M37" s="552">
        <f t="shared" si="2"/>
        <v>0</v>
      </c>
      <c r="N37" s="552">
        <f t="shared" si="2"/>
        <v>0</v>
      </c>
      <c r="O37" s="552">
        <f t="shared" si="2"/>
        <v>0</v>
      </c>
      <c r="P37" s="552">
        <f>SUM(P13,P23,P29,P32,P34)</f>
        <v>0</v>
      </c>
      <c r="Q37" s="519"/>
    </row>
    <row r="38" spans="2:17" ht="16.2" thickBot="1" x14ac:dyDescent="0.3">
      <c r="B38" s="553"/>
      <c r="C38" s="554"/>
      <c r="D38" s="554"/>
      <c r="E38" s="555"/>
      <c r="F38" s="556"/>
      <c r="G38" s="557"/>
      <c r="H38" s="557"/>
      <c r="I38" s="557"/>
      <c r="J38" s="557"/>
      <c r="K38" s="557"/>
      <c r="L38" s="557"/>
      <c r="M38" s="557"/>
      <c r="N38" s="557"/>
      <c r="O38" s="557"/>
      <c r="P38" s="557"/>
      <c r="Q38" s="519"/>
    </row>
    <row r="39" spans="2:17" ht="13.8" thickTop="1" x14ac:dyDescent="0.25">
      <c r="B39" s="558"/>
      <c r="C39" s="521"/>
      <c r="D39" s="521"/>
      <c r="E39" s="521"/>
      <c r="G39" s="558"/>
      <c r="H39" s="558"/>
      <c r="I39" s="558"/>
      <c r="J39" s="558"/>
      <c r="K39" s="558"/>
      <c r="L39" s="558"/>
      <c r="M39" s="558"/>
      <c r="N39" s="558"/>
      <c r="O39" s="558"/>
      <c r="P39" s="521"/>
      <c r="Q39" s="519"/>
    </row>
    <row r="40" spans="2:17" ht="13.8" thickBot="1" x14ac:dyDescent="0.3">
      <c r="B40" s="558"/>
      <c r="C40" s="521"/>
      <c r="D40" s="521"/>
      <c r="E40" s="521"/>
      <c r="G40" s="558"/>
      <c r="H40" s="558"/>
      <c r="I40" s="558"/>
      <c r="J40" s="558"/>
      <c r="K40" s="558"/>
      <c r="L40" s="558"/>
      <c r="M40" s="558"/>
      <c r="N40" s="558"/>
      <c r="O40" s="558"/>
      <c r="P40" s="521"/>
      <c r="Q40" s="519"/>
    </row>
    <row r="41" spans="2:17" s="434" customFormat="1" ht="13.8" thickTop="1" x14ac:dyDescent="0.25">
      <c r="B41" s="731" t="s">
        <v>110</v>
      </c>
      <c r="C41" s="732"/>
      <c r="D41" s="732"/>
      <c r="E41" s="733"/>
      <c r="F41" s="748" t="s">
        <v>17</v>
      </c>
      <c r="G41" s="710" t="s">
        <v>105</v>
      </c>
      <c r="H41" s="743"/>
      <c r="I41" s="743"/>
      <c r="J41" s="743"/>
      <c r="K41" s="710" t="s">
        <v>355</v>
      </c>
      <c r="L41" s="743"/>
      <c r="M41" s="743"/>
      <c r="N41" s="743"/>
      <c r="O41" s="717" t="s">
        <v>84</v>
      </c>
      <c r="P41" s="717" t="s">
        <v>16</v>
      </c>
      <c r="Q41" s="509"/>
    </row>
    <row r="42" spans="2:17" s="434" customFormat="1" x14ac:dyDescent="0.25">
      <c r="B42" s="734"/>
      <c r="C42" s="735"/>
      <c r="D42" s="735"/>
      <c r="E42" s="736"/>
      <c r="F42" s="749"/>
      <c r="G42" s="711"/>
      <c r="H42" s="744"/>
      <c r="I42" s="744"/>
      <c r="J42" s="744"/>
      <c r="K42" s="711"/>
      <c r="L42" s="744"/>
      <c r="M42" s="744"/>
      <c r="N42" s="744"/>
      <c r="O42" s="718"/>
      <c r="P42" s="718"/>
      <c r="Q42" s="509"/>
    </row>
    <row r="43" spans="2:17" s="434" customFormat="1" ht="31.5" customHeight="1" x14ac:dyDescent="0.25">
      <c r="B43" s="510"/>
      <c r="C43" s="511"/>
      <c r="D43" s="511"/>
      <c r="E43" s="511"/>
      <c r="F43" s="512"/>
      <c r="G43" s="513" t="s">
        <v>205</v>
      </c>
      <c r="H43" s="513" t="s">
        <v>206</v>
      </c>
      <c r="I43" s="513" t="s">
        <v>207</v>
      </c>
      <c r="J43" s="513" t="s">
        <v>138</v>
      </c>
      <c r="K43" s="513" t="s">
        <v>205</v>
      </c>
      <c r="L43" s="513" t="s">
        <v>206</v>
      </c>
      <c r="M43" s="513" t="s">
        <v>207</v>
      </c>
      <c r="N43" s="513" t="s">
        <v>138</v>
      </c>
      <c r="O43" s="514"/>
      <c r="P43" s="514"/>
      <c r="Q43" s="509"/>
    </row>
    <row r="44" spans="2:17" x14ac:dyDescent="0.25">
      <c r="B44" s="515"/>
      <c r="C44" s="516"/>
      <c r="D44" s="516"/>
      <c r="E44" s="516"/>
      <c r="F44" s="517"/>
      <c r="G44" s="518"/>
      <c r="H44" s="518"/>
      <c r="I44" s="518"/>
      <c r="J44" s="518"/>
      <c r="K44" s="518"/>
      <c r="L44" s="518"/>
      <c r="M44" s="518"/>
      <c r="N44" s="518"/>
      <c r="O44" s="518"/>
      <c r="P44" s="518"/>
      <c r="Q44" s="519"/>
    </row>
    <row r="45" spans="2:17" x14ac:dyDescent="0.25">
      <c r="B45" s="520"/>
      <c r="C45" s="521"/>
      <c r="D45" s="521"/>
      <c r="E45" s="521"/>
      <c r="F45" s="541"/>
      <c r="G45" s="523"/>
      <c r="H45" s="523"/>
      <c r="I45" s="523"/>
      <c r="J45" s="523"/>
      <c r="K45" s="523"/>
      <c r="L45" s="523"/>
      <c r="M45" s="523"/>
      <c r="N45" s="523"/>
      <c r="O45" s="523"/>
      <c r="P45" s="523"/>
      <c r="Q45" s="519"/>
    </row>
    <row r="46" spans="2:17" x14ac:dyDescent="0.25">
      <c r="B46" s="524" t="s">
        <v>208</v>
      </c>
      <c r="C46" s="525"/>
      <c r="D46" s="525"/>
      <c r="E46" s="525"/>
      <c r="F46" s="526" t="s">
        <v>325</v>
      </c>
      <c r="G46" s="527">
        <f t="shared" ref="G46:P46" si="3">SUM(G48,G49,G50,G52,G55,G57,G58,G60,G61)</f>
        <v>0</v>
      </c>
      <c r="H46" s="527">
        <f t="shared" si="3"/>
        <v>0</v>
      </c>
      <c r="I46" s="527">
        <f t="shared" si="3"/>
        <v>0</v>
      </c>
      <c r="J46" s="527">
        <f t="shared" si="3"/>
        <v>0</v>
      </c>
      <c r="K46" s="527">
        <f t="shared" si="3"/>
        <v>0</v>
      </c>
      <c r="L46" s="527">
        <f t="shared" si="3"/>
        <v>0</v>
      </c>
      <c r="M46" s="527">
        <f t="shared" si="3"/>
        <v>0</v>
      </c>
      <c r="N46" s="527">
        <f t="shared" si="3"/>
        <v>0</v>
      </c>
      <c r="O46" s="527">
        <f t="shared" si="3"/>
        <v>0</v>
      </c>
      <c r="P46" s="527">
        <f t="shared" si="3"/>
        <v>0</v>
      </c>
      <c r="Q46" s="519"/>
    </row>
    <row r="47" spans="2:17" x14ac:dyDescent="0.25">
      <c r="B47" s="528"/>
      <c r="C47" s="521"/>
      <c r="D47" s="521"/>
      <c r="E47" s="521"/>
      <c r="F47" s="522"/>
      <c r="G47" s="529"/>
      <c r="H47" s="529"/>
      <c r="I47" s="529"/>
      <c r="J47" s="529"/>
      <c r="K47" s="529"/>
      <c r="L47" s="529"/>
      <c r="M47" s="529"/>
      <c r="N47" s="529"/>
      <c r="O47" s="529"/>
      <c r="P47" s="529"/>
      <c r="Q47" s="519"/>
    </row>
    <row r="48" spans="2:17" x14ac:dyDescent="0.25">
      <c r="B48" s="520"/>
      <c r="C48" s="521" t="s">
        <v>111</v>
      </c>
      <c r="D48" s="521"/>
      <c r="E48" s="521"/>
      <c r="F48" s="522">
        <v>60</v>
      </c>
      <c r="G48" s="117">
        <v>0</v>
      </c>
      <c r="H48" s="117">
        <v>0</v>
      </c>
      <c r="I48" s="117">
        <v>0</v>
      </c>
      <c r="J48" s="117">
        <v>0</v>
      </c>
      <c r="K48" s="117">
        <v>0</v>
      </c>
      <c r="L48" s="117">
        <v>0</v>
      </c>
      <c r="M48" s="117">
        <v>0</v>
      </c>
      <c r="N48" s="117">
        <v>0</v>
      </c>
      <c r="O48" s="117">
        <v>0</v>
      </c>
      <c r="P48" s="529">
        <f>SUM(G48:O48)</f>
        <v>0</v>
      </c>
      <c r="Q48" s="519"/>
    </row>
    <row r="49" spans="2:17" x14ac:dyDescent="0.25">
      <c r="B49" s="520"/>
      <c r="C49" s="530" t="s">
        <v>112</v>
      </c>
      <c r="D49" s="521"/>
      <c r="E49" s="521"/>
      <c r="F49" s="522">
        <v>61</v>
      </c>
      <c r="G49" s="117">
        <v>0</v>
      </c>
      <c r="H49" s="117">
        <v>0</v>
      </c>
      <c r="I49" s="117">
        <v>0</v>
      </c>
      <c r="J49" s="117">
        <v>0</v>
      </c>
      <c r="K49" s="117">
        <v>0</v>
      </c>
      <c r="L49" s="117">
        <v>0</v>
      </c>
      <c r="M49" s="117">
        <v>0</v>
      </c>
      <c r="N49" s="117">
        <v>0</v>
      </c>
      <c r="O49" s="117">
        <v>0</v>
      </c>
      <c r="P49" s="529">
        <f>SUM(G49:O49)</f>
        <v>0</v>
      </c>
      <c r="Q49" s="519"/>
    </row>
    <row r="50" spans="2:17" x14ac:dyDescent="0.25">
      <c r="B50" s="520"/>
      <c r="C50" s="521" t="s">
        <v>113</v>
      </c>
      <c r="D50" s="521"/>
      <c r="E50" s="521"/>
      <c r="F50" s="522">
        <v>62</v>
      </c>
      <c r="G50" s="117">
        <v>0</v>
      </c>
      <c r="H50" s="117">
        <v>0</v>
      </c>
      <c r="I50" s="117">
        <v>0</v>
      </c>
      <c r="J50" s="117">
        <v>0</v>
      </c>
      <c r="K50" s="117">
        <v>0</v>
      </c>
      <c r="L50" s="117">
        <v>0</v>
      </c>
      <c r="M50" s="117">
        <v>0</v>
      </c>
      <c r="N50" s="117">
        <v>0</v>
      </c>
      <c r="O50" s="117">
        <v>0</v>
      </c>
      <c r="P50" s="529">
        <f>SUM(G50:O50)</f>
        <v>0</v>
      </c>
      <c r="Q50" s="519"/>
    </row>
    <row r="51" spans="2:17" ht="12.75" customHeight="1" x14ac:dyDescent="0.25">
      <c r="B51" s="520"/>
      <c r="C51" s="745" t="s">
        <v>209</v>
      </c>
      <c r="D51" s="745"/>
      <c r="E51" s="746"/>
      <c r="F51" s="747">
        <v>630</v>
      </c>
      <c r="G51" s="529"/>
      <c r="H51" s="529"/>
      <c r="I51" s="529"/>
      <c r="J51" s="529"/>
      <c r="K51" s="529"/>
      <c r="L51" s="529"/>
      <c r="M51" s="529"/>
      <c r="N51" s="529"/>
      <c r="O51" s="529"/>
      <c r="P51" s="529"/>
      <c r="Q51" s="519"/>
    </row>
    <row r="52" spans="2:17" x14ac:dyDescent="0.25">
      <c r="B52" s="520"/>
      <c r="C52" s="745"/>
      <c r="D52" s="745"/>
      <c r="E52" s="746"/>
      <c r="F52" s="747"/>
      <c r="G52" s="117">
        <v>0</v>
      </c>
      <c r="H52" s="117">
        <v>0</v>
      </c>
      <c r="I52" s="117">
        <v>0</v>
      </c>
      <c r="J52" s="117">
        <v>0</v>
      </c>
      <c r="K52" s="117">
        <v>0</v>
      </c>
      <c r="L52" s="117">
        <v>0</v>
      </c>
      <c r="M52" s="117">
        <v>0</v>
      </c>
      <c r="N52" s="117">
        <v>0</v>
      </c>
      <c r="O52" s="117">
        <v>0</v>
      </c>
      <c r="P52" s="529">
        <f>SUM(G52:O52)</f>
        <v>0</v>
      </c>
      <c r="Q52" s="519"/>
    </row>
    <row r="53" spans="2:17" ht="12.75" customHeight="1" x14ac:dyDescent="0.25">
      <c r="B53" s="520"/>
      <c r="C53" s="745" t="s">
        <v>210</v>
      </c>
      <c r="D53" s="745"/>
      <c r="E53" s="746"/>
      <c r="F53" s="747" t="s">
        <v>18</v>
      </c>
      <c r="G53" s="529"/>
      <c r="H53" s="529"/>
      <c r="I53" s="529"/>
      <c r="J53" s="529"/>
      <c r="K53" s="529"/>
      <c r="L53" s="529"/>
      <c r="M53" s="529"/>
      <c r="N53" s="529"/>
      <c r="O53" s="529"/>
      <c r="P53" s="529"/>
      <c r="Q53" s="519"/>
    </row>
    <row r="54" spans="2:17" x14ac:dyDescent="0.25">
      <c r="B54" s="520"/>
      <c r="C54" s="745"/>
      <c r="D54" s="745"/>
      <c r="E54" s="746"/>
      <c r="F54" s="747"/>
      <c r="G54" s="529"/>
      <c r="H54" s="529"/>
      <c r="I54" s="529"/>
      <c r="J54" s="529"/>
      <c r="K54" s="529"/>
      <c r="L54" s="529"/>
      <c r="M54" s="529"/>
      <c r="N54" s="529"/>
      <c r="O54" s="529"/>
      <c r="P54" s="529"/>
      <c r="Q54" s="519"/>
    </row>
    <row r="55" spans="2:17" ht="15" customHeight="1" x14ac:dyDescent="0.25">
      <c r="B55" s="520"/>
      <c r="C55" s="745"/>
      <c r="D55" s="745"/>
      <c r="E55" s="746"/>
      <c r="F55" s="747"/>
      <c r="G55" s="117">
        <v>0</v>
      </c>
      <c r="H55" s="117">
        <v>0</v>
      </c>
      <c r="I55" s="117">
        <v>0</v>
      </c>
      <c r="J55" s="117">
        <v>0</v>
      </c>
      <c r="K55" s="117">
        <v>0</v>
      </c>
      <c r="L55" s="117">
        <v>0</v>
      </c>
      <c r="M55" s="117">
        <v>0</v>
      </c>
      <c r="N55" s="117">
        <v>0</v>
      </c>
      <c r="O55" s="117">
        <v>0</v>
      </c>
      <c r="P55" s="529">
        <f>SUM(G55:O55)</f>
        <v>0</v>
      </c>
      <c r="Q55" s="519"/>
    </row>
    <row r="56" spans="2:17" ht="12.75" customHeight="1" x14ac:dyDescent="0.25">
      <c r="B56" s="520"/>
      <c r="C56" s="745" t="s">
        <v>211</v>
      </c>
      <c r="D56" s="745"/>
      <c r="E56" s="746"/>
      <c r="F56" s="747" t="s">
        <v>233</v>
      </c>
      <c r="G56" s="529"/>
      <c r="H56" s="529"/>
      <c r="I56" s="529"/>
      <c r="J56" s="529"/>
      <c r="K56" s="529"/>
      <c r="L56" s="529"/>
      <c r="M56" s="529"/>
      <c r="N56" s="529"/>
      <c r="O56" s="529"/>
      <c r="P56" s="529"/>
      <c r="Q56" s="519"/>
    </row>
    <row r="57" spans="2:17" ht="16.5" customHeight="1" x14ac:dyDescent="0.25">
      <c r="B57" s="520"/>
      <c r="C57" s="745"/>
      <c r="D57" s="745"/>
      <c r="E57" s="746"/>
      <c r="F57" s="747"/>
      <c r="G57" s="117">
        <v>0</v>
      </c>
      <c r="H57" s="117">
        <v>0</v>
      </c>
      <c r="I57" s="117">
        <v>0</v>
      </c>
      <c r="J57" s="117">
        <v>0</v>
      </c>
      <c r="K57" s="117">
        <v>0</v>
      </c>
      <c r="L57" s="117">
        <v>0</v>
      </c>
      <c r="M57" s="117">
        <v>0</v>
      </c>
      <c r="N57" s="117">
        <v>0</v>
      </c>
      <c r="O57" s="117">
        <v>0</v>
      </c>
      <c r="P57" s="529">
        <f>SUM(G57:O57)</f>
        <v>0</v>
      </c>
      <c r="Q57" s="519"/>
    </row>
    <row r="58" spans="2:17" x14ac:dyDescent="0.25">
      <c r="B58" s="520"/>
      <c r="C58" s="521" t="s">
        <v>114</v>
      </c>
      <c r="D58" s="521"/>
      <c r="E58" s="521"/>
      <c r="F58" s="522" t="s">
        <v>19</v>
      </c>
      <c r="G58" s="117">
        <v>0</v>
      </c>
      <c r="H58" s="117">
        <v>0</v>
      </c>
      <c r="I58" s="117">
        <v>0</v>
      </c>
      <c r="J58" s="117">
        <v>0</v>
      </c>
      <c r="K58" s="117">
        <v>0</v>
      </c>
      <c r="L58" s="117">
        <v>0</v>
      </c>
      <c r="M58" s="117">
        <v>0</v>
      </c>
      <c r="N58" s="117">
        <v>0</v>
      </c>
      <c r="O58" s="117">
        <v>0</v>
      </c>
      <c r="P58" s="529">
        <f>SUM(G58:O58)</f>
        <v>0</v>
      </c>
      <c r="Q58" s="519"/>
    </row>
    <row r="59" spans="2:17" ht="12.6" customHeight="1" x14ac:dyDescent="0.25">
      <c r="B59" s="520"/>
      <c r="C59" s="745" t="s">
        <v>230</v>
      </c>
      <c r="D59" s="745"/>
      <c r="E59" s="746"/>
      <c r="F59" s="747">
        <v>649</v>
      </c>
      <c r="G59" s="529"/>
      <c r="H59" s="529"/>
      <c r="I59" s="529"/>
      <c r="J59" s="529"/>
      <c r="K59" s="529"/>
      <c r="L59" s="529"/>
      <c r="M59" s="529"/>
      <c r="N59" s="529"/>
      <c r="O59" s="529"/>
      <c r="P59" s="529"/>
      <c r="Q59" s="519"/>
    </row>
    <row r="60" spans="2:17" x14ac:dyDescent="0.25">
      <c r="B60" s="520"/>
      <c r="C60" s="745"/>
      <c r="D60" s="745"/>
      <c r="E60" s="746"/>
      <c r="F60" s="747"/>
      <c r="G60" s="117">
        <v>0</v>
      </c>
      <c r="H60" s="117">
        <v>0</v>
      </c>
      <c r="I60" s="117">
        <v>0</v>
      </c>
      <c r="J60" s="117">
        <v>0</v>
      </c>
      <c r="K60" s="117">
        <v>0</v>
      </c>
      <c r="L60" s="117">
        <v>0</v>
      </c>
      <c r="M60" s="117">
        <v>0</v>
      </c>
      <c r="N60" s="117">
        <v>0</v>
      </c>
      <c r="O60" s="117">
        <v>0</v>
      </c>
      <c r="P60" s="529">
        <f>SUM(G60:O60)</f>
        <v>0</v>
      </c>
      <c r="Q60" s="519"/>
    </row>
    <row r="61" spans="2:17" x14ac:dyDescent="0.25">
      <c r="B61" s="520"/>
      <c r="C61" s="521" t="s">
        <v>318</v>
      </c>
      <c r="D61" s="521"/>
      <c r="E61" s="521"/>
      <c r="F61" s="522" t="s">
        <v>319</v>
      </c>
      <c r="G61" s="117">
        <v>0</v>
      </c>
      <c r="H61" s="117">
        <v>0</v>
      </c>
      <c r="I61" s="117">
        <v>0</v>
      </c>
      <c r="J61" s="117">
        <v>0</v>
      </c>
      <c r="K61" s="117">
        <v>0</v>
      </c>
      <c r="L61" s="117">
        <v>0</v>
      </c>
      <c r="M61" s="117">
        <v>0</v>
      </c>
      <c r="N61" s="117">
        <v>0</v>
      </c>
      <c r="O61" s="117">
        <v>0</v>
      </c>
      <c r="P61" s="529">
        <f>SUM(G61:O61)</f>
        <v>0</v>
      </c>
      <c r="Q61" s="519"/>
    </row>
    <row r="62" spans="2:17" x14ac:dyDescent="0.25">
      <c r="B62" s="520"/>
      <c r="C62" s="530"/>
      <c r="D62" s="521"/>
      <c r="E62" s="521"/>
      <c r="F62" s="522"/>
      <c r="G62" s="529"/>
      <c r="H62" s="529"/>
      <c r="I62" s="529"/>
      <c r="J62" s="529"/>
      <c r="K62" s="529"/>
      <c r="L62" s="529"/>
      <c r="M62" s="529"/>
      <c r="N62" s="529"/>
      <c r="O62" s="529"/>
      <c r="P62" s="529"/>
      <c r="Q62" s="519"/>
    </row>
    <row r="63" spans="2:17" x14ac:dyDescent="0.25">
      <c r="B63" s="531" t="s">
        <v>73</v>
      </c>
      <c r="C63" s="532"/>
      <c r="D63" s="525"/>
      <c r="E63" s="525"/>
      <c r="F63" s="526" t="s">
        <v>323</v>
      </c>
      <c r="G63" s="121">
        <f>SUM(G65:G66)</f>
        <v>0</v>
      </c>
      <c r="H63" s="121">
        <f t="shared" ref="H63:P63" si="4">SUM(H65:H66)</f>
        <v>0</v>
      </c>
      <c r="I63" s="121">
        <f t="shared" si="4"/>
        <v>0</v>
      </c>
      <c r="J63" s="121">
        <f t="shared" si="4"/>
        <v>0</v>
      </c>
      <c r="K63" s="121">
        <f t="shared" si="4"/>
        <v>0</v>
      </c>
      <c r="L63" s="121">
        <f t="shared" si="4"/>
        <v>0</v>
      </c>
      <c r="M63" s="121">
        <f t="shared" si="4"/>
        <v>0</v>
      </c>
      <c r="N63" s="121">
        <f t="shared" si="4"/>
        <v>0</v>
      </c>
      <c r="O63" s="121">
        <f t="shared" si="4"/>
        <v>0</v>
      </c>
      <c r="P63" s="527">
        <f t="shared" si="4"/>
        <v>0</v>
      </c>
      <c r="Q63" s="519"/>
    </row>
    <row r="64" spans="2:17" x14ac:dyDescent="0.25">
      <c r="B64" s="531"/>
      <c r="C64" s="532"/>
      <c r="D64" s="525"/>
      <c r="E64" s="525"/>
      <c r="F64" s="526"/>
      <c r="G64" s="121"/>
      <c r="H64" s="121"/>
      <c r="I64" s="121"/>
      <c r="J64" s="121"/>
      <c r="K64" s="121"/>
      <c r="L64" s="121"/>
      <c r="M64" s="121"/>
      <c r="N64" s="121"/>
      <c r="O64" s="121"/>
      <c r="P64" s="527"/>
      <c r="Q64" s="519"/>
    </row>
    <row r="65" spans="2:17" ht="14.1" customHeight="1" x14ac:dyDescent="0.25">
      <c r="B65" s="520"/>
      <c r="C65" s="521" t="s">
        <v>328</v>
      </c>
      <c r="D65" s="521"/>
      <c r="E65" s="521"/>
      <c r="F65" s="522">
        <v>65</v>
      </c>
      <c r="G65" s="117">
        <v>0</v>
      </c>
      <c r="H65" s="117">
        <v>0</v>
      </c>
      <c r="I65" s="117">
        <v>0</v>
      </c>
      <c r="J65" s="117">
        <v>0</v>
      </c>
      <c r="K65" s="117">
        <v>0</v>
      </c>
      <c r="L65" s="117">
        <v>0</v>
      </c>
      <c r="M65" s="117">
        <v>0</v>
      </c>
      <c r="N65" s="117">
        <v>0</v>
      </c>
      <c r="O65" s="117">
        <v>0</v>
      </c>
      <c r="P65" s="529">
        <f>SUM(G65:O65)</f>
        <v>0</v>
      </c>
      <c r="Q65" s="519"/>
    </row>
    <row r="66" spans="2:17" ht="14.1" customHeight="1" x14ac:dyDescent="0.25">
      <c r="B66" s="520"/>
      <c r="C66" s="521" t="s">
        <v>329</v>
      </c>
      <c r="D66" s="521"/>
      <c r="E66" s="521"/>
      <c r="F66" s="522" t="s">
        <v>322</v>
      </c>
      <c r="G66" s="117">
        <v>0</v>
      </c>
      <c r="H66" s="117">
        <v>0</v>
      </c>
      <c r="I66" s="117">
        <v>0</v>
      </c>
      <c r="J66" s="117">
        <v>0</v>
      </c>
      <c r="K66" s="117">
        <v>0</v>
      </c>
      <c r="L66" s="117">
        <v>0</v>
      </c>
      <c r="M66" s="117">
        <v>0</v>
      </c>
      <c r="N66" s="117">
        <v>0</v>
      </c>
      <c r="O66" s="117">
        <v>0</v>
      </c>
      <c r="P66" s="529">
        <f>SUM(G66:O66)</f>
        <v>0</v>
      </c>
      <c r="Q66" s="519"/>
    </row>
    <row r="67" spans="2:17" x14ac:dyDescent="0.25">
      <c r="B67" s="534"/>
      <c r="C67" s="535"/>
      <c r="D67" s="536"/>
      <c r="E67" s="536"/>
      <c r="F67" s="537"/>
      <c r="G67" s="560"/>
      <c r="H67" s="560"/>
      <c r="I67" s="560"/>
      <c r="J67" s="560"/>
      <c r="K67" s="560"/>
      <c r="L67" s="560"/>
      <c r="M67" s="560"/>
      <c r="N67" s="560"/>
      <c r="O67" s="560"/>
      <c r="P67" s="527"/>
      <c r="Q67" s="519"/>
    </row>
    <row r="68" spans="2:17" ht="12.75" customHeight="1" x14ac:dyDescent="0.25">
      <c r="B68" s="724" t="s">
        <v>213</v>
      </c>
      <c r="C68" s="725"/>
      <c r="D68" s="725"/>
      <c r="E68" s="726"/>
      <c r="F68" s="727">
        <v>68</v>
      </c>
      <c r="G68" s="527"/>
      <c r="H68" s="527"/>
      <c r="I68" s="527"/>
      <c r="J68" s="527"/>
      <c r="K68" s="527"/>
      <c r="L68" s="527"/>
      <c r="M68" s="527"/>
      <c r="N68" s="527"/>
      <c r="O68" s="527"/>
      <c r="P68" s="527"/>
      <c r="Q68" s="519"/>
    </row>
    <row r="69" spans="2:17" x14ac:dyDescent="0.25">
      <c r="B69" s="724"/>
      <c r="C69" s="725"/>
      <c r="D69" s="725"/>
      <c r="E69" s="726"/>
      <c r="F69" s="727"/>
      <c r="G69" s="12">
        <v>0</v>
      </c>
      <c r="H69" s="12">
        <v>0</v>
      </c>
      <c r="I69" s="12">
        <v>0</v>
      </c>
      <c r="J69" s="12">
        <v>0</v>
      </c>
      <c r="K69" s="12">
        <v>0</v>
      </c>
      <c r="L69" s="12">
        <v>0</v>
      </c>
      <c r="M69" s="12">
        <v>0</v>
      </c>
      <c r="N69" s="12">
        <v>0</v>
      </c>
      <c r="O69" s="12">
        <v>0</v>
      </c>
      <c r="P69" s="574">
        <f>SUM(G69:O69)</f>
        <v>0</v>
      </c>
      <c r="Q69" s="519"/>
    </row>
    <row r="70" spans="2:17" x14ac:dyDescent="0.25">
      <c r="B70" s="534"/>
      <c r="C70" s="536"/>
      <c r="D70" s="536"/>
      <c r="E70" s="536"/>
      <c r="F70" s="537"/>
      <c r="G70" s="560"/>
      <c r="H70" s="560"/>
      <c r="I70" s="560"/>
      <c r="J70" s="560"/>
      <c r="K70" s="560"/>
      <c r="L70" s="560"/>
      <c r="M70" s="560"/>
      <c r="N70" s="560"/>
      <c r="O70" s="560"/>
      <c r="P70" s="538"/>
      <c r="Q70" s="519"/>
    </row>
    <row r="71" spans="2:17" x14ac:dyDescent="0.25">
      <c r="B71" s="531" t="s">
        <v>140</v>
      </c>
      <c r="C71" s="525"/>
      <c r="D71" s="525"/>
      <c r="E71" s="525"/>
      <c r="F71" s="526">
        <v>67</v>
      </c>
      <c r="G71" s="12">
        <v>0</v>
      </c>
      <c r="H71" s="12">
        <v>0</v>
      </c>
      <c r="I71" s="12">
        <v>0</v>
      </c>
      <c r="J71" s="12">
        <v>0</v>
      </c>
      <c r="K71" s="12">
        <v>0</v>
      </c>
      <c r="L71" s="12">
        <v>0</v>
      </c>
      <c r="M71" s="12">
        <v>0</v>
      </c>
      <c r="N71" s="12">
        <v>0</v>
      </c>
      <c r="O71" s="12">
        <v>0</v>
      </c>
      <c r="P71" s="527">
        <f>SUM(G71:O71)</f>
        <v>0</v>
      </c>
      <c r="Q71" s="519"/>
    </row>
    <row r="72" spans="2:17" x14ac:dyDescent="0.25">
      <c r="B72" s="534"/>
      <c r="C72" s="536"/>
      <c r="D72" s="536"/>
      <c r="E72" s="536"/>
      <c r="F72" s="537"/>
      <c r="G72" s="560"/>
      <c r="H72" s="560"/>
      <c r="I72" s="560"/>
      <c r="J72" s="560"/>
      <c r="K72" s="560"/>
      <c r="L72" s="560"/>
      <c r="M72" s="560"/>
      <c r="N72" s="560"/>
      <c r="O72" s="560"/>
      <c r="P72" s="538"/>
      <c r="Q72" s="519"/>
    </row>
    <row r="73" spans="2:17" x14ac:dyDescent="0.25">
      <c r="B73" s="531" t="s">
        <v>214</v>
      </c>
      <c r="C73" s="525"/>
      <c r="D73" s="532"/>
      <c r="E73" s="525"/>
      <c r="F73" s="526"/>
      <c r="G73" s="12">
        <v>0</v>
      </c>
      <c r="H73" s="12">
        <v>0</v>
      </c>
      <c r="I73" s="12">
        <v>0</v>
      </c>
      <c r="J73" s="12">
        <v>0</v>
      </c>
      <c r="K73" s="12">
        <v>0</v>
      </c>
      <c r="L73" s="12">
        <v>0</v>
      </c>
      <c r="M73" s="12">
        <v>0</v>
      </c>
      <c r="N73" s="12">
        <v>0</v>
      </c>
      <c r="O73" s="12">
        <v>0</v>
      </c>
      <c r="P73" s="527">
        <f>SUM(G73:O73)</f>
        <v>0</v>
      </c>
      <c r="Q73" s="519"/>
    </row>
    <row r="74" spans="2:17" x14ac:dyDescent="0.25">
      <c r="B74" s="520"/>
      <c r="C74" s="521"/>
      <c r="D74" s="521"/>
      <c r="E74" s="521"/>
      <c r="F74" s="541"/>
      <c r="G74" s="529"/>
      <c r="H74" s="529"/>
      <c r="I74" s="529"/>
      <c r="J74" s="529"/>
      <c r="K74" s="529"/>
      <c r="L74" s="529"/>
      <c r="M74" s="529"/>
      <c r="N74" s="529"/>
      <c r="O74" s="529"/>
      <c r="P74" s="529"/>
      <c r="Q74" s="519"/>
    </row>
    <row r="75" spans="2:17" ht="15.6" x14ac:dyDescent="0.25">
      <c r="B75" s="543"/>
      <c r="C75" s="544"/>
      <c r="D75" s="544"/>
      <c r="E75" s="545"/>
      <c r="F75" s="546"/>
      <c r="G75" s="547"/>
      <c r="H75" s="547"/>
      <c r="I75" s="547"/>
      <c r="J75" s="547"/>
      <c r="K75" s="547"/>
      <c r="L75" s="547"/>
      <c r="M75" s="547"/>
      <c r="N75" s="547"/>
      <c r="O75" s="547"/>
      <c r="P75" s="547"/>
      <c r="Q75" s="519"/>
    </row>
    <row r="76" spans="2:17" ht="13.8" x14ac:dyDescent="0.25">
      <c r="B76" s="548"/>
      <c r="C76" s="549"/>
      <c r="D76" s="549"/>
      <c r="E76" s="550" t="s">
        <v>16</v>
      </c>
      <c r="F76" s="551"/>
      <c r="G76" s="552">
        <f t="shared" ref="G76:P76" si="5">SUM(G46,G63,G69,G71,G73)</f>
        <v>0</v>
      </c>
      <c r="H76" s="552">
        <f t="shared" si="5"/>
        <v>0</v>
      </c>
      <c r="I76" s="552">
        <f t="shared" si="5"/>
        <v>0</v>
      </c>
      <c r="J76" s="552">
        <f t="shared" si="5"/>
        <v>0</v>
      </c>
      <c r="K76" s="552">
        <f t="shared" si="5"/>
        <v>0</v>
      </c>
      <c r="L76" s="552">
        <f t="shared" si="5"/>
        <v>0</v>
      </c>
      <c r="M76" s="552">
        <f t="shared" si="5"/>
        <v>0</v>
      </c>
      <c r="N76" s="552">
        <f t="shared" si="5"/>
        <v>0</v>
      </c>
      <c r="O76" s="552">
        <f t="shared" si="5"/>
        <v>0</v>
      </c>
      <c r="P76" s="552">
        <f t="shared" si="5"/>
        <v>0</v>
      </c>
      <c r="Q76" s="519"/>
    </row>
    <row r="77" spans="2:17" ht="16.2" thickBot="1" x14ac:dyDescent="0.3">
      <c r="B77" s="553"/>
      <c r="C77" s="554"/>
      <c r="D77" s="554"/>
      <c r="E77" s="555"/>
      <c r="F77" s="556"/>
      <c r="G77" s="557"/>
      <c r="H77" s="557"/>
      <c r="I77" s="557"/>
      <c r="J77" s="557"/>
      <c r="K77" s="557"/>
      <c r="L77" s="557"/>
      <c r="M77" s="557"/>
      <c r="N77" s="557"/>
      <c r="O77" s="557"/>
      <c r="P77" s="557"/>
      <c r="Q77" s="519"/>
    </row>
    <row r="78" spans="2:17" ht="13.8" thickTop="1" x14ac:dyDescent="0.25">
      <c r="B78" s="521"/>
      <c r="C78" s="521"/>
      <c r="D78" s="521"/>
      <c r="E78" s="521"/>
      <c r="F78" s="561"/>
      <c r="G78" s="562"/>
      <c r="H78" s="562"/>
      <c r="I78" s="562"/>
      <c r="J78" s="562"/>
      <c r="K78" s="562"/>
      <c r="L78" s="562"/>
      <c r="M78" s="562"/>
      <c r="N78" s="562"/>
      <c r="O78" s="562"/>
      <c r="P78" s="562"/>
      <c r="Q78" s="519"/>
    </row>
    <row r="79" spans="2:17" x14ac:dyDescent="0.25">
      <c r="B79" s="521"/>
      <c r="C79" s="521"/>
      <c r="D79" s="521"/>
      <c r="E79" s="536" t="s">
        <v>115</v>
      </c>
      <c r="F79" s="563"/>
      <c r="G79" s="564">
        <f t="shared" ref="G79:P79" si="6">SUM(G13,G23,G29,G32)</f>
        <v>0</v>
      </c>
      <c r="H79" s="564">
        <f t="shared" si="6"/>
        <v>0</v>
      </c>
      <c r="I79" s="564">
        <f t="shared" si="6"/>
        <v>0</v>
      </c>
      <c r="J79" s="564">
        <f t="shared" si="6"/>
        <v>0</v>
      </c>
      <c r="K79" s="564">
        <f t="shared" si="6"/>
        <v>0</v>
      </c>
      <c r="L79" s="564">
        <f t="shared" si="6"/>
        <v>0</v>
      </c>
      <c r="M79" s="564">
        <f t="shared" si="6"/>
        <v>0</v>
      </c>
      <c r="N79" s="564">
        <f t="shared" si="6"/>
        <v>0</v>
      </c>
      <c r="O79" s="564">
        <f t="shared" si="6"/>
        <v>0</v>
      </c>
      <c r="P79" s="565">
        <f t="shared" si="6"/>
        <v>0</v>
      </c>
      <c r="Q79" s="519"/>
    </row>
    <row r="80" spans="2:17" x14ac:dyDescent="0.25">
      <c r="B80" s="521"/>
      <c r="C80" s="521"/>
      <c r="D80" s="521"/>
      <c r="E80" s="536" t="s">
        <v>116</v>
      </c>
      <c r="F80" s="563"/>
      <c r="G80" s="564">
        <f t="shared" ref="G80:P80" si="7">SUM(G46,G63,G69,G71)</f>
        <v>0</v>
      </c>
      <c r="H80" s="564">
        <f t="shared" si="7"/>
        <v>0</v>
      </c>
      <c r="I80" s="564">
        <f t="shared" si="7"/>
        <v>0</v>
      </c>
      <c r="J80" s="564">
        <f t="shared" si="7"/>
        <v>0</v>
      </c>
      <c r="K80" s="564">
        <f t="shared" si="7"/>
        <v>0</v>
      </c>
      <c r="L80" s="564">
        <f t="shared" si="7"/>
        <v>0</v>
      </c>
      <c r="M80" s="564">
        <f t="shared" si="7"/>
        <v>0</v>
      </c>
      <c r="N80" s="564">
        <f t="shared" si="7"/>
        <v>0</v>
      </c>
      <c r="O80" s="564">
        <f t="shared" si="7"/>
        <v>0</v>
      </c>
      <c r="P80" s="565">
        <f t="shared" si="7"/>
        <v>0</v>
      </c>
      <c r="Q80" s="519"/>
    </row>
    <row r="81" spans="2:17" x14ac:dyDescent="0.25">
      <c r="B81" s="521"/>
      <c r="C81" s="521"/>
      <c r="D81" s="521"/>
      <c r="E81" s="536" t="s">
        <v>117</v>
      </c>
      <c r="F81" s="563"/>
      <c r="G81" s="564">
        <f t="shared" ref="G81:P81" si="8">G79-G80</f>
        <v>0</v>
      </c>
      <c r="H81" s="564">
        <f t="shared" si="8"/>
        <v>0</v>
      </c>
      <c r="I81" s="564">
        <f t="shared" si="8"/>
        <v>0</v>
      </c>
      <c r="J81" s="564">
        <f t="shared" si="8"/>
        <v>0</v>
      </c>
      <c r="K81" s="564">
        <f t="shared" si="8"/>
        <v>0</v>
      </c>
      <c r="L81" s="564">
        <f t="shared" si="8"/>
        <v>0</v>
      </c>
      <c r="M81" s="564">
        <f t="shared" si="8"/>
        <v>0</v>
      </c>
      <c r="N81" s="564">
        <f t="shared" si="8"/>
        <v>0</v>
      </c>
      <c r="O81" s="564">
        <f t="shared" si="8"/>
        <v>0</v>
      </c>
      <c r="P81" s="565">
        <f t="shared" si="8"/>
        <v>0</v>
      </c>
      <c r="Q81" s="519"/>
    </row>
    <row r="82" spans="2:17" x14ac:dyDescent="0.25">
      <c r="B82" s="521"/>
      <c r="C82" s="521"/>
      <c r="D82" s="521"/>
      <c r="E82" s="521"/>
      <c r="F82" s="561"/>
      <c r="G82" s="521"/>
      <c r="H82" s="521"/>
      <c r="I82" s="521"/>
      <c r="J82" s="521"/>
      <c r="K82" s="521"/>
      <c r="L82" s="521"/>
      <c r="M82" s="521"/>
      <c r="N82" s="521"/>
      <c r="O82" s="521"/>
      <c r="P82" s="521"/>
      <c r="Q82" s="521"/>
    </row>
    <row r="83" spans="2:17" ht="13.8" thickBot="1" x14ac:dyDescent="0.3">
      <c r="B83" s="521"/>
      <c r="C83" s="521"/>
      <c r="D83" s="521"/>
      <c r="E83" s="566"/>
      <c r="F83" s="561"/>
      <c r="G83" s="521"/>
      <c r="H83" s="521"/>
      <c r="I83" s="521"/>
      <c r="J83" s="521"/>
      <c r="K83" s="521"/>
      <c r="L83" s="521"/>
      <c r="M83" s="521"/>
      <c r="N83" s="521"/>
      <c r="O83" s="521"/>
      <c r="P83" s="521"/>
      <c r="Q83" s="521"/>
    </row>
    <row r="84" spans="2:17" s="434" customFormat="1" ht="15.9" customHeight="1" thickBot="1" x14ac:dyDescent="0.3">
      <c r="B84" s="714" t="str">
        <f>"BOEKJAAR "&amp;TITELBLAD!$F$17-1</f>
        <v>BOEKJAAR 2024</v>
      </c>
      <c r="C84" s="715"/>
      <c r="D84" s="715"/>
      <c r="E84" s="715"/>
      <c r="F84" s="715"/>
      <c r="G84" s="715"/>
      <c r="H84" s="715"/>
      <c r="I84" s="715"/>
      <c r="J84" s="715"/>
      <c r="K84" s="715"/>
      <c r="L84" s="715"/>
      <c r="M84" s="715"/>
      <c r="N84" s="715"/>
      <c r="O84" s="715"/>
      <c r="P84" s="716"/>
    </row>
    <row r="85" spans="2:17" ht="17.399999999999999" x14ac:dyDescent="0.25">
      <c r="B85" s="497"/>
      <c r="C85" s="497"/>
      <c r="D85" s="497"/>
      <c r="E85" s="497"/>
      <c r="F85" s="498"/>
      <c r="G85" s="497"/>
      <c r="H85" s="497"/>
      <c r="I85" s="497"/>
      <c r="J85" s="497"/>
      <c r="K85" s="497"/>
      <c r="L85" s="497"/>
      <c r="M85" s="497"/>
      <c r="N85" s="567" t="s">
        <v>196</v>
      </c>
      <c r="O85" s="567"/>
      <c r="P85" s="497"/>
      <c r="Q85" s="498"/>
    </row>
    <row r="86" spans="2:17" x14ac:dyDescent="0.25">
      <c r="B86" s="496"/>
      <c r="C86" s="502" t="s">
        <v>83</v>
      </c>
      <c r="D86" s="503"/>
      <c r="E86" s="496"/>
      <c r="F86" s="496"/>
      <c r="G86" s="496"/>
      <c r="H86" s="496"/>
      <c r="I86" s="496"/>
      <c r="J86" s="496"/>
      <c r="K86" s="503"/>
      <c r="L86" s="496"/>
      <c r="M86" s="496"/>
      <c r="N86" s="568"/>
      <c r="O86" s="568"/>
      <c r="P86" s="496"/>
      <c r="Q86" s="496"/>
    </row>
    <row r="87" spans="2:17" x14ac:dyDescent="0.25">
      <c r="B87" s="496"/>
      <c r="C87" s="505" t="s">
        <v>197</v>
      </c>
      <c r="D87" s="503"/>
      <c r="E87" s="496"/>
      <c r="F87" s="496"/>
      <c r="G87" s="496"/>
      <c r="H87" s="496"/>
      <c r="I87" s="496"/>
      <c r="J87" s="496"/>
      <c r="K87" s="503"/>
      <c r="L87" s="496"/>
      <c r="M87" s="496"/>
      <c r="N87" s="496"/>
      <c r="O87" s="496"/>
      <c r="P87" s="496"/>
      <c r="Q87" s="496"/>
    </row>
    <row r="88" spans="2:17" ht="13.8" thickBot="1" x14ac:dyDescent="0.3">
      <c r="B88" s="506"/>
      <c r="C88" s="506"/>
      <c r="D88" s="506"/>
      <c r="E88" s="506"/>
      <c r="F88" s="507"/>
      <c r="G88" s="506"/>
      <c r="H88" s="506"/>
      <c r="I88" s="506"/>
      <c r="J88" s="506"/>
      <c r="K88" s="506"/>
      <c r="L88" s="506"/>
      <c r="M88" s="506"/>
      <c r="N88" s="506"/>
      <c r="O88" s="506"/>
      <c r="P88" s="506"/>
      <c r="Q88" s="506"/>
    </row>
    <row r="89" spans="2:17" s="434" customFormat="1" ht="13.8" thickTop="1" x14ac:dyDescent="0.25">
      <c r="B89" s="731" t="s">
        <v>106</v>
      </c>
      <c r="C89" s="732"/>
      <c r="D89" s="732"/>
      <c r="E89" s="733"/>
      <c r="F89" s="741" t="s">
        <v>17</v>
      </c>
      <c r="G89" s="710" t="s">
        <v>105</v>
      </c>
      <c r="H89" s="743"/>
      <c r="I89" s="743"/>
      <c r="J89" s="743"/>
      <c r="K89" s="710" t="s">
        <v>355</v>
      </c>
      <c r="L89" s="743"/>
      <c r="M89" s="743"/>
      <c r="N89" s="743"/>
      <c r="O89" s="717" t="s">
        <v>84</v>
      </c>
      <c r="P89" s="717" t="s">
        <v>16</v>
      </c>
      <c r="Q89" s="509"/>
    </row>
    <row r="90" spans="2:17" s="434" customFormat="1" x14ac:dyDescent="0.25">
      <c r="B90" s="734"/>
      <c r="C90" s="735"/>
      <c r="D90" s="735"/>
      <c r="E90" s="736"/>
      <c r="F90" s="742"/>
      <c r="G90" s="711"/>
      <c r="H90" s="744"/>
      <c r="I90" s="744"/>
      <c r="J90" s="744"/>
      <c r="K90" s="711"/>
      <c r="L90" s="744"/>
      <c r="M90" s="744"/>
      <c r="N90" s="744"/>
      <c r="O90" s="718"/>
      <c r="P90" s="718"/>
      <c r="Q90" s="509"/>
    </row>
    <row r="91" spans="2:17" s="434" customFormat="1" ht="31.5" customHeight="1" x14ac:dyDescent="0.25">
      <c r="B91" s="510"/>
      <c r="C91" s="511"/>
      <c r="D91" s="511"/>
      <c r="E91" s="511"/>
      <c r="F91" s="512"/>
      <c r="G91" s="513" t="s">
        <v>198</v>
      </c>
      <c r="H91" s="513" t="s">
        <v>199</v>
      </c>
      <c r="I91" s="513" t="s">
        <v>200</v>
      </c>
      <c r="J91" s="513" t="s">
        <v>138</v>
      </c>
      <c r="K91" s="513" t="s">
        <v>198</v>
      </c>
      <c r="L91" s="513" t="s">
        <v>199</v>
      </c>
      <c r="M91" s="513" t="s">
        <v>200</v>
      </c>
      <c r="N91" s="513" t="s">
        <v>138</v>
      </c>
      <c r="O91" s="514"/>
      <c r="P91" s="514"/>
      <c r="Q91" s="509"/>
    </row>
    <row r="92" spans="2:17" x14ac:dyDescent="0.25">
      <c r="B92" s="515"/>
      <c r="C92" s="516"/>
      <c r="D92" s="516"/>
      <c r="E92" s="516"/>
      <c r="F92" s="517"/>
      <c r="G92" s="518"/>
      <c r="H92" s="518"/>
      <c r="I92" s="518"/>
      <c r="J92" s="518"/>
      <c r="K92" s="518"/>
      <c r="L92" s="518"/>
      <c r="M92" s="518"/>
      <c r="N92" s="518"/>
      <c r="O92" s="518"/>
      <c r="P92" s="518"/>
      <c r="Q92" s="519"/>
    </row>
    <row r="93" spans="2:17" x14ac:dyDescent="0.25">
      <c r="B93" s="520"/>
      <c r="C93" s="521"/>
      <c r="D93" s="521"/>
      <c r="E93" s="521"/>
      <c r="F93" s="522"/>
      <c r="G93" s="523"/>
      <c r="H93" s="523"/>
      <c r="I93" s="523"/>
      <c r="J93" s="523"/>
      <c r="K93" s="523"/>
      <c r="L93" s="523"/>
      <c r="M93" s="523"/>
      <c r="N93" s="523"/>
      <c r="O93" s="523"/>
      <c r="P93" s="523"/>
      <c r="Q93" s="519"/>
    </row>
    <row r="94" spans="2:17" x14ac:dyDescent="0.25">
      <c r="B94" s="524" t="s">
        <v>201</v>
      </c>
      <c r="C94" s="525"/>
      <c r="D94" s="525"/>
      <c r="E94" s="525"/>
      <c r="F94" s="526" t="s">
        <v>324</v>
      </c>
      <c r="G94" s="527">
        <f>SUM(G96,G99,G100,G101,G102)</f>
        <v>0</v>
      </c>
      <c r="H94" s="527">
        <f t="shared" ref="H94:P94" si="9">SUM(H96,H99,H100,H101,H102)</f>
        <v>0</v>
      </c>
      <c r="I94" s="527">
        <f t="shared" si="9"/>
        <v>0</v>
      </c>
      <c r="J94" s="527">
        <f t="shared" si="9"/>
        <v>0</v>
      </c>
      <c r="K94" s="527">
        <f t="shared" si="9"/>
        <v>0</v>
      </c>
      <c r="L94" s="527">
        <f t="shared" si="9"/>
        <v>0</v>
      </c>
      <c r="M94" s="527">
        <f t="shared" si="9"/>
        <v>0</v>
      </c>
      <c r="N94" s="527">
        <f t="shared" si="9"/>
        <v>0</v>
      </c>
      <c r="O94" s="527">
        <f t="shared" si="9"/>
        <v>0</v>
      </c>
      <c r="P94" s="527">
        <f t="shared" si="9"/>
        <v>0</v>
      </c>
      <c r="Q94" s="519"/>
    </row>
    <row r="95" spans="2:17" x14ac:dyDescent="0.25">
      <c r="B95" s="528"/>
      <c r="C95" s="521"/>
      <c r="D95" s="521"/>
      <c r="E95" s="521"/>
      <c r="F95" s="522"/>
      <c r="G95" s="529"/>
      <c r="H95" s="529"/>
      <c r="I95" s="529"/>
      <c r="J95" s="529"/>
      <c r="K95" s="529"/>
      <c r="L95" s="529"/>
      <c r="M95" s="529"/>
      <c r="N95" s="529"/>
      <c r="O95" s="529"/>
      <c r="P95" s="529"/>
      <c r="Q95" s="519"/>
    </row>
    <row r="96" spans="2:17" x14ac:dyDescent="0.25">
      <c r="B96" s="520"/>
      <c r="C96" s="521" t="s">
        <v>107</v>
      </c>
      <c r="D96" s="521"/>
      <c r="E96" s="521"/>
      <c r="F96" s="522">
        <v>70</v>
      </c>
      <c r="G96" s="117">
        <v>0</v>
      </c>
      <c r="H96" s="117">
        <v>0</v>
      </c>
      <c r="I96" s="117">
        <v>0</v>
      </c>
      <c r="J96" s="117">
        <v>0</v>
      </c>
      <c r="K96" s="117">
        <v>0</v>
      </c>
      <c r="L96" s="117">
        <v>0</v>
      </c>
      <c r="M96" s="117">
        <v>0</v>
      </c>
      <c r="N96" s="117">
        <v>0</v>
      </c>
      <c r="O96" s="117">
        <v>0</v>
      </c>
      <c r="P96" s="529">
        <f>SUM(G96:O96)</f>
        <v>0</v>
      </c>
      <c r="Q96" s="519"/>
    </row>
    <row r="97" spans="2:17" ht="3.75" customHeight="1" x14ac:dyDescent="0.25">
      <c r="B97" s="520"/>
      <c r="C97" s="728" t="s">
        <v>437</v>
      </c>
      <c r="D97" s="729"/>
      <c r="E97" s="730"/>
      <c r="F97" s="737">
        <v>71</v>
      </c>
      <c r="G97" s="529"/>
      <c r="H97" s="529"/>
      <c r="I97" s="529"/>
      <c r="J97" s="529"/>
      <c r="K97" s="529"/>
      <c r="L97" s="529"/>
      <c r="M97" s="529"/>
      <c r="N97" s="529"/>
      <c r="O97" s="529"/>
      <c r="P97" s="529"/>
      <c r="Q97" s="519"/>
    </row>
    <row r="98" spans="2:17" x14ac:dyDescent="0.25">
      <c r="B98" s="520"/>
      <c r="C98" s="729"/>
      <c r="D98" s="729"/>
      <c r="E98" s="730"/>
      <c r="F98" s="737"/>
      <c r="G98" s="529"/>
      <c r="H98" s="529"/>
      <c r="I98" s="529"/>
      <c r="J98" s="529"/>
      <c r="K98" s="529"/>
      <c r="L98" s="529"/>
      <c r="M98" s="529"/>
      <c r="N98" s="529"/>
      <c r="O98" s="529"/>
      <c r="P98" s="529"/>
      <c r="Q98" s="519"/>
    </row>
    <row r="99" spans="2:17" x14ac:dyDescent="0.25">
      <c r="B99" s="520"/>
      <c r="C99" s="729"/>
      <c r="D99" s="729"/>
      <c r="E99" s="730"/>
      <c r="F99" s="737"/>
      <c r="G99" s="117">
        <v>0</v>
      </c>
      <c r="H99" s="117">
        <v>0</v>
      </c>
      <c r="I99" s="117">
        <v>0</v>
      </c>
      <c r="J99" s="117">
        <v>0</v>
      </c>
      <c r="K99" s="117">
        <v>0</v>
      </c>
      <c r="L99" s="117">
        <v>0</v>
      </c>
      <c r="M99" s="117">
        <v>0</v>
      </c>
      <c r="N99" s="117">
        <v>0</v>
      </c>
      <c r="O99" s="117">
        <v>0</v>
      </c>
      <c r="P99" s="529">
        <f>SUM(G99:O99)</f>
        <v>0</v>
      </c>
      <c r="Q99" s="519"/>
    </row>
    <row r="100" spans="2:17" x14ac:dyDescent="0.25">
      <c r="B100" s="520"/>
      <c r="C100" s="521" t="s">
        <v>108</v>
      </c>
      <c r="D100" s="521"/>
      <c r="E100" s="521"/>
      <c r="F100" s="522">
        <v>72</v>
      </c>
      <c r="G100" s="117">
        <v>0</v>
      </c>
      <c r="H100" s="117">
        <v>0</v>
      </c>
      <c r="I100" s="117">
        <v>0</v>
      </c>
      <c r="J100" s="117">
        <v>0</v>
      </c>
      <c r="K100" s="117">
        <v>0</v>
      </c>
      <c r="L100" s="117">
        <v>0</v>
      </c>
      <c r="M100" s="117">
        <v>0</v>
      </c>
      <c r="N100" s="117">
        <v>0</v>
      </c>
      <c r="O100" s="117">
        <v>0</v>
      </c>
      <c r="P100" s="529">
        <f>SUM(G100:O100)</f>
        <v>0</v>
      </c>
      <c r="Q100" s="519"/>
    </row>
    <row r="101" spans="2:17" x14ac:dyDescent="0.25">
      <c r="B101" s="520"/>
      <c r="C101" s="521" t="s">
        <v>109</v>
      </c>
      <c r="D101" s="530"/>
      <c r="E101" s="521"/>
      <c r="F101" s="522">
        <v>74</v>
      </c>
      <c r="G101" s="117">
        <v>0</v>
      </c>
      <c r="H101" s="117">
        <v>0</v>
      </c>
      <c r="I101" s="117">
        <v>0</v>
      </c>
      <c r="J101" s="117">
        <v>0</v>
      </c>
      <c r="K101" s="117">
        <v>0</v>
      </c>
      <c r="L101" s="117">
        <v>0</v>
      </c>
      <c r="M101" s="117">
        <v>0</v>
      </c>
      <c r="N101" s="117">
        <v>0</v>
      </c>
      <c r="O101" s="117">
        <v>0</v>
      </c>
      <c r="P101" s="529">
        <f>SUM(G101:O101)</f>
        <v>0</v>
      </c>
      <c r="Q101" s="519"/>
    </row>
    <row r="102" spans="2:17" x14ac:dyDescent="0.25">
      <c r="B102" s="520"/>
      <c r="C102" s="521" t="s">
        <v>316</v>
      </c>
      <c r="D102" s="530"/>
      <c r="E102" s="521"/>
      <c r="F102" s="522" t="s">
        <v>317</v>
      </c>
      <c r="G102" s="117">
        <v>0</v>
      </c>
      <c r="H102" s="117">
        <v>0</v>
      </c>
      <c r="I102" s="117">
        <v>0</v>
      </c>
      <c r="J102" s="117">
        <v>0</v>
      </c>
      <c r="K102" s="117">
        <v>0</v>
      </c>
      <c r="L102" s="117">
        <v>0</v>
      </c>
      <c r="M102" s="117">
        <v>0</v>
      </c>
      <c r="N102" s="117">
        <v>0</v>
      </c>
      <c r="O102" s="117">
        <v>0</v>
      </c>
      <c r="P102" s="529">
        <f>SUM(G102:O102)</f>
        <v>0</v>
      </c>
      <c r="Q102" s="519"/>
    </row>
    <row r="103" spans="2:17" x14ac:dyDescent="0.25">
      <c r="B103" s="520"/>
      <c r="C103" s="530"/>
      <c r="D103" s="521"/>
      <c r="E103" s="521"/>
      <c r="F103" s="522"/>
      <c r="G103" s="529"/>
      <c r="H103" s="529"/>
      <c r="I103" s="529"/>
      <c r="J103" s="529"/>
      <c r="K103" s="529"/>
      <c r="L103" s="529"/>
      <c r="M103" s="529"/>
      <c r="N103" s="529"/>
      <c r="O103" s="529"/>
      <c r="P103" s="529"/>
      <c r="Q103" s="519"/>
    </row>
    <row r="104" spans="2:17" x14ac:dyDescent="0.25">
      <c r="B104" s="531" t="s">
        <v>74</v>
      </c>
      <c r="C104" s="532"/>
      <c r="D104" s="525"/>
      <c r="E104" s="525"/>
      <c r="F104" s="526" t="s">
        <v>320</v>
      </c>
      <c r="G104" s="121">
        <f>SUM(G106:G107)</f>
        <v>0</v>
      </c>
      <c r="H104" s="121">
        <f t="shared" ref="H104:P104" si="10">SUM(H106:H107)</f>
        <v>0</v>
      </c>
      <c r="I104" s="121">
        <f t="shared" si="10"/>
        <v>0</v>
      </c>
      <c r="J104" s="121">
        <f t="shared" si="10"/>
        <v>0</v>
      </c>
      <c r="K104" s="121">
        <f t="shared" si="10"/>
        <v>0</v>
      </c>
      <c r="L104" s="121">
        <f t="shared" si="10"/>
        <v>0</v>
      </c>
      <c r="M104" s="121">
        <f t="shared" si="10"/>
        <v>0</v>
      </c>
      <c r="N104" s="121">
        <f t="shared" si="10"/>
        <v>0</v>
      </c>
      <c r="O104" s="121">
        <f t="shared" si="10"/>
        <v>0</v>
      </c>
      <c r="P104" s="527">
        <f t="shared" si="10"/>
        <v>0</v>
      </c>
      <c r="Q104" s="519"/>
    </row>
    <row r="105" spans="2:17" x14ac:dyDescent="0.25">
      <c r="B105" s="531"/>
      <c r="C105" s="532"/>
      <c r="D105" s="525"/>
      <c r="E105" s="525"/>
      <c r="F105" s="526"/>
      <c r="G105" s="121"/>
      <c r="H105" s="121"/>
      <c r="I105" s="121"/>
      <c r="J105" s="121"/>
      <c r="K105" s="121"/>
      <c r="L105" s="121"/>
      <c r="M105" s="121"/>
      <c r="N105" s="121"/>
      <c r="O105" s="121"/>
      <c r="P105" s="527"/>
      <c r="Q105" s="519"/>
    </row>
    <row r="106" spans="2:17" ht="14.1" customHeight="1" x14ac:dyDescent="0.25">
      <c r="B106" s="520"/>
      <c r="C106" s="533" t="s">
        <v>326</v>
      </c>
      <c r="D106" s="521"/>
      <c r="E106" s="521"/>
      <c r="F106" s="522">
        <v>75</v>
      </c>
      <c r="G106" s="117">
        <v>0</v>
      </c>
      <c r="H106" s="117">
        <v>0</v>
      </c>
      <c r="I106" s="117">
        <v>0</v>
      </c>
      <c r="J106" s="117">
        <v>0</v>
      </c>
      <c r="K106" s="117">
        <v>0</v>
      </c>
      <c r="L106" s="117">
        <v>0</v>
      </c>
      <c r="M106" s="117">
        <v>0</v>
      </c>
      <c r="N106" s="117">
        <v>0</v>
      </c>
      <c r="O106" s="117">
        <v>0</v>
      </c>
      <c r="P106" s="529">
        <f>SUM(G106:O106)</f>
        <v>0</v>
      </c>
      <c r="Q106" s="519"/>
    </row>
    <row r="107" spans="2:17" ht="14.1" customHeight="1" x14ac:dyDescent="0.25">
      <c r="B107" s="520"/>
      <c r="C107" s="521" t="s">
        <v>327</v>
      </c>
      <c r="D107" s="521"/>
      <c r="E107" s="521"/>
      <c r="F107" s="522" t="s">
        <v>321</v>
      </c>
      <c r="G107" s="117">
        <v>0</v>
      </c>
      <c r="H107" s="117">
        <v>0</v>
      </c>
      <c r="I107" s="117">
        <v>0</v>
      </c>
      <c r="J107" s="117">
        <v>0</v>
      </c>
      <c r="K107" s="117">
        <v>0</v>
      </c>
      <c r="L107" s="117">
        <v>0</v>
      </c>
      <c r="M107" s="117">
        <v>0</v>
      </c>
      <c r="N107" s="117">
        <v>0</v>
      </c>
      <c r="O107" s="117">
        <v>0</v>
      </c>
      <c r="P107" s="529">
        <f>SUM(G107:O107)</f>
        <v>0</v>
      </c>
      <c r="Q107" s="519"/>
    </row>
    <row r="108" spans="2:17" x14ac:dyDescent="0.25">
      <c r="B108" s="534"/>
      <c r="C108" s="535"/>
      <c r="D108" s="536"/>
      <c r="E108" s="536"/>
      <c r="F108" s="537"/>
      <c r="G108" s="538"/>
      <c r="H108" s="538"/>
      <c r="I108" s="538"/>
      <c r="J108" s="538"/>
      <c r="K108" s="538"/>
      <c r="L108" s="538"/>
      <c r="M108" s="538"/>
      <c r="N108" s="538"/>
      <c r="O108" s="538"/>
      <c r="P108" s="527"/>
      <c r="Q108" s="519"/>
    </row>
    <row r="109" spans="2:17" x14ac:dyDescent="0.25">
      <c r="B109" s="724" t="s">
        <v>203</v>
      </c>
      <c r="C109" s="725"/>
      <c r="D109" s="725"/>
      <c r="E109" s="726"/>
      <c r="F109" s="727">
        <v>78</v>
      </c>
      <c r="G109" s="527"/>
      <c r="H109" s="527"/>
      <c r="I109" s="527"/>
      <c r="J109" s="527"/>
      <c r="K109" s="527"/>
      <c r="L109" s="527"/>
      <c r="M109" s="527"/>
      <c r="N109" s="527"/>
      <c r="O109" s="527"/>
      <c r="P109" s="527"/>
      <c r="Q109" s="519"/>
    </row>
    <row r="110" spans="2:17" x14ac:dyDescent="0.25">
      <c r="B110" s="724"/>
      <c r="C110" s="725"/>
      <c r="D110" s="725"/>
      <c r="E110" s="726"/>
      <c r="F110" s="727"/>
      <c r="G110" s="12">
        <v>0</v>
      </c>
      <c r="H110" s="12">
        <v>0</v>
      </c>
      <c r="I110" s="12">
        <v>0</v>
      </c>
      <c r="J110" s="12">
        <v>0</v>
      </c>
      <c r="K110" s="12">
        <v>0</v>
      </c>
      <c r="L110" s="12">
        <v>0</v>
      </c>
      <c r="M110" s="12">
        <v>0</v>
      </c>
      <c r="N110" s="12">
        <v>0</v>
      </c>
      <c r="O110" s="12">
        <v>0</v>
      </c>
      <c r="P110" s="527">
        <f>SUM(G110:O110)</f>
        <v>0</v>
      </c>
      <c r="Q110" s="519"/>
    </row>
    <row r="111" spans="2:17" x14ac:dyDescent="0.25">
      <c r="B111" s="534"/>
      <c r="C111" s="536"/>
      <c r="D111" s="536"/>
      <c r="E111" s="536"/>
      <c r="F111" s="537"/>
      <c r="G111" s="538"/>
      <c r="H111" s="538"/>
      <c r="I111" s="538"/>
      <c r="J111" s="538"/>
      <c r="K111" s="538"/>
      <c r="L111" s="538"/>
      <c r="M111" s="538"/>
      <c r="N111" s="538"/>
      <c r="O111" s="538"/>
      <c r="P111" s="527"/>
      <c r="Q111" s="519"/>
    </row>
    <row r="112" spans="2:17" ht="12.75" customHeight="1" x14ac:dyDescent="0.25">
      <c r="B112" s="724" t="s">
        <v>438</v>
      </c>
      <c r="C112" s="725"/>
      <c r="D112" s="725"/>
      <c r="E112" s="726"/>
      <c r="F112" s="727">
        <v>77</v>
      </c>
      <c r="G112" s="527"/>
      <c r="H112" s="527"/>
      <c r="I112" s="527"/>
      <c r="J112" s="527"/>
      <c r="K112" s="527"/>
      <c r="L112" s="527"/>
      <c r="M112" s="527"/>
      <c r="N112" s="527"/>
      <c r="O112" s="527"/>
      <c r="P112" s="527"/>
      <c r="Q112" s="519"/>
    </row>
    <row r="113" spans="2:17" x14ac:dyDescent="0.25">
      <c r="B113" s="724"/>
      <c r="C113" s="725"/>
      <c r="D113" s="725"/>
      <c r="E113" s="726"/>
      <c r="F113" s="727"/>
      <c r="G113" s="12">
        <v>0</v>
      </c>
      <c r="H113" s="12">
        <v>0</v>
      </c>
      <c r="I113" s="12">
        <v>0</v>
      </c>
      <c r="J113" s="12">
        <v>0</v>
      </c>
      <c r="K113" s="12">
        <v>0</v>
      </c>
      <c r="L113" s="12">
        <v>0</v>
      </c>
      <c r="M113" s="12">
        <v>0</v>
      </c>
      <c r="N113" s="12">
        <v>0</v>
      </c>
      <c r="O113" s="12">
        <v>0</v>
      </c>
      <c r="P113" s="527">
        <f>SUM(G113:O113)</f>
        <v>0</v>
      </c>
      <c r="Q113" s="519"/>
    </row>
    <row r="114" spans="2:17" x14ac:dyDescent="0.25">
      <c r="B114" s="534"/>
      <c r="C114" s="536"/>
      <c r="D114" s="536"/>
      <c r="E114" s="536"/>
      <c r="F114" s="539"/>
      <c r="G114" s="538"/>
      <c r="H114" s="538"/>
      <c r="I114" s="538"/>
      <c r="J114" s="538"/>
      <c r="K114" s="538"/>
      <c r="L114" s="538"/>
      <c r="M114" s="538"/>
      <c r="N114" s="538"/>
      <c r="O114" s="538"/>
      <c r="P114" s="527"/>
      <c r="Q114" s="519"/>
    </row>
    <row r="115" spans="2:17" x14ac:dyDescent="0.25">
      <c r="B115" s="531" t="s">
        <v>204</v>
      </c>
      <c r="C115" s="525"/>
      <c r="D115" s="532"/>
      <c r="E115" s="525"/>
      <c r="F115" s="540"/>
      <c r="G115" s="12">
        <v>0</v>
      </c>
      <c r="H115" s="12">
        <v>0</v>
      </c>
      <c r="I115" s="12">
        <v>0</v>
      </c>
      <c r="J115" s="12">
        <v>0</v>
      </c>
      <c r="K115" s="12">
        <v>0</v>
      </c>
      <c r="L115" s="12">
        <v>0</v>
      </c>
      <c r="M115" s="12">
        <v>0</v>
      </c>
      <c r="N115" s="12">
        <v>0</v>
      </c>
      <c r="O115" s="12">
        <v>0</v>
      </c>
      <c r="P115" s="527">
        <f>SUM(G115:O115)</f>
        <v>0</v>
      </c>
      <c r="Q115" s="519"/>
    </row>
    <row r="116" spans="2:17" x14ac:dyDescent="0.25">
      <c r="B116" s="520"/>
      <c r="C116" s="521"/>
      <c r="D116" s="521"/>
      <c r="E116" s="521"/>
      <c r="F116" s="541"/>
      <c r="G116" s="542"/>
      <c r="H116" s="542"/>
      <c r="I116" s="542"/>
      <c r="J116" s="542"/>
      <c r="K116" s="542"/>
      <c r="L116" s="542"/>
      <c r="M116" s="542"/>
      <c r="N116" s="542"/>
      <c r="O116" s="542"/>
      <c r="P116" s="542"/>
      <c r="Q116" s="519"/>
    </row>
    <row r="117" spans="2:17" ht="15.6" x14ac:dyDescent="0.25">
      <c r="B117" s="543"/>
      <c r="C117" s="544"/>
      <c r="D117" s="544"/>
      <c r="E117" s="545"/>
      <c r="F117" s="546"/>
      <c r="G117" s="547"/>
      <c r="H117" s="547"/>
      <c r="I117" s="547"/>
      <c r="J117" s="547"/>
      <c r="K117" s="547"/>
      <c r="L117" s="547"/>
      <c r="M117" s="547"/>
      <c r="N117" s="547"/>
      <c r="O117" s="547"/>
      <c r="P117" s="547"/>
      <c r="Q117" s="519"/>
    </row>
    <row r="118" spans="2:17" ht="13.8" x14ac:dyDescent="0.25">
      <c r="B118" s="548"/>
      <c r="C118" s="549"/>
      <c r="D118" s="549"/>
      <c r="E118" s="550" t="s">
        <v>16</v>
      </c>
      <c r="F118" s="551"/>
      <c r="G118" s="552">
        <f>SUM(G94,G104,G110,G113,G115)</f>
        <v>0</v>
      </c>
      <c r="H118" s="552">
        <f t="shared" ref="H118:P118" si="11">SUM(H94,H104,H110,H113,H115)</f>
        <v>0</v>
      </c>
      <c r="I118" s="552">
        <f t="shared" si="11"/>
        <v>0</v>
      </c>
      <c r="J118" s="552">
        <f t="shared" si="11"/>
        <v>0</v>
      </c>
      <c r="K118" s="552">
        <f t="shared" si="11"/>
        <v>0</v>
      </c>
      <c r="L118" s="552">
        <f t="shared" si="11"/>
        <v>0</v>
      </c>
      <c r="M118" s="552">
        <f t="shared" si="11"/>
        <v>0</v>
      </c>
      <c r="N118" s="552">
        <f t="shared" si="11"/>
        <v>0</v>
      </c>
      <c r="O118" s="552">
        <f t="shared" si="11"/>
        <v>0</v>
      </c>
      <c r="P118" s="552">
        <f t="shared" si="11"/>
        <v>0</v>
      </c>
      <c r="Q118" s="519"/>
    </row>
    <row r="119" spans="2:17" ht="16.2" thickBot="1" x14ac:dyDescent="0.3">
      <c r="B119" s="553"/>
      <c r="C119" s="554"/>
      <c r="D119" s="554"/>
      <c r="E119" s="555"/>
      <c r="F119" s="556"/>
      <c r="G119" s="557"/>
      <c r="H119" s="557"/>
      <c r="I119" s="557"/>
      <c r="J119" s="557"/>
      <c r="K119" s="557"/>
      <c r="L119" s="557"/>
      <c r="M119" s="557"/>
      <c r="N119" s="557"/>
      <c r="O119" s="557"/>
      <c r="P119" s="557"/>
      <c r="Q119" s="519"/>
    </row>
    <row r="120" spans="2:17" ht="13.8" thickTop="1" x14ac:dyDescent="0.25">
      <c r="B120" s="558"/>
      <c r="C120" s="521"/>
      <c r="D120" s="521"/>
      <c r="E120" s="521"/>
      <c r="G120" s="558"/>
      <c r="H120" s="558"/>
      <c r="I120" s="558"/>
      <c r="J120" s="558"/>
      <c r="K120" s="558"/>
      <c r="L120" s="558"/>
      <c r="M120" s="558"/>
      <c r="N120" s="558"/>
      <c r="O120" s="558"/>
      <c r="P120" s="521"/>
      <c r="Q120" s="519"/>
    </row>
    <row r="121" spans="2:17" ht="13.8" thickBot="1" x14ac:dyDescent="0.3">
      <c r="B121" s="558"/>
      <c r="C121" s="521"/>
      <c r="D121" s="521"/>
      <c r="E121" s="521"/>
      <c r="G121" s="558"/>
      <c r="H121" s="558"/>
      <c r="I121" s="558"/>
      <c r="J121" s="558"/>
      <c r="K121" s="558"/>
      <c r="L121" s="558"/>
      <c r="M121" s="558"/>
      <c r="N121" s="558"/>
      <c r="O121" s="558"/>
      <c r="P121" s="521"/>
      <c r="Q121" s="519"/>
    </row>
    <row r="122" spans="2:17" s="434" customFormat="1" ht="13.8" thickTop="1" x14ac:dyDescent="0.25">
      <c r="B122" s="731" t="s">
        <v>110</v>
      </c>
      <c r="C122" s="732"/>
      <c r="D122" s="732"/>
      <c r="E122" s="733"/>
      <c r="F122" s="748" t="s">
        <v>17</v>
      </c>
      <c r="G122" s="710" t="s">
        <v>105</v>
      </c>
      <c r="H122" s="743"/>
      <c r="I122" s="743"/>
      <c r="J122" s="743"/>
      <c r="K122" s="710" t="s">
        <v>355</v>
      </c>
      <c r="L122" s="743"/>
      <c r="M122" s="743"/>
      <c r="N122" s="743"/>
      <c r="O122" s="717" t="s">
        <v>84</v>
      </c>
      <c r="P122" s="717" t="s">
        <v>16</v>
      </c>
      <c r="Q122" s="509"/>
    </row>
    <row r="123" spans="2:17" s="434" customFormat="1" x14ac:dyDescent="0.25">
      <c r="B123" s="734"/>
      <c r="C123" s="735"/>
      <c r="D123" s="735"/>
      <c r="E123" s="736"/>
      <c r="F123" s="749"/>
      <c r="G123" s="711"/>
      <c r="H123" s="744"/>
      <c r="I123" s="744"/>
      <c r="J123" s="744"/>
      <c r="K123" s="711"/>
      <c r="L123" s="744"/>
      <c r="M123" s="744"/>
      <c r="N123" s="744"/>
      <c r="O123" s="718"/>
      <c r="P123" s="718"/>
      <c r="Q123" s="509"/>
    </row>
    <row r="124" spans="2:17" s="434" customFormat="1" ht="31.5" customHeight="1" x14ac:dyDescent="0.25">
      <c r="B124" s="510"/>
      <c r="C124" s="511"/>
      <c r="D124" s="511"/>
      <c r="E124" s="511"/>
      <c r="F124" s="512"/>
      <c r="G124" s="513" t="s">
        <v>205</v>
      </c>
      <c r="H124" s="513" t="s">
        <v>206</v>
      </c>
      <c r="I124" s="513" t="s">
        <v>207</v>
      </c>
      <c r="J124" s="513" t="s">
        <v>138</v>
      </c>
      <c r="K124" s="513" t="s">
        <v>205</v>
      </c>
      <c r="L124" s="513" t="s">
        <v>206</v>
      </c>
      <c r="M124" s="513" t="s">
        <v>207</v>
      </c>
      <c r="N124" s="513" t="s">
        <v>138</v>
      </c>
      <c r="O124" s="514"/>
      <c r="P124" s="514"/>
      <c r="Q124" s="509"/>
    </row>
    <row r="125" spans="2:17" x14ac:dyDescent="0.25">
      <c r="B125" s="515"/>
      <c r="C125" s="516"/>
      <c r="D125" s="516"/>
      <c r="E125" s="516"/>
      <c r="F125" s="517"/>
      <c r="G125" s="518"/>
      <c r="H125" s="518"/>
      <c r="I125" s="518"/>
      <c r="J125" s="518"/>
      <c r="K125" s="518"/>
      <c r="L125" s="518"/>
      <c r="M125" s="518"/>
      <c r="N125" s="518"/>
      <c r="O125" s="518"/>
      <c r="P125" s="518"/>
      <c r="Q125" s="519"/>
    </row>
    <row r="126" spans="2:17" x14ac:dyDescent="0.25">
      <c r="B126" s="520"/>
      <c r="C126" s="521"/>
      <c r="D126" s="521"/>
      <c r="E126" s="521"/>
      <c r="F126" s="541"/>
      <c r="G126" s="523"/>
      <c r="H126" s="523"/>
      <c r="I126" s="523"/>
      <c r="J126" s="523"/>
      <c r="K126" s="523"/>
      <c r="L126" s="523"/>
      <c r="M126" s="523"/>
      <c r="N126" s="523"/>
      <c r="O126" s="523"/>
      <c r="P126" s="523"/>
      <c r="Q126" s="519"/>
    </row>
    <row r="127" spans="2:17" x14ac:dyDescent="0.25">
      <c r="B127" s="524" t="s">
        <v>208</v>
      </c>
      <c r="C127" s="525"/>
      <c r="D127" s="525"/>
      <c r="E127" s="525"/>
      <c r="F127" s="526" t="s">
        <v>325</v>
      </c>
      <c r="G127" s="527">
        <f>SUM(G129,G130,G131,G133,G136,G138,G139,G141,G142)</f>
        <v>0</v>
      </c>
      <c r="H127" s="527">
        <f t="shared" ref="H127:P127" si="12">SUM(H129,H130,H131,H133,H136,H138,H139,H141,H142)</f>
        <v>0</v>
      </c>
      <c r="I127" s="527">
        <f t="shared" si="12"/>
        <v>0</v>
      </c>
      <c r="J127" s="527">
        <f t="shared" si="12"/>
        <v>0</v>
      </c>
      <c r="K127" s="527">
        <f t="shared" si="12"/>
        <v>0</v>
      </c>
      <c r="L127" s="527">
        <f t="shared" si="12"/>
        <v>0</v>
      </c>
      <c r="M127" s="527">
        <f t="shared" si="12"/>
        <v>0</v>
      </c>
      <c r="N127" s="527">
        <f t="shared" si="12"/>
        <v>0</v>
      </c>
      <c r="O127" s="527">
        <f t="shared" si="12"/>
        <v>0</v>
      </c>
      <c r="P127" s="527">
        <f t="shared" si="12"/>
        <v>0</v>
      </c>
      <c r="Q127" s="519"/>
    </row>
    <row r="128" spans="2:17" x14ac:dyDescent="0.25">
      <c r="B128" s="528"/>
      <c r="C128" s="521"/>
      <c r="D128" s="521"/>
      <c r="E128" s="521"/>
      <c r="F128" s="522"/>
      <c r="G128" s="529"/>
      <c r="H128" s="529"/>
      <c r="I128" s="529"/>
      <c r="J128" s="529"/>
      <c r="K128" s="529"/>
      <c r="L128" s="529"/>
      <c r="M128" s="529"/>
      <c r="N128" s="529"/>
      <c r="O128" s="529"/>
      <c r="P128" s="529"/>
      <c r="Q128" s="519"/>
    </row>
    <row r="129" spans="2:17" x14ac:dyDescent="0.25">
      <c r="B129" s="520"/>
      <c r="C129" s="521" t="s">
        <v>111</v>
      </c>
      <c r="D129" s="521"/>
      <c r="E129" s="521"/>
      <c r="F129" s="522">
        <v>60</v>
      </c>
      <c r="G129" s="117">
        <v>0</v>
      </c>
      <c r="H129" s="117">
        <v>0</v>
      </c>
      <c r="I129" s="117">
        <v>0</v>
      </c>
      <c r="J129" s="117">
        <v>0</v>
      </c>
      <c r="K129" s="117">
        <v>0</v>
      </c>
      <c r="L129" s="117">
        <v>0</v>
      </c>
      <c r="M129" s="117">
        <v>0</v>
      </c>
      <c r="N129" s="117">
        <v>0</v>
      </c>
      <c r="O129" s="117">
        <v>0</v>
      </c>
      <c r="P129" s="529">
        <f>SUM(G129:O129)</f>
        <v>0</v>
      </c>
      <c r="Q129" s="519"/>
    </row>
    <row r="130" spans="2:17" x14ac:dyDescent="0.25">
      <c r="B130" s="520"/>
      <c r="C130" s="530" t="s">
        <v>112</v>
      </c>
      <c r="D130" s="521"/>
      <c r="E130" s="521"/>
      <c r="F130" s="522">
        <v>61</v>
      </c>
      <c r="G130" s="117">
        <v>0</v>
      </c>
      <c r="H130" s="117">
        <v>0</v>
      </c>
      <c r="I130" s="117">
        <v>0</v>
      </c>
      <c r="J130" s="117">
        <v>0</v>
      </c>
      <c r="K130" s="117">
        <v>0</v>
      </c>
      <c r="L130" s="117">
        <v>0</v>
      </c>
      <c r="M130" s="117">
        <v>0</v>
      </c>
      <c r="N130" s="117">
        <v>0</v>
      </c>
      <c r="O130" s="117">
        <v>0</v>
      </c>
      <c r="P130" s="529">
        <f>SUM(G130:O130)</f>
        <v>0</v>
      </c>
      <c r="Q130" s="519"/>
    </row>
    <row r="131" spans="2:17" x14ac:dyDescent="0.25">
      <c r="B131" s="520"/>
      <c r="C131" s="521" t="s">
        <v>113</v>
      </c>
      <c r="D131" s="521"/>
      <c r="E131" s="521"/>
      <c r="F131" s="522">
        <v>62</v>
      </c>
      <c r="G131" s="117">
        <v>0</v>
      </c>
      <c r="H131" s="117">
        <v>0</v>
      </c>
      <c r="I131" s="117">
        <v>0</v>
      </c>
      <c r="J131" s="117">
        <v>0</v>
      </c>
      <c r="K131" s="117">
        <v>0</v>
      </c>
      <c r="L131" s="117">
        <v>0</v>
      </c>
      <c r="M131" s="117">
        <v>0</v>
      </c>
      <c r="N131" s="117">
        <v>0</v>
      </c>
      <c r="O131" s="117">
        <v>0</v>
      </c>
      <c r="P131" s="529">
        <f>SUM(G131:O131)</f>
        <v>0</v>
      </c>
      <c r="Q131" s="519"/>
    </row>
    <row r="132" spans="2:17" ht="12.75" customHeight="1" x14ac:dyDescent="0.25">
      <c r="B132" s="520"/>
      <c r="C132" s="745" t="s">
        <v>209</v>
      </c>
      <c r="D132" s="745"/>
      <c r="E132" s="746"/>
      <c r="F132" s="747">
        <v>630</v>
      </c>
      <c r="G132" s="529"/>
      <c r="H132" s="529"/>
      <c r="I132" s="529"/>
      <c r="J132" s="529"/>
      <c r="K132" s="529"/>
      <c r="L132" s="529"/>
      <c r="M132" s="529"/>
      <c r="N132" s="529"/>
      <c r="O132" s="529"/>
      <c r="P132" s="529"/>
      <c r="Q132" s="519"/>
    </row>
    <row r="133" spans="2:17" x14ac:dyDescent="0.25">
      <c r="B133" s="520"/>
      <c r="C133" s="745"/>
      <c r="D133" s="745"/>
      <c r="E133" s="746"/>
      <c r="F133" s="747"/>
      <c r="G133" s="117">
        <v>0</v>
      </c>
      <c r="H133" s="117">
        <v>0</v>
      </c>
      <c r="I133" s="117">
        <v>0</v>
      </c>
      <c r="J133" s="117">
        <v>0</v>
      </c>
      <c r="K133" s="117">
        <v>0</v>
      </c>
      <c r="L133" s="117">
        <v>0</v>
      </c>
      <c r="M133" s="117">
        <v>0</v>
      </c>
      <c r="N133" s="117">
        <v>0</v>
      </c>
      <c r="O133" s="117">
        <v>0</v>
      </c>
      <c r="P133" s="529">
        <f>SUM(G133:O133)</f>
        <v>0</v>
      </c>
      <c r="Q133" s="519"/>
    </row>
    <row r="134" spans="2:17" ht="12.75" customHeight="1" x14ac:dyDescent="0.25">
      <c r="B134" s="520"/>
      <c r="C134" s="745" t="s">
        <v>210</v>
      </c>
      <c r="D134" s="745"/>
      <c r="E134" s="746"/>
      <c r="F134" s="747" t="s">
        <v>18</v>
      </c>
      <c r="G134" s="529"/>
      <c r="H134" s="529"/>
      <c r="I134" s="529"/>
      <c r="J134" s="529"/>
      <c r="K134" s="529"/>
      <c r="L134" s="529"/>
      <c r="M134" s="529"/>
      <c r="N134" s="529"/>
      <c r="O134" s="529"/>
      <c r="P134" s="529"/>
      <c r="Q134" s="519"/>
    </row>
    <row r="135" spans="2:17" x14ac:dyDescent="0.25">
      <c r="B135" s="520"/>
      <c r="C135" s="745"/>
      <c r="D135" s="745"/>
      <c r="E135" s="746"/>
      <c r="F135" s="747"/>
      <c r="G135" s="529"/>
      <c r="H135" s="529"/>
      <c r="I135" s="529"/>
      <c r="J135" s="529"/>
      <c r="K135" s="529"/>
      <c r="L135" s="529"/>
      <c r="M135" s="529"/>
      <c r="N135" s="529"/>
      <c r="O135" s="529"/>
      <c r="P135" s="529"/>
      <c r="Q135" s="519"/>
    </row>
    <row r="136" spans="2:17" ht="15" customHeight="1" x14ac:dyDescent="0.25">
      <c r="B136" s="520"/>
      <c r="C136" s="745"/>
      <c r="D136" s="745"/>
      <c r="E136" s="746"/>
      <c r="F136" s="747"/>
      <c r="G136" s="117">
        <v>0</v>
      </c>
      <c r="H136" s="117">
        <v>0</v>
      </c>
      <c r="I136" s="117">
        <v>0</v>
      </c>
      <c r="J136" s="117">
        <v>0</v>
      </c>
      <c r="K136" s="117">
        <v>0</v>
      </c>
      <c r="L136" s="117">
        <v>0</v>
      </c>
      <c r="M136" s="117">
        <v>0</v>
      </c>
      <c r="N136" s="117">
        <v>0</v>
      </c>
      <c r="O136" s="117">
        <v>0</v>
      </c>
      <c r="P136" s="529">
        <f>SUM(G136:O136)</f>
        <v>0</v>
      </c>
      <c r="Q136" s="519"/>
    </row>
    <row r="137" spans="2:17" ht="12.75" customHeight="1" x14ac:dyDescent="0.25">
      <c r="B137" s="520"/>
      <c r="C137" s="745" t="s">
        <v>211</v>
      </c>
      <c r="D137" s="745"/>
      <c r="E137" s="746"/>
      <c r="F137" s="747" t="s">
        <v>233</v>
      </c>
      <c r="G137" s="529"/>
      <c r="H137" s="529"/>
      <c r="I137" s="529"/>
      <c r="J137" s="529"/>
      <c r="K137" s="529"/>
      <c r="L137" s="529"/>
      <c r="M137" s="529"/>
      <c r="N137" s="529"/>
      <c r="O137" s="529"/>
      <c r="P137" s="529"/>
      <c r="Q137" s="519"/>
    </row>
    <row r="138" spans="2:17" ht="16.5" customHeight="1" x14ac:dyDescent="0.25">
      <c r="B138" s="520"/>
      <c r="C138" s="745"/>
      <c r="D138" s="745"/>
      <c r="E138" s="746"/>
      <c r="F138" s="747"/>
      <c r="G138" s="117">
        <v>0</v>
      </c>
      <c r="H138" s="117">
        <v>0</v>
      </c>
      <c r="I138" s="117">
        <v>0</v>
      </c>
      <c r="J138" s="117">
        <v>0</v>
      </c>
      <c r="K138" s="117">
        <v>0</v>
      </c>
      <c r="L138" s="117">
        <v>0</v>
      </c>
      <c r="M138" s="117">
        <v>0</v>
      </c>
      <c r="N138" s="117">
        <v>0</v>
      </c>
      <c r="O138" s="117">
        <v>0</v>
      </c>
      <c r="P138" s="529">
        <f>SUM(G138:O138)</f>
        <v>0</v>
      </c>
      <c r="Q138" s="519"/>
    </row>
    <row r="139" spans="2:17" x14ac:dyDescent="0.25">
      <c r="B139" s="520"/>
      <c r="C139" s="521" t="s">
        <v>114</v>
      </c>
      <c r="D139" s="521"/>
      <c r="E139" s="521"/>
      <c r="F139" s="522" t="s">
        <v>19</v>
      </c>
      <c r="G139" s="117">
        <v>0</v>
      </c>
      <c r="H139" s="117">
        <v>0</v>
      </c>
      <c r="I139" s="117">
        <v>0</v>
      </c>
      <c r="J139" s="117">
        <v>0</v>
      </c>
      <c r="K139" s="117">
        <v>0</v>
      </c>
      <c r="L139" s="117">
        <v>0</v>
      </c>
      <c r="M139" s="117">
        <v>0</v>
      </c>
      <c r="N139" s="117">
        <v>0</v>
      </c>
      <c r="O139" s="117">
        <v>0</v>
      </c>
      <c r="P139" s="529">
        <f>SUM(G139:O139)</f>
        <v>0</v>
      </c>
      <c r="Q139" s="519"/>
    </row>
    <row r="140" spans="2:17" ht="12.6" customHeight="1" x14ac:dyDescent="0.25">
      <c r="B140" s="520"/>
      <c r="C140" s="745" t="s">
        <v>230</v>
      </c>
      <c r="D140" s="745"/>
      <c r="E140" s="746"/>
      <c r="F140" s="747">
        <v>649</v>
      </c>
      <c r="G140" s="529"/>
      <c r="H140" s="529"/>
      <c r="I140" s="529"/>
      <c r="J140" s="529"/>
      <c r="K140" s="529"/>
      <c r="L140" s="529"/>
      <c r="M140" s="529"/>
      <c r="N140" s="529"/>
      <c r="O140" s="529"/>
      <c r="P140" s="529"/>
      <c r="Q140" s="519"/>
    </row>
    <row r="141" spans="2:17" x14ac:dyDescent="0.25">
      <c r="B141" s="520"/>
      <c r="C141" s="745"/>
      <c r="D141" s="745"/>
      <c r="E141" s="746"/>
      <c r="F141" s="747"/>
      <c r="G141" s="117">
        <v>0</v>
      </c>
      <c r="H141" s="117">
        <v>0</v>
      </c>
      <c r="I141" s="117">
        <v>0</v>
      </c>
      <c r="J141" s="117">
        <v>0</v>
      </c>
      <c r="K141" s="117">
        <v>0</v>
      </c>
      <c r="L141" s="117">
        <v>0</v>
      </c>
      <c r="M141" s="117">
        <v>0</v>
      </c>
      <c r="N141" s="117">
        <v>0</v>
      </c>
      <c r="O141" s="117">
        <v>0</v>
      </c>
      <c r="P141" s="529">
        <f>SUM(G141:O141)</f>
        <v>0</v>
      </c>
      <c r="Q141" s="519"/>
    </row>
    <row r="142" spans="2:17" x14ac:dyDescent="0.25">
      <c r="B142" s="520"/>
      <c r="C142" s="521" t="s">
        <v>318</v>
      </c>
      <c r="D142" s="521"/>
      <c r="E142" s="521"/>
      <c r="F142" s="522" t="s">
        <v>319</v>
      </c>
      <c r="G142" s="117">
        <v>0</v>
      </c>
      <c r="H142" s="117">
        <v>0</v>
      </c>
      <c r="I142" s="117">
        <v>0</v>
      </c>
      <c r="J142" s="117">
        <v>0</v>
      </c>
      <c r="K142" s="117">
        <v>0</v>
      </c>
      <c r="L142" s="117">
        <v>0</v>
      </c>
      <c r="M142" s="117">
        <v>0</v>
      </c>
      <c r="N142" s="117">
        <v>0</v>
      </c>
      <c r="O142" s="117">
        <v>0</v>
      </c>
      <c r="P142" s="529">
        <f>SUM(G142:O142)</f>
        <v>0</v>
      </c>
      <c r="Q142" s="519"/>
    </row>
    <row r="143" spans="2:17" x14ac:dyDescent="0.25">
      <c r="B143" s="520"/>
      <c r="C143" s="530"/>
      <c r="D143" s="521"/>
      <c r="E143" s="521"/>
      <c r="F143" s="522"/>
      <c r="G143" s="529"/>
      <c r="H143" s="529"/>
      <c r="I143" s="529"/>
      <c r="J143" s="529"/>
      <c r="K143" s="529"/>
      <c r="L143" s="529"/>
      <c r="M143" s="529"/>
      <c r="N143" s="529"/>
      <c r="O143" s="529"/>
      <c r="P143" s="529"/>
      <c r="Q143" s="519"/>
    </row>
    <row r="144" spans="2:17" x14ac:dyDescent="0.25">
      <c r="B144" s="531" t="s">
        <v>73</v>
      </c>
      <c r="C144" s="532"/>
      <c r="D144" s="525"/>
      <c r="E144" s="525"/>
      <c r="F144" s="526" t="s">
        <v>323</v>
      </c>
      <c r="G144" s="121">
        <f>SUM(G146:G147)</f>
        <v>0</v>
      </c>
      <c r="H144" s="121">
        <f t="shared" ref="H144:P144" si="13">SUM(H146:H147)</f>
        <v>0</v>
      </c>
      <c r="I144" s="121">
        <f t="shared" si="13"/>
        <v>0</v>
      </c>
      <c r="J144" s="121">
        <f t="shared" si="13"/>
        <v>0</v>
      </c>
      <c r="K144" s="121">
        <f t="shared" si="13"/>
        <v>0</v>
      </c>
      <c r="L144" s="121">
        <f t="shared" si="13"/>
        <v>0</v>
      </c>
      <c r="M144" s="121">
        <f t="shared" si="13"/>
        <v>0</v>
      </c>
      <c r="N144" s="121">
        <f t="shared" si="13"/>
        <v>0</v>
      </c>
      <c r="O144" s="121">
        <f t="shared" si="13"/>
        <v>0</v>
      </c>
      <c r="P144" s="527">
        <f t="shared" si="13"/>
        <v>0</v>
      </c>
      <c r="Q144" s="519"/>
    </row>
    <row r="145" spans="2:17" x14ac:dyDescent="0.25">
      <c r="B145" s="531"/>
      <c r="C145" s="532"/>
      <c r="D145" s="525"/>
      <c r="E145" s="525"/>
      <c r="F145" s="526"/>
      <c r="G145" s="121"/>
      <c r="H145" s="121"/>
      <c r="I145" s="121"/>
      <c r="J145" s="121"/>
      <c r="K145" s="121"/>
      <c r="L145" s="121"/>
      <c r="M145" s="121"/>
      <c r="N145" s="121"/>
      <c r="O145" s="121"/>
      <c r="P145" s="527"/>
      <c r="Q145" s="519"/>
    </row>
    <row r="146" spans="2:17" ht="14.1" customHeight="1" x14ac:dyDescent="0.25">
      <c r="B146" s="520"/>
      <c r="C146" s="521" t="s">
        <v>328</v>
      </c>
      <c r="D146" s="521"/>
      <c r="E146" s="521"/>
      <c r="F146" s="522">
        <v>65</v>
      </c>
      <c r="G146" s="117">
        <v>0</v>
      </c>
      <c r="H146" s="117">
        <v>0</v>
      </c>
      <c r="I146" s="117">
        <v>0</v>
      </c>
      <c r="J146" s="117">
        <v>0</v>
      </c>
      <c r="K146" s="117">
        <v>0</v>
      </c>
      <c r="L146" s="117">
        <v>0</v>
      </c>
      <c r="M146" s="117">
        <v>0</v>
      </c>
      <c r="N146" s="117">
        <v>0</v>
      </c>
      <c r="O146" s="117">
        <v>0</v>
      </c>
      <c r="P146" s="529">
        <f>SUM(G146:O146)</f>
        <v>0</v>
      </c>
      <c r="Q146" s="519"/>
    </row>
    <row r="147" spans="2:17" ht="14.1" customHeight="1" x14ac:dyDescent="0.25">
      <c r="B147" s="520"/>
      <c r="C147" s="521" t="s">
        <v>329</v>
      </c>
      <c r="D147" s="521"/>
      <c r="E147" s="521"/>
      <c r="F147" s="522" t="s">
        <v>322</v>
      </c>
      <c r="G147" s="117">
        <v>0</v>
      </c>
      <c r="H147" s="117">
        <v>0</v>
      </c>
      <c r="I147" s="117">
        <v>0</v>
      </c>
      <c r="J147" s="117">
        <v>0</v>
      </c>
      <c r="K147" s="117">
        <v>0</v>
      </c>
      <c r="L147" s="117">
        <v>0</v>
      </c>
      <c r="M147" s="117">
        <v>0</v>
      </c>
      <c r="N147" s="117">
        <v>0</v>
      </c>
      <c r="O147" s="117">
        <v>0</v>
      </c>
      <c r="P147" s="529">
        <f>SUM(G147:O147)</f>
        <v>0</v>
      </c>
      <c r="Q147" s="519"/>
    </row>
    <row r="148" spans="2:17" x14ac:dyDescent="0.25">
      <c r="B148" s="534"/>
      <c r="C148" s="535"/>
      <c r="D148" s="536"/>
      <c r="E148" s="536"/>
      <c r="F148" s="537"/>
      <c r="G148" s="538"/>
      <c r="H148" s="538"/>
      <c r="I148" s="538"/>
      <c r="J148" s="538"/>
      <c r="K148" s="538"/>
      <c r="L148" s="538"/>
      <c r="M148" s="538"/>
      <c r="N148" s="538"/>
      <c r="O148" s="538"/>
      <c r="P148" s="527"/>
      <c r="Q148" s="519"/>
    </row>
    <row r="149" spans="2:17" ht="12.75" customHeight="1" x14ac:dyDescent="0.25">
      <c r="B149" s="724" t="s">
        <v>213</v>
      </c>
      <c r="C149" s="725"/>
      <c r="D149" s="725"/>
      <c r="E149" s="726"/>
      <c r="F149" s="727">
        <v>68</v>
      </c>
      <c r="G149" s="527"/>
      <c r="H149" s="527"/>
      <c r="I149" s="527"/>
      <c r="J149" s="527"/>
      <c r="K149" s="527"/>
      <c r="L149" s="527"/>
      <c r="M149" s="527"/>
      <c r="N149" s="527"/>
      <c r="O149" s="527"/>
      <c r="P149" s="527"/>
      <c r="Q149" s="519"/>
    </row>
    <row r="150" spans="2:17" x14ac:dyDescent="0.25">
      <c r="B150" s="724"/>
      <c r="C150" s="725"/>
      <c r="D150" s="725"/>
      <c r="E150" s="726"/>
      <c r="F150" s="727"/>
      <c r="G150" s="12">
        <v>0</v>
      </c>
      <c r="H150" s="12">
        <v>0</v>
      </c>
      <c r="I150" s="12">
        <v>0</v>
      </c>
      <c r="J150" s="12">
        <v>0</v>
      </c>
      <c r="K150" s="12">
        <v>0</v>
      </c>
      <c r="L150" s="12">
        <v>0</v>
      </c>
      <c r="M150" s="12">
        <v>0</v>
      </c>
      <c r="N150" s="12">
        <v>0</v>
      </c>
      <c r="O150" s="12">
        <v>0</v>
      </c>
      <c r="P150" s="527">
        <f>SUM(G150:O150)</f>
        <v>0</v>
      </c>
      <c r="Q150" s="519"/>
    </row>
    <row r="151" spans="2:17" x14ac:dyDescent="0.25">
      <c r="B151" s="534"/>
      <c r="C151" s="536"/>
      <c r="D151" s="536"/>
      <c r="E151" s="536"/>
      <c r="F151" s="537"/>
      <c r="G151" s="538"/>
      <c r="H151" s="538"/>
      <c r="I151" s="538"/>
      <c r="J151" s="538"/>
      <c r="K151" s="538"/>
      <c r="L151" s="538"/>
      <c r="M151" s="538"/>
      <c r="N151" s="538"/>
      <c r="O151" s="538"/>
      <c r="P151" s="538"/>
      <c r="Q151" s="519"/>
    </row>
    <row r="152" spans="2:17" x14ac:dyDescent="0.25">
      <c r="B152" s="531" t="s">
        <v>140</v>
      </c>
      <c r="C152" s="525"/>
      <c r="D152" s="525"/>
      <c r="E152" s="525"/>
      <c r="F152" s="526">
        <v>67</v>
      </c>
      <c r="G152" s="12">
        <v>0</v>
      </c>
      <c r="H152" s="12">
        <v>0</v>
      </c>
      <c r="I152" s="12">
        <v>0</v>
      </c>
      <c r="J152" s="12">
        <v>0</v>
      </c>
      <c r="K152" s="12">
        <v>0</v>
      </c>
      <c r="L152" s="12">
        <v>0</v>
      </c>
      <c r="M152" s="12">
        <v>0</v>
      </c>
      <c r="N152" s="12">
        <v>0</v>
      </c>
      <c r="O152" s="12">
        <v>0</v>
      </c>
      <c r="P152" s="527">
        <f>SUM(G152:O152)</f>
        <v>0</v>
      </c>
      <c r="Q152" s="519"/>
    </row>
    <row r="153" spans="2:17" x14ac:dyDescent="0.25">
      <c r="B153" s="534"/>
      <c r="C153" s="536"/>
      <c r="D153" s="536"/>
      <c r="E153" s="536"/>
      <c r="F153" s="537"/>
      <c r="G153" s="538"/>
      <c r="H153" s="538"/>
      <c r="I153" s="538"/>
      <c r="J153" s="538"/>
      <c r="K153" s="538"/>
      <c r="L153" s="538"/>
      <c r="M153" s="538"/>
      <c r="N153" s="538"/>
      <c r="O153" s="538"/>
      <c r="P153" s="538"/>
      <c r="Q153" s="519"/>
    </row>
    <row r="154" spans="2:17" x14ac:dyDescent="0.25">
      <c r="B154" s="531" t="s">
        <v>214</v>
      </c>
      <c r="C154" s="525"/>
      <c r="D154" s="532"/>
      <c r="E154" s="525"/>
      <c r="F154" s="526"/>
      <c r="G154" s="12">
        <v>0</v>
      </c>
      <c r="H154" s="12">
        <v>0</v>
      </c>
      <c r="I154" s="12">
        <v>0</v>
      </c>
      <c r="J154" s="12">
        <v>0</v>
      </c>
      <c r="K154" s="12">
        <v>0</v>
      </c>
      <c r="L154" s="12">
        <v>0</v>
      </c>
      <c r="M154" s="12">
        <v>0</v>
      </c>
      <c r="N154" s="12">
        <v>0</v>
      </c>
      <c r="O154" s="12">
        <v>0</v>
      </c>
      <c r="P154" s="527">
        <f>SUM(G154:O154)</f>
        <v>0</v>
      </c>
      <c r="Q154" s="519"/>
    </row>
    <row r="155" spans="2:17" x14ac:dyDescent="0.25">
      <c r="B155" s="520"/>
      <c r="C155" s="521"/>
      <c r="D155" s="521"/>
      <c r="E155" s="521"/>
      <c r="F155" s="541"/>
      <c r="G155" s="529"/>
      <c r="H155" s="529"/>
      <c r="I155" s="529"/>
      <c r="J155" s="529"/>
      <c r="K155" s="529"/>
      <c r="L155" s="529"/>
      <c r="M155" s="529"/>
      <c r="N155" s="529"/>
      <c r="O155" s="529"/>
      <c r="P155" s="529"/>
      <c r="Q155" s="519"/>
    </row>
    <row r="156" spans="2:17" ht="15.6" x14ac:dyDescent="0.25">
      <c r="B156" s="543"/>
      <c r="C156" s="544"/>
      <c r="D156" s="544"/>
      <c r="E156" s="545"/>
      <c r="F156" s="546"/>
      <c r="G156" s="547"/>
      <c r="H156" s="547"/>
      <c r="I156" s="547"/>
      <c r="J156" s="547"/>
      <c r="K156" s="547"/>
      <c r="L156" s="547"/>
      <c r="M156" s="547"/>
      <c r="N156" s="547"/>
      <c r="O156" s="547"/>
      <c r="P156" s="547"/>
      <c r="Q156" s="519"/>
    </row>
    <row r="157" spans="2:17" ht="13.8" x14ac:dyDescent="0.25">
      <c r="B157" s="548"/>
      <c r="C157" s="549"/>
      <c r="D157" s="549"/>
      <c r="E157" s="550" t="s">
        <v>16</v>
      </c>
      <c r="F157" s="551"/>
      <c r="G157" s="552">
        <f>SUM(G127,G144,G150,G152,G154)</f>
        <v>0</v>
      </c>
      <c r="H157" s="552">
        <f t="shared" ref="H157:P157" si="14">SUM(H127,H144,H150,H152,H154)</f>
        <v>0</v>
      </c>
      <c r="I157" s="552">
        <f t="shared" si="14"/>
        <v>0</v>
      </c>
      <c r="J157" s="552">
        <f t="shared" si="14"/>
        <v>0</v>
      </c>
      <c r="K157" s="552">
        <f t="shared" si="14"/>
        <v>0</v>
      </c>
      <c r="L157" s="552">
        <f t="shared" si="14"/>
        <v>0</v>
      </c>
      <c r="M157" s="552">
        <f t="shared" si="14"/>
        <v>0</v>
      </c>
      <c r="N157" s="552">
        <f t="shared" si="14"/>
        <v>0</v>
      </c>
      <c r="O157" s="552">
        <f t="shared" si="14"/>
        <v>0</v>
      </c>
      <c r="P157" s="552">
        <f t="shared" si="14"/>
        <v>0</v>
      </c>
      <c r="Q157" s="519"/>
    </row>
    <row r="158" spans="2:17" ht="16.2" thickBot="1" x14ac:dyDescent="0.3">
      <c r="B158" s="553"/>
      <c r="C158" s="554"/>
      <c r="D158" s="554"/>
      <c r="E158" s="555"/>
      <c r="F158" s="556"/>
      <c r="G158" s="557"/>
      <c r="H158" s="557"/>
      <c r="I158" s="557"/>
      <c r="J158" s="557"/>
      <c r="K158" s="557"/>
      <c r="L158" s="557"/>
      <c r="M158" s="557"/>
      <c r="N158" s="557"/>
      <c r="O158" s="557"/>
      <c r="P158" s="557"/>
      <c r="Q158" s="519"/>
    </row>
    <row r="159" spans="2:17" ht="13.8" thickTop="1" x14ac:dyDescent="0.25">
      <c r="B159" s="521"/>
      <c r="C159" s="521"/>
      <c r="D159" s="521"/>
      <c r="E159" s="521"/>
      <c r="F159" s="561"/>
      <c r="G159" s="562"/>
      <c r="H159" s="562"/>
      <c r="I159" s="562"/>
      <c r="J159" s="562"/>
      <c r="K159" s="562"/>
      <c r="L159" s="562"/>
      <c r="M159" s="562"/>
      <c r="N159" s="562"/>
      <c r="O159" s="562"/>
      <c r="P159" s="562"/>
      <c r="Q159" s="519"/>
    </row>
    <row r="160" spans="2:17" x14ac:dyDescent="0.25">
      <c r="B160" s="521"/>
      <c r="C160" s="521"/>
      <c r="D160" s="521"/>
      <c r="E160" s="536" t="s">
        <v>115</v>
      </c>
      <c r="F160" s="563"/>
      <c r="G160" s="564">
        <f t="shared" ref="G160:P160" si="15">SUM(G94,G104,G110,G113)</f>
        <v>0</v>
      </c>
      <c r="H160" s="564">
        <f t="shared" si="15"/>
        <v>0</v>
      </c>
      <c r="I160" s="564">
        <f t="shared" si="15"/>
        <v>0</v>
      </c>
      <c r="J160" s="564">
        <f t="shared" si="15"/>
        <v>0</v>
      </c>
      <c r="K160" s="564">
        <f t="shared" si="15"/>
        <v>0</v>
      </c>
      <c r="L160" s="564">
        <f t="shared" si="15"/>
        <v>0</v>
      </c>
      <c r="M160" s="564">
        <f t="shared" si="15"/>
        <v>0</v>
      </c>
      <c r="N160" s="564">
        <f t="shared" si="15"/>
        <v>0</v>
      </c>
      <c r="O160" s="564">
        <f t="shared" si="15"/>
        <v>0</v>
      </c>
      <c r="P160" s="565">
        <f t="shared" si="15"/>
        <v>0</v>
      </c>
      <c r="Q160" s="519"/>
    </row>
    <row r="161" spans="2:17" x14ac:dyDescent="0.25">
      <c r="B161" s="521"/>
      <c r="C161" s="521"/>
      <c r="D161" s="521"/>
      <c r="E161" s="536" t="s">
        <v>116</v>
      </c>
      <c r="F161" s="563"/>
      <c r="G161" s="564">
        <f>SUM(G127,G144,G150,G152)</f>
        <v>0</v>
      </c>
      <c r="H161" s="564">
        <f t="shared" ref="H161:P161" si="16">SUM(H127,H144,H150,H152)</f>
        <v>0</v>
      </c>
      <c r="I161" s="564">
        <f t="shared" si="16"/>
        <v>0</v>
      </c>
      <c r="J161" s="564">
        <f t="shared" si="16"/>
        <v>0</v>
      </c>
      <c r="K161" s="564">
        <f t="shared" si="16"/>
        <v>0</v>
      </c>
      <c r="L161" s="564">
        <f t="shared" si="16"/>
        <v>0</v>
      </c>
      <c r="M161" s="564">
        <f t="shared" si="16"/>
        <v>0</v>
      </c>
      <c r="N161" s="564">
        <f t="shared" si="16"/>
        <v>0</v>
      </c>
      <c r="O161" s="564">
        <f t="shared" si="16"/>
        <v>0</v>
      </c>
      <c r="P161" s="565">
        <f t="shared" si="16"/>
        <v>0</v>
      </c>
      <c r="Q161" s="519"/>
    </row>
    <row r="162" spans="2:17" x14ac:dyDescent="0.25">
      <c r="B162" s="521"/>
      <c r="C162" s="521"/>
      <c r="D162" s="521"/>
      <c r="E162" s="536" t="s">
        <v>117</v>
      </c>
      <c r="F162" s="563"/>
      <c r="G162" s="564">
        <f t="shared" ref="G162:I162" si="17">G160-G161</f>
        <v>0</v>
      </c>
      <c r="H162" s="564">
        <f t="shared" si="17"/>
        <v>0</v>
      </c>
      <c r="I162" s="564">
        <f t="shared" si="17"/>
        <v>0</v>
      </c>
      <c r="J162" s="564">
        <f>J160-J161</f>
        <v>0</v>
      </c>
      <c r="K162" s="564">
        <f t="shared" ref="K162:M162" si="18">K160-K161</f>
        <v>0</v>
      </c>
      <c r="L162" s="564">
        <f t="shared" si="18"/>
        <v>0</v>
      </c>
      <c r="M162" s="564">
        <f t="shared" si="18"/>
        <v>0</v>
      </c>
      <c r="N162" s="564">
        <f>N160-N161</f>
        <v>0</v>
      </c>
      <c r="O162" s="564">
        <f t="shared" ref="O162:P162" si="19">O160-O161</f>
        <v>0</v>
      </c>
      <c r="P162" s="565">
        <f t="shared" si="19"/>
        <v>0</v>
      </c>
      <c r="Q162" s="519"/>
    </row>
    <row r="164" spans="2:17" ht="13.8" thickBot="1" x14ac:dyDescent="0.3"/>
    <row r="165" spans="2:17" s="434" customFormat="1" ht="15.9" customHeight="1" thickBot="1" x14ac:dyDescent="0.3">
      <c r="B165" s="714" t="str">
        <f>"DELTA BOEKJAAR "&amp;TITELBLAD!$F$17&amp;" VS BOEKJAAR "&amp;TITELBLAD!F17-1</f>
        <v>DELTA BOEKJAAR 2025 VS BOEKJAAR 2024</v>
      </c>
      <c r="C165" s="715"/>
      <c r="D165" s="715"/>
      <c r="E165" s="715"/>
      <c r="F165" s="715"/>
      <c r="G165" s="715"/>
      <c r="H165" s="715"/>
      <c r="I165" s="715"/>
      <c r="J165" s="715"/>
      <c r="K165" s="715"/>
      <c r="L165" s="715"/>
      <c r="M165" s="715"/>
      <c r="N165" s="715"/>
      <c r="O165" s="715"/>
      <c r="P165" s="716"/>
    </row>
    <row r="166" spans="2:17" ht="17.399999999999999" x14ac:dyDescent="0.25">
      <c r="B166" s="497"/>
      <c r="C166" s="497"/>
      <c r="D166" s="497"/>
      <c r="E166" s="497"/>
      <c r="F166" s="498"/>
      <c r="G166" s="497"/>
      <c r="H166" s="497"/>
      <c r="I166" s="497"/>
      <c r="J166" s="497"/>
      <c r="K166" s="497"/>
      <c r="L166" s="497"/>
      <c r="M166" s="497"/>
      <c r="N166" s="567" t="s">
        <v>196</v>
      </c>
      <c r="O166" s="567"/>
      <c r="P166" s="497"/>
      <c r="Q166" s="498"/>
    </row>
    <row r="167" spans="2:17" s="434" customFormat="1" ht="13.8" thickBot="1" x14ac:dyDescent="0.3">
      <c r="B167" s="570"/>
      <c r="C167" s="570"/>
      <c r="D167" s="570"/>
      <c r="E167" s="570"/>
      <c r="F167" s="571"/>
      <c r="G167" s="570"/>
      <c r="H167" s="570"/>
      <c r="I167" s="570"/>
      <c r="J167" s="570"/>
      <c r="K167" s="570"/>
      <c r="L167" s="570"/>
      <c r="M167" s="570"/>
      <c r="N167" s="570"/>
      <c r="O167" s="570"/>
      <c r="P167" s="570"/>
      <c r="Q167" s="570"/>
    </row>
    <row r="168" spans="2:17" s="434" customFormat="1" ht="13.8" thickTop="1" x14ac:dyDescent="0.25">
      <c r="B168" s="731" t="s">
        <v>106</v>
      </c>
      <c r="C168" s="732"/>
      <c r="D168" s="732"/>
      <c r="E168" s="733"/>
      <c r="F168" s="741" t="s">
        <v>17</v>
      </c>
      <c r="G168" s="710" t="s">
        <v>105</v>
      </c>
      <c r="H168" s="743"/>
      <c r="I168" s="743"/>
      <c r="J168" s="743"/>
      <c r="K168" s="710" t="s">
        <v>355</v>
      </c>
      <c r="L168" s="743"/>
      <c r="M168" s="743"/>
      <c r="N168" s="743"/>
      <c r="O168" s="717" t="s">
        <v>84</v>
      </c>
      <c r="P168" s="717" t="s">
        <v>16</v>
      </c>
      <c r="Q168" s="509"/>
    </row>
    <row r="169" spans="2:17" s="434" customFormat="1" x14ac:dyDescent="0.25">
      <c r="B169" s="734"/>
      <c r="C169" s="735"/>
      <c r="D169" s="735"/>
      <c r="E169" s="736"/>
      <c r="F169" s="742"/>
      <c r="G169" s="711"/>
      <c r="H169" s="744"/>
      <c r="I169" s="744"/>
      <c r="J169" s="744"/>
      <c r="K169" s="711"/>
      <c r="L169" s="744"/>
      <c r="M169" s="744"/>
      <c r="N169" s="744"/>
      <c r="O169" s="718"/>
      <c r="P169" s="718"/>
      <c r="Q169" s="509"/>
    </row>
    <row r="170" spans="2:17" s="434" customFormat="1" ht="31.5" customHeight="1" x14ac:dyDescent="0.25">
      <c r="B170" s="510"/>
      <c r="C170" s="511"/>
      <c r="D170" s="511"/>
      <c r="E170" s="511"/>
      <c r="F170" s="512"/>
      <c r="G170" s="513" t="s">
        <v>198</v>
      </c>
      <c r="H170" s="513" t="s">
        <v>199</v>
      </c>
      <c r="I170" s="513" t="s">
        <v>200</v>
      </c>
      <c r="J170" s="513" t="s">
        <v>138</v>
      </c>
      <c r="K170" s="513" t="s">
        <v>198</v>
      </c>
      <c r="L170" s="513" t="s">
        <v>199</v>
      </c>
      <c r="M170" s="513" t="s">
        <v>200</v>
      </c>
      <c r="N170" s="513" t="s">
        <v>138</v>
      </c>
      <c r="O170" s="514"/>
      <c r="P170" s="514"/>
      <c r="Q170" s="509"/>
    </row>
    <row r="171" spans="2:17" s="434" customFormat="1" x14ac:dyDescent="0.25">
      <c r="B171" s="515"/>
      <c r="C171" s="516"/>
      <c r="D171" s="516"/>
      <c r="E171" s="516"/>
      <c r="F171" s="517"/>
      <c r="G171" s="572"/>
      <c r="H171" s="572"/>
      <c r="I171" s="572"/>
      <c r="J171" s="572"/>
      <c r="K171" s="572"/>
      <c r="L171" s="572"/>
      <c r="M171" s="572"/>
      <c r="N171" s="572"/>
      <c r="O171" s="572"/>
      <c r="P171" s="572"/>
      <c r="Q171" s="509"/>
    </row>
    <row r="172" spans="2:17" x14ac:dyDescent="0.25">
      <c r="B172" s="520"/>
      <c r="C172" s="521"/>
      <c r="D172" s="521"/>
      <c r="E172" s="521"/>
      <c r="F172" s="522"/>
      <c r="G172" s="523"/>
      <c r="H172" s="523"/>
      <c r="I172" s="523"/>
      <c r="J172" s="523"/>
      <c r="K172" s="523"/>
      <c r="L172" s="523"/>
      <c r="M172" s="523"/>
      <c r="N172" s="523"/>
      <c r="O172" s="523"/>
      <c r="P172" s="523"/>
      <c r="Q172" s="519"/>
    </row>
    <row r="173" spans="2:17" x14ac:dyDescent="0.25">
      <c r="B173" s="524" t="s">
        <v>201</v>
      </c>
      <c r="C173" s="525"/>
      <c r="D173" s="525"/>
      <c r="E173" s="525"/>
      <c r="F173" s="526" t="s">
        <v>324</v>
      </c>
      <c r="G173" s="122">
        <f t="shared" ref="G173:P173" si="20">+IF(G94=0,IF(G13&lt;&gt;0,100%,0),(G13-G94)/G94)</f>
        <v>0</v>
      </c>
      <c r="H173" s="122">
        <f t="shared" si="20"/>
        <v>0</v>
      </c>
      <c r="I173" s="122">
        <f t="shared" si="20"/>
        <v>0</v>
      </c>
      <c r="J173" s="122">
        <f t="shared" si="20"/>
        <v>0</v>
      </c>
      <c r="K173" s="122">
        <f t="shared" si="20"/>
        <v>0</v>
      </c>
      <c r="L173" s="122">
        <f t="shared" si="20"/>
        <v>0</v>
      </c>
      <c r="M173" s="122">
        <f t="shared" si="20"/>
        <v>0</v>
      </c>
      <c r="N173" s="122">
        <f t="shared" si="20"/>
        <v>0</v>
      </c>
      <c r="O173" s="122">
        <f t="shared" si="20"/>
        <v>0</v>
      </c>
      <c r="P173" s="122">
        <f t="shared" si="20"/>
        <v>0</v>
      </c>
      <c r="Q173" s="519"/>
    </row>
    <row r="174" spans="2:17" x14ac:dyDescent="0.25">
      <c r="B174" s="528"/>
      <c r="C174" s="521"/>
      <c r="D174" s="521"/>
      <c r="E174" s="521"/>
      <c r="F174" s="522"/>
      <c r="G174" s="170"/>
      <c r="H174" s="170"/>
      <c r="I174" s="170"/>
      <c r="J174" s="170"/>
      <c r="K174" s="170"/>
      <c r="L174" s="170"/>
      <c r="M174" s="170"/>
      <c r="N174" s="170"/>
      <c r="O174" s="170"/>
      <c r="P174" s="170"/>
      <c r="Q174" s="519"/>
    </row>
    <row r="175" spans="2:17" x14ac:dyDescent="0.25">
      <c r="B175" s="520"/>
      <c r="C175" s="521" t="s">
        <v>107</v>
      </c>
      <c r="D175" s="521"/>
      <c r="E175" s="521"/>
      <c r="F175" s="522">
        <v>70</v>
      </c>
      <c r="G175" s="170">
        <f t="shared" ref="G175:P175" si="21">+IF(G96=0,IF(G15&lt;&gt;0,100%,0),(G15-G96)/G96)</f>
        <v>0</v>
      </c>
      <c r="H175" s="170">
        <f t="shared" si="21"/>
        <v>0</v>
      </c>
      <c r="I175" s="170">
        <f t="shared" si="21"/>
        <v>0</v>
      </c>
      <c r="J175" s="170">
        <f t="shared" si="21"/>
        <v>0</v>
      </c>
      <c r="K175" s="170">
        <f t="shared" si="21"/>
        <v>0</v>
      </c>
      <c r="L175" s="170">
        <f t="shared" si="21"/>
        <v>0</v>
      </c>
      <c r="M175" s="170">
        <f t="shared" si="21"/>
        <v>0</v>
      </c>
      <c r="N175" s="170">
        <f t="shared" si="21"/>
        <v>0</v>
      </c>
      <c r="O175" s="170">
        <f t="shared" si="21"/>
        <v>0</v>
      </c>
      <c r="P175" s="170">
        <f t="shared" si="21"/>
        <v>0</v>
      </c>
      <c r="Q175" s="519"/>
    </row>
    <row r="176" spans="2:17" ht="3" customHeight="1" x14ac:dyDescent="0.25">
      <c r="B176" s="520"/>
      <c r="C176" s="728" t="s">
        <v>437</v>
      </c>
      <c r="D176" s="729"/>
      <c r="E176" s="730"/>
      <c r="F176" s="737">
        <v>71</v>
      </c>
      <c r="G176" s="170"/>
      <c r="H176" s="170"/>
      <c r="I176" s="170"/>
      <c r="J176" s="170"/>
      <c r="K176" s="170"/>
      <c r="L176" s="170"/>
      <c r="M176" s="170"/>
      <c r="N176" s="170"/>
      <c r="O176" s="170"/>
      <c r="P176" s="170"/>
      <c r="Q176" s="519"/>
    </row>
    <row r="177" spans="2:17" x14ac:dyDescent="0.25">
      <c r="B177" s="520"/>
      <c r="C177" s="729"/>
      <c r="D177" s="729"/>
      <c r="E177" s="730"/>
      <c r="F177" s="737"/>
      <c r="G177" s="170"/>
      <c r="H177" s="170"/>
      <c r="I177" s="170"/>
      <c r="J177" s="170"/>
      <c r="K177" s="170"/>
      <c r="L177" s="170"/>
      <c r="M177" s="170"/>
      <c r="N177" s="170"/>
      <c r="O177" s="170"/>
      <c r="P177" s="170"/>
      <c r="Q177" s="519"/>
    </row>
    <row r="178" spans="2:17" x14ac:dyDescent="0.25">
      <c r="B178" s="520"/>
      <c r="C178" s="729"/>
      <c r="D178" s="729"/>
      <c r="E178" s="730"/>
      <c r="F178" s="737"/>
      <c r="G178" s="170">
        <f t="shared" ref="G178:P178" si="22">+IF(G99=0,IF(G18&lt;&gt;0,100%,0),(G18-G99)/G99)</f>
        <v>0</v>
      </c>
      <c r="H178" s="170">
        <f t="shared" si="22"/>
        <v>0</v>
      </c>
      <c r="I178" s="170">
        <f t="shared" si="22"/>
        <v>0</v>
      </c>
      <c r="J178" s="170">
        <f t="shared" si="22"/>
        <v>0</v>
      </c>
      <c r="K178" s="170">
        <f t="shared" si="22"/>
        <v>0</v>
      </c>
      <c r="L178" s="170">
        <f t="shared" si="22"/>
        <v>0</v>
      </c>
      <c r="M178" s="170">
        <f t="shared" si="22"/>
        <v>0</v>
      </c>
      <c r="N178" s="170">
        <f t="shared" si="22"/>
        <v>0</v>
      </c>
      <c r="O178" s="170">
        <f t="shared" si="22"/>
        <v>0</v>
      </c>
      <c r="P178" s="170">
        <f t="shared" si="22"/>
        <v>0</v>
      </c>
      <c r="Q178" s="519"/>
    </row>
    <row r="179" spans="2:17" x14ac:dyDescent="0.25">
      <c r="B179" s="520"/>
      <c r="C179" s="521" t="s">
        <v>108</v>
      </c>
      <c r="D179" s="521"/>
      <c r="E179" s="521"/>
      <c r="F179" s="522">
        <v>72</v>
      </c>
      <c r="G179" s="170">
        <f t="shared" ref="G179:P179" si="23">+IF(G100=0,IF(G19&lt;&gt;0,100%,0),(G19-G100)/G100)</f>
        <v>0</v>
      </c>
      <c r="H179" s="170">
        <f t="shared" si="23"/>
        <v>0</v>
      </c>
      <c r="I179" s="170">
        <f t="shared" si="23"/>
        <v>0</v>
      </c>
      <c r="J179" s="170">
        <f t="shared" si="23"/>
        <v>0</v>
      </c>
      <c r="K179" s="170">
        <f t="shared" si="23"/>
        <v>0</v>
      </c>
      <c r="L179" s="170">
        <f t="shared" si="23"/>
        <v>0</v>
      </c>
      <c r="M179" s="170">
        <f t="shared" si="23"/>
        <v>0</v>
      </c>
      <c r="N179" s="170">
        <f t="shared" si="23"/>
        <v>0</v>
      </c>
      <c r="O179" s="170">
        <f t="shared" si="23"/>
        <v>0</v>
      </c>
      <c r="P179" s="170">
        <f t="shared" si="23"/>
        <v>0</v>
      </c>
      <c r="Q179" s="519"/>
    </row>
    <row r="180" spans="2:17" x14ac:dyDescent="0.25">
      <c r="B180" s="520"/>
      <c r="C180" s="521" t="s">
        <v>109</v>
      </c>
      <c r="D180" s="530"/>
      <c r="E180" s="521"/>
      <c r="F180" s="522">
        <v>74</v>
      </c>
      <c r="G180" s="170">
        <f t="shared" ref="G180:P180" si="24">+IF(G101=0,IF(G20&lt;&gt;0,100%,0),(G20-G101)/G101)</f>
        <v>0</v>
      </c>
      <c r="H180" s="170">
        <f t="shared" si="24"/>
        <v>0</v>
      </c>
      <c r="I180" s="170">
        <f t="shared" si="24"/>
        <v>0</v>
      </c>
      <c r="J180" s="170">
        <f t="shared" si="24"/>
        <v>0</v>
      </c>
      <c r="K180" s="170">
        <f t="shared" si="24"/>
        <v>0</v>
      </c>
      <c r="L180" s="170">
        <f t="shared" si="24"/>
        <v>0</v>
      </c>
      <c r="M180" s="170">
        <f t="shared" si="24"/>
        <v>0</v>
      </c>
      <c r="N180" s="170">
        <f t="shared" si="24"/>
        <v>0</v>
      </c>
      <c r="O180" s="170">
        <f t="shared" si="24"/>
        <v>0</v>
      </c>
      <c r="P180" s="170">
        <f t="shared" si="24"/>
        <v>0</v>
      </c>
      <c r="Q180" s="519"/>
    </row>
    <row r="181" spans="2:17" x14ac:dyDescent="0.25">
      <c r="B181" s="520"/>
      <c r="C181" s="521" t="s">
        <v>316</v>
      </c>
      <c r="D181" s="530"/>
      <c r="E181" s="521"/>
      <c r="F181" s="522" t="s">
        <v>317</v>
      </c>
      <c r="G181" s="170">
        <f t="shared" ref="G181:P181" si="25">+IF(G102=0,IF(G21&lt;&gt;0,100%,0),(G21-G102)/G102)</f>
        <v>0</v>
      </c>
      <c r="H181" s="170">
        <f t="shared" si="25"/>
        <v>0</v>
      </c>
      <c r="I181" s="170">
        <f t="shared" si="25"/>
        <v>0</v>
      </c>
      <c r="J181" s="170">
        <f t="shared" si="25"/>
        <v>0</v>
      </c>
      <c r="K181" s="170">
        <f t="shared" si="25"/>
        <v>0</v>
      </c>
      <c r="L181" s="170">
        <f t="shared" si="25"/>
        <v>0</v>
      </c>
      <c r="M181" s="170">
        <f t="shared" si="25"/>
        <v>0</v>
      </c>
      <c r="N181" s="170">
        <f t="shared" si="25"/>
        <v>0</v>
      </c>
      <c r="O181" s="170">
        <f t="shared" si="25"/>
        <v>0</v>
      </c>
      <c r="P181" s="170">
        <f t="shared" si="25"/>
        <v>0</v>
      </c>
      <c r="Q181" s="519"/>
    </row>
    <row r="182" spans="2:17" x14ac:dyDescent="0.25">
      <c r="B182" s="520"/>
      <c r="C182" s="530"/>
      <c r="D182" s="521"/>
      <c r="E182" s="521"/>
      <c r="F182" s="522"/>
      <c r="G182" s="170"/>
      <c r="H182" s="170"/>
      <c r="I182" s="170"/>
      <c r="J182" s="170"/>
      <c r="K182" s="170"/>
      <c r="L182" s="170"/>
      <c r="M182" s="170"/>
      <c r="N182" s="170"/>
      <c r="O182" s="170"/>
      <c r="P182" s="170"/>
      <c r="Q182" s="519"/>
    </row>
    <row r="183" spans="2:17" x14ac:dyDescent="0.25">
      <c r="B183" s="531" t="s">
        <v>74</v>
      </c>
      <c r="C183" s="532"/>
      <c r="D183" s="525"/>
      <c r="E183" s="525"/>
      <c r="F183" s="526" t="s">
        <v>320</v>
      </c>
      <c r="G183" s="122">
        <f t="shared" ref="G183:P183" si="26">+IF(G104=0,IF(G23&lt;&gt;0,100%,0),(G23-G104)/G104)</f>
        <v>0</v>
      </c>
      <c r="H183" s="122">
        <f t="shared" si="26"/>
        <v>0</v>
      </c>
      <c r="I183" s="122">
        <f t="shared" si="26"/>
        <v>0</v>
      </c>
      <c r="J183" s="122">
        <f t="shared" si="26"/>
        <v>0</v>
      </c>
      <c r="K183" s="122">
        <f t="shared" si="26"/>
        <v>0</v>
      </c>
      <c r="L183" s="122">
        <f t="shared" si="26"/>
        <v>0</v>
      </c>
      <c r="M183" s="122">
        <f t="shared" si="26"/>
        <v>0</v>
      </c>
      <c r="N183" s="122">
        <f t="shared" si="26"/>
        <v>0</v>
      </c>
      <c r="O183" s="122">
        <f t="shared" si="26"/>
        <v>0</v>
      </c>
      <c r="P183" s="122">
        <f t="shared" si="26"/>
        <v>0</v>
      </c>
      <c r="Q183" s="519"/>
    </row>
    <row r="184" spans="2:17" x14ac:dyDescent="0.25">
      <c r="B184" s="531"/>
      <c r="C184" s="532"/>
      <c r="D184" s="525"/>
      <c r="E184" s="525"/>
      <c r="F184" s="526"/>
      <c r="G184" s="122"/>
      <c r="H184" s="122"/>
      <c r="I184" s="122"/>
      <c r="J184" s="122"/>
      <c r="K184" s="122"/>
      <c r="L184" s="122"/>
      <c r="M184" s="122"/>
      <c r="N184" s="122"/>
      <c r="O184" s="122"/>
      <c r="P184" s="122"/>
      <c r="Q184" s="519"/>
    </row>
    <row r="185" spans="2:17" x14ac:dyDescent="0.25">
      <c r="B185" s="520"/>
      <c r="C185" s="533" t="s">
        <v>326</v>
      </c>
      <c r="D185" s="521"/>
      <c r="E185" s="521"/>
      <c r="F185" s="522">
        <v>75</v>
      </c>
      <c r="G185" s="170">
        <f t="shared" ref="G185:P185" si="27">+IF(G106=0,IF(G25&lt;&gt;0,100%,0),(G25-G106)/G106)</f>
        <v>0</v>
      </c>
      <c r="H185" s="170">
        <f t="shared" si="27"/>
        <v>0</v>
      </c>
      <c r="I185" s="170">
        <f t="shared" si="27"/>
        <v>0</v>
      </c>
      <c r="J185" s="170">
        <f t="shared" si="27"/>
        <v>0</v>
      </c>
      <c r="K185" s="170">
        <f t="shared" si="27"/>
        <v>0</v>
      </c>
      <c r="L185" s="170">
        <f t="shared" si="27"/>
        <v>0</v>
      </c>
      <c r="M185" s="170">
        <f t="shared" si="27"/>
        <v>0</v>
      </c>
      <c r="N185" s="170">
        <f t="shared" si="27"/>
        <v>0</v>
      </c>
      <c r="O185" s="170">
        <f t="shared" si="27"/>
        <v>0</v>
      </c>
      <c r="P185" s="170">
        <f t="shared" si="27"/>
        <v>0</v>
      </c>
      <c r="Q185" s="519"/>
    </row>
    <row r="186" spans="2:17" x14ac:dyDescent="0.25">
      <c r="B186" s="520"/>
      <c r="C186" s="521" t="s">
        <v>327</v>
      </c>
      <c r="D186" s="521"/>
      <c r="E186" s="521"/>
      <c r="F186" s="522" t="s">
        <v>321</v>
      </c>
      <c r="G186" s="170">
        <f t="shared" ref="G186:P186" si="28">+IF(G107=0,IF(G26&lt;&gt;0,100%,0),(G26-G107)/G107)</f>
        <v>0</v>
      </c>
      <c r="H186" s="170">
        <f t="shared" si="28"/>
        <v>0</v>
      </c>
      <c r="I186" s="170">
        <f t="shared" si="28"/>
        <v>0</v>
      </c>
      <c r="J186" s="170">
        <f t="shared" si="28"/>
        <v>0</v>
      </c>
      <c r="K186" s="170">
        <f t="shared" si="28"/>
        <v>0</v>
      </c>
      <c r="L186" s="170">
        <f t="shared" si="28"/>
        <v>0</v>
      </c>
      <c r="M186" s="170">
        <f t="shared" si="28"/>
        <v>0</v>
      </c>
      <c r="N186" s="170">
        <f t="shared" si="28"/>
        <v>0</v>
      </c>
      <c r="O186" s="170">
        <f t="shared" si="28"/>
        <v>0</v>
      </c>
      <c r="P186" s="170">
        <f t="shared" si="28"/>
        <v>0</v>
      </c>
      <c r="Q186" s="519"/>
    </row>
    <row r="187" spans="2:17" x14ac:dyDescent="0.25">
      <c r="B187" s="534"/>
      <c r="C187" s="535"/>
      <c r="D187" s="536"/>
      <c r="E187" s="536"/>
      <c r="F187" s="537"/>
      <c r="G187" s="123"/>
      <c r="H187" s="123"/>
      <c r="I187" s="123"/>
      <c r="J187" s="123"/>
      <c r="K187" s="123"/>
      <c r="L187" s="123"/>
      <c r="M187" s="123"/>
      <c r="N187" s="123"/>
      <c r="O187" s="123"/>
      <c r="P187" s="122"/>
      <c r="Q187" s="519"/>
    </row>
    <row r="188" spans="2:17" ht="12.75" customHeight="1" x14ac:dyDescent="0.25">
      <c r="B188" s="724" t="s">
        <v>203</v>
      </c>
      <c r="C188" s="725"/>
      <c r="D188" s="725"/>
      <c r="E188" s="726"/>
      <c r="F188" s="727">
        <v>78</v>
      </c>
      <c r="G188" s="122"/>
      <c r="H188" s="122"/>
      <c r="I188" s="122"/>
      <c r="J188" s="122"/>
      <c r="K188" s="122"/>
      <c r="L188" s="122"/>
      <c r="M188" s="122"/>
      <c r="N188" s="122"/>
      <c r="O188" s="122"/>
      <c r="P188" s="122"/>
      <c r="Q188" s="519"/>
    </row>
    <row r="189" spans="2:17" x14ac:dyDescent="0.25">
      <c r="B189" s="724"/>
      <c r="C189" s="725"/>
      <c r="D189" s="725"/>
      <c r="E189" s="726"/>
      <c r="F189" s="727"/>
      <c r="G189" s="122">
        <f t="shared" ref="G189:P189" si="29">+IF(G110=0,IF(G29&lt;&gt;0,100%,0),(G29-G110)/G110)</f>
        <v>0</v>
      </c>
      <c r="H189" s="122">
        <f t="shared" si="29"/>
        <v>0</v>
      </c>
      <c r="I189" s="122">
        <f t="shared" si="29"/>
        <v>0</v>
      </c>
      <c r="J189" s="122">
        <f t="shared" si="29"/>
        <v>0</v>
      </c>
      <c r="K189" s="122">
        <f t="shared" si="29"/>
        <v>0</v>
      </c>
      <c r="L189" s="122">
        <f t="shared" si="29"/>
        <v>0</v>
      </c>
      <c r="M189" s="122">
        <f t="shared" si="29"/>
        <v>0</v>
      </c>
      <c r="N189" s="122">
        <f t="shared" si="29"/>
        <v>0</v>
      </c>
      <c r="O189" s="122">
        <f t="shared" si="29"/>
        <v>0</v>
      </c>
      <c r="P189" s="122">
        <f t="shared" si="29"/>
        <v>0</v>
      </c>
      <c r="Q189" s="519"/>
    </row>
    <row r="190" spans="2:17" x14ac:dyDescent="0.25">
      <c r="B190" s="534"/>
      <c r="C190" s="536"/>
      <c r="D190" s="536"/>
      <c r="E190" s="536"/>
      <c r="F190" s="537"/>
      <c r="G190" s="123"/>
      <c r="H190" s="123"/>
      <c r="I190" s="123"/>
      <c r="J190" s="123"/>
      <c r="K190" s="123"/>
      <c r="L190" s="123"/>
      <c r="M190" s="123"/>
      <c r="N190" s="123"/>
      <c r="O190" s="123"/>
      <c r="P190" s="122"/>
      <c r="Q190" s="519"/>
    </row>
    <row r="191" spans="2:17" ht="12.75" customHeight="1" x14ac:dyDescent="0.25">
      <c r="B191" s="724" t="s">
        <v>438</v>
      </c>
      <c r="C191" s="725"/>
      <c r="D191" s="725"/>
      <c r="E191" s="726"/>
      <c r="F191" s="727">
        <v>77</v>
      </c>
      <c r="G191" s="122"/>
      <c r="H191" s="122"/>
      <c r="I191" s="122"/>
      <c r="J191" s="122"/>
      <c r="K191" s="122"/>
      <c r="L191" s="122"/>
      <c r="M191" s="122"/>
      <c r="N191" s="122"/>
      <c r="O191" s="122"/>
      <c r="P191" s="122"/>
      <c r="Q191" s="519"/>
    </row>
    <row r="192" spans="2:17" x14ac:dyDescent="0.25">
      <c r="B192" s="724"/>
      <c r="C192" s="725"/>
      <c r="D192" s="725"/>
      <c r="E192" s="726"/>
      <c r="F192" s="727"/>
      <c r="G192" s="122">
        <f t="shared" ref="G192:P192" si="30">+IF(G113=0,IF(G32&lt;&gt;0,100%,0),(G32-G113)/G113)</f>
        <v>0</v>
      </c>
      <c r="H192" s="122">
        <f t="shared" si="30"/>
        <v>0</v>
      </c>
      <c r="I192" s="122">
        <f t="shared" si="30"/>
        <v>0</v>
      </c>
      <c r="J192" s="122">
        <f t="shared" si="30"/>
        <v>0</v>
      </c>
      <c r="K192" s="122">
        <f t="shared" si="30"/>
        <v>0</v>
      </c>
      <c r="L192" s="122">
        <f t="shared" si="30"/>
        <v>0</v>
      </c>
      <c r="M192" s="122">
        <f t="shared" si="30"/>
        <v>0</v>
      </c>
      <c r="N192" s="122">
        <f t="shared" si="30"/>
        <v>0</v>
      </c>
      <c r="O192" s="122">
        <f t="shared" si="30"/>
        <v>0</v>
      </c>
      <c r="P192" s="122">
        <f t="shared" si="30"/>
        <v>0</v>
      </c>
      <c r="Q192" s="519"/>
    </row>
    <row r="193" spans="2:17" x14ac:dyDescent="0.25">
      <c r="B193" s="534"/>
      <c r="C193" s="536"/>
      <c r="D193" s="536"/>
      <c r="E193" s="536"/>
      <c r="F193" s="539"/>
      <c r="G193" s="123"/>
      <c r="H193" s="123"/>
      <c r="I193" s="123"/>
      <c r="J193" s="123"/>
      <c r="K193" s="123"/>
      <c r="L193" s="123"/>
      <c r="M193" s="123"/>
      <c r="N193" s="123"/>
      <c r="O193" s="123"/>
      <c r="P193" s="122"/>
      <c r="Q193" s="519"/>
    </row>
    <row r="194" spans="2:17" x14ac:dyDescent="0.25">
      <c r="B194" s="531" t="s">
        <v>204</v>
      </c>
      <c r="C194" s="525"/>
      <c r="D194" s="532"/>
      <c r="E194" s="525"/>
      <c r="F194" s="540"/>
      <c r="G194" s="122">
        <f t="shared" ref="G194:P194" si="31">+IF(G115=0,IF(G34&lt;&gt;0,100%,0),(G34-G115)/G115)</f>
        <v>0</v>
      </c>
      <c r="H194" s="122">
        <f t="shared" si="31"/>
        <v>0</v>
      </c>
      <c r="I194" s="122">
        <f t="shared" si="31"/>
        <v>0</v>
      </c>
      <c r="J194" s="122">
        <f t="shared" si="31"/>
        <v>0</v>
      </c>
      <c r="K194" s="122">
        <f t="shared" si="31"/>
        <v>0</v>
      </c>
      <c r="L194" s="122">
        <f t="shared" si="31"/>
        <v>0</v>
      </c>
      <c r="M194" s="122">
        <f t="shared" si="31"/>
        <v>0</v>
      </c>
      <c r="N194" s="122">
        <f t="shared" si="31"/>
        <v>0</v>
      </c>
      <c r="O194" s="122">
        <f t="shared" si="31"/>
        <v>0</v>
      </c>
      <c r="P194" s="122">
        <f t="shared" si="31"/>
        <v>0</v>
      </c>
      <c r="Q194" s="519"/>
    </row>
    <row r="195" spans="2:17" x14ac:dyDescent="0.25">
      <c r="B195" s="520"/>
      <c r="C195" s="521"/>
      <c r="D195" s="521"/>
      <c r="E195" s="521"/>
      <c r="F195" s="541"/>
      <c r="G195" s="171"/>
      <c r="H195" s="171"/>
      <c r="I195" s="171"/>
      <c r="J195" s="171"/>
      <c r="K195" s="171"/>
      <c r="L195" s="171"/>
      <c r="M195" s="171"/>
      <c r="N195" s="171"/>
      <c r="O195" s="171"/>
      <c r="P195" s="171"/>
      <c r="Q195" s="519"/>
    </row>
    <row r="196" spans="2:17" ht="15.6" x14ac:dyDescent="0.25">
      <c r="B196" s="543"/>
      <c r="C196" s="544"/>
      <c r="D196" s="544"/>
      <c r="E196" s="545"/>
      <c r="F196" s="546"/>
      <c r="G196" s="124"/>
      <c r="H196" s="124"/>
      <c r="I196" s="124"/>
      <c r="J196" s="124"/>
      <c r="K196" s="124"/>
      <c r="L196" s="124"/>
      <c r="M196" s="124"/>
      <c r="N196" s="124"/>
      <c r="O196" s="124"/>
      <c r="P196" s="124"/>
      <c r="Q196" s="519"/>
    </row>
    <row r="197" spans="2:17" ht="13.8" x14ac:dyDescent="0.25">
      <c r="B197" s="548"/>
      <c r="C197" s="549"/>
      <c r="D197" s="549"/>
      <c r="E197" s="550" t="s">
        <v>16</v>
      </c>
      <c r="F197" s="551"/>
      <c r="G197" s="125">
        <f t="shared" ref="G197:P197" si="32">+IF(G118=0,IF(G37&lt;&gt;0,100%,0),(G37-G118)/G118)</f>
        <v>0</v>
      </c>
      <c r="H197" s="125">
        <f t="shared" si="32"/>
        <v>0</v>
      </c>
      <c r="I197" s="125">
        <f t="shared" si="32"/>
        <v>0</v>
      </c>
      <c r="J197" s="125">
        <f t="shared" si="32"/>
        <v>0</v>
      </c>
      <c r="K197" s="125">
        <f t="shared" si="32"/>
        <v>0</v>
      </c>
      <c r="L197" s="125">
        <f t="shared" si="32"/>
        <v>0</v>
      </c>
      <c r="M197" s="125">
        <f t="shared" si="32"/>
        <v>0</v>
      </c>
      <c r="N197" s="125">
        <f t="shared" si="32"/>
        <v>0</v>
      </c>
      <c r="O197" s="125">
        <f t="shared" si="32"/>
        <v>0</v>
      </c>
      <c r="P197" s="125">
        <f t="shared" si="32"/>
        <v>0</v>
      </c>
      <c r="Q197" s="519"/>
    </row>
    <row r="198" spans="2:17" ht="16.2" thickBot="1" x14ac:dyDescent="0.3">
      <c r="B198" s="553"/>
      <c r="C198" s="554"/>
      <c r="D198" s="554"/>
      <c r="E198" s="555"/>
      <c r="F198" s="556"/>
      <c r="G198" s="126"/>
      <c r="H198" s="126"/>
      <c r="I198" s="126"/>
      <c r="J198" s="126"/>
      <c r="K198" s="126"/>
      <c r="L198" s="126"/>
      <c r="M198" s="126"/>
      <c r="N198" s="126"/>
      <c r="O198" s="126"/>
      <c r="P198" s="126"/>
      <c r="Q198" s="519"/>
    </row>
    <row r="199" spans="2:17" ht="13.8" thickTop="1" x14ac:dyDescent="0.25">
      <c r="B199" s="558"/>
      <c r="C199" s="521"/>
      <c r="D199" s="521"/>
      <c r="E199" s="521"/>
      <c r="G199" s="127"/>
      <c r="H199" s="127"/>
      <c r="I199" s="127"/>
      <c r="J199" s="127"/>
      <c r="K199" s="127"/>
      <c r="L199" s="127"/>
      <c r="M199" s="127"/>
      <c r="N199" s="127"/>
      <c r="O199" s="127"/>
      <c r="P199" s="172"/>
      <c r="Q199" s="519"/>
    </row>
    <row r="200" spans="2:17" s="434" customFormat="1" ht="13.8" thickBot="1" x14ac:dyDescent="0.3">
      <c r="B200" s="558"/>
      <c r="C200" s="521"/>
      <c r="D200" s="521"/>
      <c r="E200" s="521"/>
      <c r="F200" s="559"/>
      <c r="G200" s="128"/>
      <c r="H200" s="128"/>
      <c r="I200" s="128"/>
      <c r="J200" s="128"/>
      <c r="K200" s="128"/>
      <c r="L200" s="128"/>
      <c r="M200" s="128"/>
      <c r="N200" s="128"/>
      <c r="O200" s="128"/>
      <c r="P200" s="173"/>
      <c r="Q200" s="509"/>
    </row>
    <row r="201" spans="2:17" s="434" customFormat="1" ht="13.8" thickTop="1" x14ac:dyDescent="0.25">
      <c r="B201" s="731" t="s">
        <v>110</v>
      </c>
      <c r="C201" s="732"/>
      <c r="D201" s="732"/>
      <c r="E201" s="733"/>
      <c r="F201" s="748" t="s">
        <v>17</v>
      </c>
      <c r="G201" s="708" t="s">
        <v>105</v>
      </c>
      <c r="H201" s="750"/>
      <c r="I201" s="750"/>
      <c r="J201" s="750"/>
      <c r="K201" s="708" t="s">
        <v>355</v>
      </c>
      <c r="L201" s="750"/>
      <c r="M201" s="750"/>
      <c r="N201" s="750"/>
      <c r="O201" s="712" t="s">
        <v>84</v>
      </c>
      <c r="P201" s="712" t="s">
        <v>16</v>
      </c>
      <c r="Q201" s="509"/>
    </row>
    <row r="202" spans="2:17" s="434" customFormat="1" x14ac:dyDescent="0.25">
      <c r="B202" s="734"/>
      <c r="C202" s="735"/>
      <c r="D202" s="735"/>
      <c r="E202" s="736"/>
      <c r="F202" s="749"/>
      <c r="G202" s="709"/>
      <c r="H202" s="751"/>
      <c r="I202" s="751"/>
      <c r="J202" s="751"/>
      <c r="K202" s="709"/>
      <c r="L202" s="751"/>
      <c r="M202" s="751"/>
      <c r="N202" s="751"/>
      <c r="O202" s="713"/>
      <c r="P202" s="713"/>
      <c r="Q202" s="509"/>
    </row>
    <row r="203" spans="2:17" s="434" customFormat="1" ht="31.5" customHeight="1" x14ac:dyDescent="0.25">
      <c r="B203" s="510"/>
      <c r="C203" s="511"/>
      <c r="D203" s="511"/>
      <c r="E203" s="511"/>
      <c r="F203" s="512"/>
      <c r="G203" s="129" t="s">
        <v>205</v>
      </c>
      <c r="H203" s="129" t="s">
        <v>206</v>
      </c>
      <c r="I203" s="129" t="s">
        <v>207</v>
      </c>
      <c r="J203" s="129" t="s">
        <v>138</v>
      </c>
      <c r="K203" s="129" t="s">
        <v>205</v>
      </c>
      <c r="L203" s="129" t="s">
        <v>206</v>
      </c>
      <c r="M203" s="129" t="s">
        <v>207</v>
      </c>
      <c r="N203" s="129" t="s">
        <v>138</v>
      </c>
      <c r="O203" s="130"/>
      <c r="P203" s="130"/>
      <c r="Q203" s="509"/>
    </row>
    <row r="204" spans="2:17" x14ac:dyDescent="0.25">
      <c r="B204" s="515"/>
      <c r="C204" s="516"/>
      <c r="D204" s="516"/>
      <c r="E204" s="516"/>
      <c r="F204" s="517"/>
      <c r="G204" s="131"/>
      <c r="H204" s="131"/>
      <c r="I204" s="131"/>
      <c r="J204" s="131"/>
      <c r="K204" s="131"/>
      <c r="L204" s="131"/>
      <c r="M204" s="131"/>
      <c r="N204" s="131"/>
      <c r="O204" s="131"/>
      <c r="P204" s="131"/>
      <c r="Q204" s="519"/>
    </row>
    <row r="205" spans="2:17" x14ac:dyDescent="0.25">
      <c r="B205" s="520"/>
      <c r="C205" s="521"/>
      <c r="D205" s="521"/>
      <c r="E205" s="521"/>
      <c r="F205" s="541"/>
      <c r="G205" s="170"/>
      <c r="H205" s="170"/>
      <c r="I205" s="170"/>
      <c r="J205" s="170"/>
      <c r="K205" s="170"/>
      <c r="L205" s="170"/>
      <c r="M205" s="170"/>
      <c r="N205" s="170"/>
      <c r="O205" s="170"/>
      <c r="P205" s="170"/>
      <c r="Q205" s="519"/>
    </row>
    <row r="206" spans="2:17" x14ac:dyDescent="0.25">
      <c r="B206" s="524" t="s">
        <v>208</v>
      </c>
      <c r="C206" s="525"/>
      <c r="D206" s="525"/>
      <c r="E206" s="525"/>
      <c r="F206" s="526" t="s">
        <v>325</v>
      </c>
      <c r="G206" s="122">
        <f t="shared" ref="G206:P206" si="33">+IF(G127=0,IF(G46&lt;&gt;0,100%,0),(G46-G127)/G127)</f>
        <v>0</v>
      </c>
      <c r="H206" s="122">
        <f t="shared" si="33"/>
        <v>0</v>
      </c>
      <c r="I206" s="122">
        <f t="shared" si="33"/>
        <v>0</v>
      </c>
      <c r="J206" s="122">
        <f t="shared" si="33"/>
        <v>0</v>
      </c>
      <c r="K206" s="122">
        <f t="shared" si="33"/>
        <v>0</v>
      </c>
      <c r="L206" s="122">
        <f t="shared" si="33"/>
        <v>0</v>
      </c>
      <c r="M206" s="122">
        <f t="shared" si="33"/>
        <v>0</v>
      </c>
      <c r="N206" s="122">
        <f t="shared" si="33"/>
        <v>0</v>
      </c>
      <c r="O206" s="122">
        <f t="shared" si="33"/>
        <v>0</v>
      </c>
      <c r="P206" s="122">
        <f t="shared" si="33"/>
        <v>0</v>
      </c>
      <c r="Q206" s="519"/>
    </row>
    <row r="207" spans="2:17" x14ac:dyDescent="0.25">
      <c r="B207" s="528"/>
      <c r="C207" s="521"/>
      <c r="D207" s="521"/>
      <c r="E207" s="521"/>
      <c r="F207" s="522"/>
      <c r="G207" s="170"/>
      <c r="H207" s="170"/>
      <c r="I207" s="170"/>
      <c r="J207" s="170"/>
      <c r="K207" s="170"/>
      <c r="L207" s="170"/>
      <c r="M207" s="170"/>
      <c r="N207" s="170"/>
      <c r="O207" s="170"/>
      <c r="P207" s="170"/>
      <c r="Q207" s="519"/>
    </row>
    <row r="208" spans="2:17" x14ac:dyDescent="0.25">
      <c r="B208" s="520"/>
      <c r="C208" s="521" t="s">
        <v>111</v>
      </c>
      <c r="D208" s="521"/>
      <c r="E208" s="521"/>
      <c r="F208" s="522">
        <v>60</v>
      </c>
      <c r="G208" s="170">
        <f t="shared" ref="G208:P208" si="34">+IF(G129=0,IF(G48&lt;&gt;0,100%,0),(G48-G129)/G129)</f>
        <v>0</v>
      </c>
      <c r="H208" s="170">
        <f t="shared" si="34"/>
        <v>0</v>
      </c>
      <c r="I208" s="170">
        <f t="shared" si="34"/>
        <v>0</v>
      </c>
      <c r="J208" s="170">
        <f t="shared" si="34"/>
        <v>0</v>
      </c>
      <c r="K208" s="170">
        <f t="shared" si="34"/>
        <v>0</v>
      </c>
      <c r="L208" s="170">
        <f t="shared" si="34"/>
        <v>0</v>
      </c>
      <c r="M208" s="170">
        <f t="shared" si="34"/>
        <v>0</v>
      </c>
      <c r="N208" s="170">
        <f t="shared" si="34"/>
        <v>0</v>
      </c>
      <c r="O208" s="170">
        <f t="shared" si="34"/>
        <v>0</v>
      </c>
      <c r="P208" s="170">
        <f t="shared" si="34"/>
        <v>0</v>
      </c>
      <c r="Q208" s="519"/>
    </row>
    <row r="209" spans="2:17" x14ac:dyDescent="0.25">
      <c r="B209" s="520"/>
      <c r="C209" s="530" t="s">
        <v>112</v>
      </c>
      <c r="D209" s="521"/>
      <c r="E209" s="521"/>
      <c r="F209" s="522">
        <v>61</v>
      </c>
      <c r="G209" s="170">
        <f t="shared" ref="G209:P209" si="35">+IF(G130=0,IF(G49&lt;&gt;0,100%,0),(G49-G130)/G130)</f>
        <v>0</v>
      </c>
      <c r="H209" s="170">
        <f t="shared" si="35"/>
        <v>0</v>
      </c>
      <c r="I209" s="170">
        <f t="shared" si="35"/>
        <v>0</v>
      </c>
      <c r="J209" s="170">
        <f t="shared" si="35"/>
        <v>0</v>
      </c>
      <c r="K209" s="170">
        <f t="shared" si="35"/>
        <v>0</v>
      </c>
      <c r="L209" s="170">
        <f t="shared" si="35"/>
        <v>0</v>
      </c>
      <c r="M209" s="170">
        <f t="shared" si="35"/>
        <v>0</v>
      </c>
      <c r="N209" s="170">
        <f t="shared" si="35"/>
        <v>0</v>
      </c>
      <c r="O209" s="170">
        <f t="shared" si="35"/>
        <v>0</v>
      </c>
      <c r="P209" s="170">
        <f t="shared" si="35"/>
        <v>0</v>
      </c>
      <c r="Q209" s="519"/>
    </row>
    <row r="210" spans="2:17" x14ac:dyDescent="0.25">
      <c r="B210" s="520"/>
      <c r="C210" s="521" t="s">
        <v>113</v>
      </c>
      <c r="D210" s="521"/>
      <c r="E210" s="521"/>
      <c r="F210" s="522">
        <v>62</v>
      </c>
      <c r="G210" s="170">
        <f t="shared" ref="G210:P210" si="36">+IF(G131=0,IF(G50&lt;&gt;0,100%,0),(G50-G131)/G131)</f>
        <v>0</v>
      </c>
      <c r="H210" s="170">
        <f t="shared" si="36"/>
        <v>0</v>
      </c>
      <c r="I210" s="170">
        <f t="shared" si="36"/>
        <v>0</v>
      </c>
      <c r="J210" s="170">
        <f t="shared" si="36"/>
        <v>0</v>
      </c>
      <c r="K210" s="170">
        <f t="shared" si="36"/>
        <v>0</v>
      </c>
      <c r="L210" s="170">
        <f t="shared" si="36"/>
        <v>0</v>
      </c>
      <c r="M210" s="170">
        <f t="shared" si="36"/>
        <v>0</v>
      </c>
      <c r="N210" s="170">
        <f t="shared" si="36"/>
        <v>0</v>
      </c>
      <c r="O210" s="170">
        <f t="shared" si="36"/>
        <v>0</v>
      </c>
      <c r="P210" s="170">
        <f t="shared" si="36"/>
        <v>0</v>
      </c>
      <c r="Q210" s="519"/>
    </row>
    <row r="211" spans="2:17" ht="12.75" customHeight="1" x14ac:dyDescent="0.25">
      <c r="B211" s="520"/>
      <c r="C211" s="745" t="s">
        <v>209</v>
      </c>
      <c r="D211" s="745"/>
      <c r="E211" s="746"/>
      <c r="F211" s="747">
        <v>630</v>
      </c>
      <c r="G211" s="170"/>
      <c r="H211" s="170"/>
      <c r="I211" s="170"/>
      <c r="J211" s="170"/>
      <c r="K211" s="170"/>
      <c r="L211" s="170"/>
      <c r="M211" s="170"/>
      <c r="N211" s="170"/>
      <c r="O211" s="170"/>
      <c r="P211" s="170"/>
      <c r="Q211" s="519"/>
    </row>
    <row r="212" spans="2:17" x14ac:dyDescent="0.25">
      <c r="B212" s="520"/>
      <c r="C212" s="745"/>
      <c r="D212" s="745"/>
      <c r="E212" s="746"/>
      <c r="F212" s="747"/>
      <c r="G212" s="170">
        <f t="shared" ref="G212:P212" si="37">+IF(G133=0,IF(G52&lt;&gt;0,100%,0),(G52-G133)/G133)</f>
        <v>0</v>
      </c>
      <c r="H212" s="170">
        <f t="shared" si="37"/>
        <v>0</v>
      </c>
      <c r="I212" s="170">
        <f t="shared" si="37"/>
        <v>0</v>
      </c>
      <c r="J212" s="170">
        <f t="shared" si="37"/>
        <v>0</v>
      </c>
      <c r="K212" s="170">
        <f t="shared" si="37"/>
        <v>0</v>
      </c>
      <c r="L212" s="170">
        <f t="shared" si="37"/>
        <v>0</v>
      </c>
      <c r="M212" s="170">
        <f t="shared" si="37"/>
        <v>0</v>
      </c>
      <c r="N212" s="170">
        <f t="shared" si="37"/>
        <v>0</v>
      </c>
      <c r="O212" s="170">
        <f t="shared" si="37"/>
        <v>0</v>
      </c>
      <c r="P212" s="170">
        <f t="shared" si="37"/>
        <v>0</v>
      </c>
      <c r="Q212" s="519"/>
    </row>
    <row r="213" spans="2:17" ht="12.75" customHeight="1" x14ac:dyDescent="0.25">
      <c r="B213" s="520"/>
      <c r="C213" s="745" t="s">
        <v>210</v>
      </c>
      <c r="D213" s="745"/>
      <c r="E213" s="746"/>
      <c r="F213" s="747" t="s">
        <v>18</v>
      </c>
      <c r="G213" s="170"/>
      <c r="H213" s="170"/>
      <c r="I213" s="170"/>
      <c r="J213" s="170"/>
      <c r="K213" s="170"/>
      <c r="L213" s="170"/>
      <c r="M213" s="170"/>
      <c r="N213" s="170"/>
      <c r="O213" s="170"/>
      <c r="P213" s="170"/>
      <c r="Q213" s="519"/>
    </row>
    <row r="214" spans="2:17" x14ac:dyDescent="0.25">
      <c r="B214" s="520"/>
      <c r="C214" s="745"/>
      <c r="D214" s="745"/>
      <c r="E214" s="746"/>
      <c r="F214" s="747"/>
      <c r="G214" s="170"/>
      <c r="H214" s="170"/>
      <c r="I214" s="170"/>
      <c r="J214" s="170"/>
      <c r="K214" s="170"/>
      <c r="L214" s="170"/>
      <c r="M214" s="170"/>
      <c r="N214" s="170"/>
      <c r="O214" s="170"/>
      <c r="P214" s="170"/>
      <c r="Q214" s="519"/>
    </row>
    <row r="215" spans="2:17" ht="15" customHeight="1" x14ac:dyDescent="0.25">
      <c r="B215" s="520"/>
      <c r="C215" s="745"/>
      <c r="D215" s="745"/>
      <c r="E215" s="746"/>
      <c r="F215" s="747"/>
      <c r="G215" s="170">
        <f t="shared" ref="G215:P215" si="38">+IF(G136=0,IF(G55&lt;&gt;0,100%,0),(G55-G136)/G136)</f>
        <v>0</v>
      </c>
      <c r="H215" s="170">
        <f t="shared" si="38"/>
        <v>0</v>
      </c>
      <c r="I215" s="170">
        <f t="shared" si="38"/>
        <v>0</v>
      </c>
      <c r="J215" s="170">
        <f t="shared" si="38"/>
        <v>0</v>
      </c>
      <c r="K215" s="170">
        <f t="shared" si="38"/>
        <v>0</v>
      </c>
      <c r="L215" s="170">
        <f t="shared" si="38"/>
        <v>0</v>
      </c>
      <c r="M215" s="170">
        <f t="shared" si="38"/>
        <v>0</v>
      </c>
      <c r="N215" s="170">
        <f t="shared" si="38"/>
        <v>0</v>
      </c>
      <c r="O215" s="170">
        <f t="shared" si="38"/>
        <v>0</v>
      </c>
      <c r="P215" s="170">
        <f t="shared" si="38"/>
        <v>0</v>
      </c>
      <c r="Q215" s="519"/>
    </row>
    <row r="216" spans="2:17" ht="12.75" customHeight="1" x14ac:dyDescent="0.25">
      <c r="B216" s="520"/>
      <c r="C216" s="745" t="s">
        <v>211</v>
      </c>
      <c r="D216" s="745"/>
      <c r="E216" s="746"/>
      <c r="F216" s="747" t="s">
        <v>233</v>
      </c>
      <c r="G216" s="170"/>
      <c r="H216" s="170"/>
      <c r="I216" s="170"/>
      <c r="J216" s="170"/>
      <c r="K216" s="170"/>
      <c r="L216" s="170"/>
      <c r="M216" s="170"/>
      <c r="N216" s="170"/>
      <c r="O216" s="170"/>
      <c r="P216" s="170"/>
      <c r="Q216" s="519"/>
    </row>
    <row r="217" spans="2:17" ht="16.5" customHeight="1" x14ac:dyDescent="0.25">
      <c r="B217" s="520"/>
      <c r="C217" s="745"/>
      <c r="D217" s="745"/>
      <c r="E217" s="746"/>
      <c r="F217" s="747"/>
      <c r="G217" s="170">
        <f t="shared" ref="G217:P217" si="39">+IF(G138=0,IF(G57&lt;&gt;0,100%,0),(G57-G138)/G138)</f>
        <v>0</v>
      </c>
      <c r="H217" s="170">
        <f t="shared" si="39"/>
        <v>0</v>
      </c>
      <c r="I217" s="170">
        <f t="shared" si="39"/>
        <v>0</v>
      </c>
      <c r="J217" s="170">
        <f t="shared" si="39"/>
        <v>0</v>
      </c>
      <c r="K217" s="170">
        <f t="shared" si="39"/>
        <v>0</v>
      </c>
      <c r="L217" s="170">
        <f t="shared" si="39"/>
        <v>0</v>
      </c>
      <c r="M217" s="170">
        <f t="shared" si="39"/>
        <v>0</v>
      </c>
      <c r="N217" s="170">
        <f t="shared" si="39"/>
        <v>0</v>
      </c>
      <c r="O217" s="170">
        <f t="shared" si="39"/>
        <v>0</v>
      </c>
      <c r="P217" s="170">
        <f t="shared" si="39"/>
        <v>0</v>
      </c>
      <c r="Q217" s="519"/>
    </row>
    <row r="218" spans="2:17" x14ac:dyDescent="0.25">
      <c r="B218" s="520"/>
      <c r="C218" s="521" t="s">
        <v>114</v>
      </c>
      <c r="D218" s="521"/>
      <c r="E218" s="521"/>
      <c r="F218" s="522" t="s">
        <v>19</v>
      </c>
      <c r="G218" s="170">
        <f t="shared" ref="G218:P218" si="40">+IF(G139=0,IF(G58&lt;&gt;0,100%,0),(G58-G139)/G139)</f>
        <v>0</v>
      </c>
      <c r="H218" s="170">
        <f t="shared" si="40"/>
        <v>0</v>
      </c>
      <c r="I218" s="170">
        <f t="shared" si="40"/>
        <v>0</v>
      </c>
      <c r="J218" s="170">
        <f t="shared" si="40"/>
        <v>0</v>
      </c>
      <c r="K218" s="170">
        <f t="shared" si="40"/>
        <v>0</v>
      </c>
      <c r="L218" s="170">
        <f t="shared" si="40"/>
        <v>0</v>
      </c>
      <c r="M218" s="170">
        <f t="shared" si="40"/>
        <v>0</v>
      </c>
      <c r="N218" s="170">
        <f t="shared" si="40"/>
        <v>0</v>
      </c>
      <c r="O218" s="170">
        <f t="shared" si="40"/>
        <v>0</v>
      </c>
      <c r="P218" s="170">
        <f t="shared" si="40"/>
        <v>0</v>
      </c>
      <c r="Q218" s="519"/>
    </row>
    <row r="219" spans="2:17" ht="12.6" customHeight="1" x14ac:dyDescent="0.25">
      <c r="B219" s="520"/>
      <c r="C219" s="745" t="s">
        <v>230</v>
      </c>
      <c r="D219" s="745"/>
      <c r="E219" s="746"/>
      <c r="F219" s="747">
        <v>649</v>
      </c>
      <c r="G219" s="170"/>
      <c r="H219" s="170"/>
      <c r="I219" s="170"/>
      <c r="J219" s="170"/>
      <c r="K219" s="170"/>
      <c r="L219" s="170"/>
      <c r="M219" s="170"/>
      <c r="N219" s="170"/>
      <c r="O219" s="170"/>
      <c r="P219" s="170"/>
      <c r="Q219" s="519"/>
    </row>
    <row r="220" spans="2:17" x14ac:dyDescent="0.25">
      <c r="B220" s="520"/>
      <c r="C220" s="745"/>
      <c r="D220" s="745"/>
      <c r="E220" s="746"/>
      <c r="F220" s="747"/>
      <c r="G220" s="170">
        <f t="shared" ref="G220:P220" si="41">+IF(G141=0,IF(G60&lt;&gt;0,100%,0),(G60-G141)/G141)</f>
        <v>0</v>
      </c>
      <c r="H220" s="170">
        <f t="shared" si="41"/>
        <v>0</v>
      </c>
      <c r="I220" s="170">
        <f t="shared" si="41"/>
        <v>0</v>
      </c>
      <c r="J220" s="170">
        <f t="shared" si="41"/>
        <v>0</v>
      </c>
      <c r="K220" s="170">
        <f t="shared" si="41"/>
        <v>0</v>
      </c>
      <c r="L220" s="170">
        <f t="shared" si="41"/>
        <v>0</v>
      </c>
      <c r="M220" s="170">
        <f t="shared" si="41"/>
        <v>0</v>
      </c>
      <c r="N220" s="170">
        <f t="shared" si="41"/>
        <v>0</v>
      </c>
      <c r="O220" s="170">
        <f t="shared" si="41"/>
        <v>0</v>
      </c>
      <c r="P220" s="170">
        <f t="shared" si="41"/>
        <v>0</v>
      </c>
      <c r="Q220" s="519"/>
    </row>
    <row r="221" spans="2:17" x14ac:dyDescent="0.25">
      <c r="B221" s="520"/>
      <c r="C221" s="521" t="s">
        <v>318</v>
      </c>
      <c r="D221" s="521"/>
      <c r="E221" s="521"/>
      <c r="F221" s="522" t="s">
        <v>319</v>
      </c>
      <c r="G221" s="170">
        <f t="shared" ref="G221:P221" si="42">+IF(G142=0,IF(G61&lt;&gt;0,100%,0),(G61-G142)/G142)</f>
        <v>0</v>
      </c>
      <c r="H221" s="170">
        <f t="shared" si="42"/>
        <v>0</v>
      </c>
      <c r="I221" s="170">
        <f t="shared" si="42"/>
        <v>0</v>
      </c>
      <c r="J221" s="170">
        <f t="shared" si="42"/>
        <v>0</v>
      </c>
      <c r="K221" s="170">
        <f t="shared" si="42"/>
        <v>0</v>
      </c>
      <c r="L221" s="170">
        <f t="shared" si="42"/>
        <v>0</v>
      </c>
      <c r="M221" s="170">
        <f t="shared" si="42"/>
        <v>0</v>
      </c>
      <c r="N221" s="170">
        <f t="shared" si="42"/>
        <v>0</v>
      </c>
      <c r="O221" s="170">
        <f t="shared" si="42"/>
        <v>0</v>
      </c>
      <c r="P221" s="170">
        <f t="shared" si="42"/>
        <v>0</v>
      </c>
      <c r="Q221" s="519"/>
    </row>
    <row r="222" spans="2:17" x14ac:dyDescent="0.25">
      <c r="B222" s="520"/>
      <c r="C222" s="530"/>
      <c r="D222" s="521"/>
      <c r="E222" s="521"/>
      <c r="F222" s="522"/>
      <c r="G222" s="170"/>
      <c r="H222" s="170"/>
      <c r="I222" s="170"/>
      <c r="J222" s="170"/>
      <c r="K222" s="170"/>
      <c r="L222" s="170"/>
      <c r="M222" s="170"/>
      <c r="N222" s="170"/>
      <c r="O222" s="170"/>
      <c r="P222" s="170"/>
      <c r="Q222" s="519"/>
    </row>
    <row r="223" spans="2:17" x14ac:dyDescent="0.25">
      <c r="B223" s="531" t="s">
        <v>73</v>
      </c>
      <c r="C223" s="532"/>
      <c r="D223" s="525"/>
      <c r="E223" s="525"/>
      <c r="F223" s="526" t="s">
        <v>323</v>
      </c>
      <c r="G223" s="122">
        <f t="shared" ref="G223:P223" si="43">+IF(G144=0,IF(G63&lt;&gt;0,100%,0),(G63-G144)/G144)</f>
        <v>0</v>
      </c>
      <c r="H223" s="122">
        <f t="shared" si="43"/>
        <v>0</v>
      </c>
      <c r="I223" s="122">
        <f t="shared" si="43"/>
        <v>0</v>
      </c>
      <c r="J223" s="122">
        <f t="shared" si="43"/>
        <v>0</v>
      </c>
      <c r="K223" s="122">
        <f t="shared" si="43"/>
        <v>0</v>
      </c>
      <c r="L223" s="122">
        <f t="shared" si="43"/>
        <v>0</v>
      </c>
      <c r="M223" s="122">
        <f t="shared" si="43"/>
        <v>0</v>
      </c>
      <c r="N223" s="122">
        <f t="shared" si="43"/>
        <v>0</v>
      </c>
      <c r="O223" s="122">
        <f t="shared" si="43"/>
        <v>0</v>
      </c>
      <c r="P223" s="122">
        <f t="shared" si="43"/>
        <v>0</v>
      </c>
      <c r="Q223" s="519"/>
    </row>
    <row r="224" spans="2:17" x14ac:dyDescent="0.25">
      <c r="B224" s="531"/>
      <c r="C224" s="532"/>
      <c r="D224" s="525"/>
      <c r="E224" s="525"/>
      <c r="F224" s="526"/>
      <c r="G224" s="122"/>
      <c r="H224" s="122"/>
      <c r="I224" s="122"/>
      <c r="J224" s="122"/>
      <c r="K224" s="122"/>
      <c r="L224" s="122"/>
      <c r="M224" s="122"/>
      <c r="N224" s="122"/>
      <c r="O224" s="122"/>
      <c r="P224" s="122"/>
      <c r="Q224" s="519"/>
    </row>
    <row r="225" spans="2:17" x14ac:dyDescent="0.25">
      <c r="B225" s="520"/>
      <c r="C225" s="521" t="s">
        <v>328</v>
      </c>
      <c r="D225" s="521"/>
      <c r="E225" s="521"/>
      <c r="F225" s="522">
        <v>65</v>
      </c>
      <c r="G225" s="170">
        <f t="shared" ref="G225:P225" si="44">+IF(G146=0,IF(G65&lt;&gt;0,100%,0),(G65-G146)/G146)</f>
        <v>0</v>
      </c>
      <c r="H225" s="170">
        <f t="shared" si="44"/>
        <v>0</v>
      </c>
      <c r="I225" s="170">
        <f t="shared" si="44"/>
        <v>0</v>
      </c>
      <c r="J225" s="170">
        <f t="shared" si="44"/>
        <v>0</v>
      </c>
      <c r="K225" s="170">
        <f t="shared" si="44"/>
        <v>0</v>
      </c>
      <c r="L225" s="170">
        <f t="shared" si="44"/>
        <v>0</v>
      </c>
      <c r="M225" s="170">
        <f t="shared" si="44"/>
        <v>0</v>
      </c>
      <c r="N225" s="170">
        <f t="shared" si="44"/>
        <v>0</v>
      </c>
      <c r="O225" s="170">
        <f t="shared" si="44"/>
        <v>0</v>
      </c>
      <c r="P225" s="170">
        <f t="shared" si="44"/>
        <v>0</v>
      </c>
      <c r="Q225" s="519"/>
    </row>
    <row r="226" spans="2:17" x14ac:dyDescent="0.25">
      <c r="B226" s="520"/>
      <c r="C226" s="521" t="s">
        <v>329</v>
      </c>
      <c r="D226" s="521"/>
      <c r="E226" s="521"/>
      <c r="F226" s="522" t="s">
        <v>322</v>
      </c>
      <c r="G226" s="170">
        <f t="shared" ref="G226:P226" si="45">+IF(G147=0,IF(G66&lt;&gt;0,100%,0),(G66-G147)/G147)</f>
        <v>0</v>
      </c>
      <c r="H226" s="170">
        <f t="shared" si="45"/>
        <v>0</v>
      </c>
      <c r="I226" s="170">
        <f t="shared" si="45"/>
        <v>0</v>
      </c>
      <c r="J226" s="170">
        <f t="shared" si="45"/>
        <v>0</v>
      </c>
      <c r="K226" s="170">
        <f t="shared" si="45"/>
        <v>0</v>
      </c>
      <c r="L226" s="170">
        <f t="shared" si="45"/>
        <v>0</v>
      </c>
      <c r="M226" s="170">
        <f t="shared" si="45"/>
        <v>0</v>
      </c>
      <c r="N226" s="170">
        <f t="shared" si="45"/>
        <v>0</v>
      </c>
      <c r="O226" s="170">
        <f t="shared" si="45"/>
        <v>0</v>
      </c>
      <c r="P226" s="170">
        <f t="shared" si="45"/>
        <v>0</v>
      </c>
      <c r="Q226" s="519"/>
    </row>
    <row r="227" spans="2:17" x14ac:dyDescent="0.25">
      <c r="B227" s="534"/>
      <c r="C227" s="535"/>
      <c r="D227" s="536"/>
      <c r="E227" s="536"/>
      <c r="F227" s="537"/>
      <c r="G227" s="123"/>
      <c r="H227" s="123"/>
      <c r="I227" s="123"/>
      <c r="J227" s="123"/>
      <c r="K227" s="123"/>
      <c r="L227" s="123"/>
      <c r="M227" s="123"/>
      <c r="N227" s="123"/>
      <c r="O227" s="123"/>
      <c r="P227" s="122"/>
      <c r="Q227" s="519"/>
    </row>
    <row r="228" spans="2:17" ht="12.75" customHeight="1" x14ac:dyDescent="0.25">
      <c r="B228" s="724" t="s">
        <v>213</v>
      </c>
      <c r="C228" s="725"/>
      <c r="D228" s="725"/>
      <c r="E228" s="726"/>
      <c r="F228" s="727">
        <v>68</v>
      </c>
      <c r="G228" s="122"/>
      <c r="H228" s="122"/>
      <c r="I228" s="122"/>
      <c r="J228" s="122"/>
      <c r="K228" s="122"/>
      <c r="L228" s="122"/>
      <c r="M228" s="122"/>
      <c r="N228" s="122"/>
      <c r="O228" s="122"/>
      <c r="P228" s="122"/>
      <c r="Q228" s="519"/>
    </row>
    <row r="229" spans="2:17" x14ac:dyDescent="0.25">
      <c r="B229" s="724"/>
      <c r="C229" s="725"/>
      <c r="D229" s="725"/>
      <c r="E229" s="726"/>
      <c r="F229" s="727"/>
      <c r="G229" s="122">
        <f t="shared" ref="G229:P229" si="46">+IF(G150=0,IF(G69&lt;&gt;0,100%,0),(G69-G150)/G150)</f>
        <v>0</v>
      </c>
      <c r="H229" s="122">
        <f t="shared" si="46"/>
        <v>0</v>
      </c>
      <c r="I229" s="122">
        <f t="shared" si="46"/>
        <v>0</v>
      </c>
      <c r="J229" s="122">
        <f t="shared" si="46"/>
        <v>0</v>
      </c>
      <c r="K229" s="122">
        <f t="shared" si="46"/>
        <v>0</v>
      </c>
      <c r="L229" s="122">
        <f t="shared" si="46"/>
        <v>0</v>
      </c>
      <c r="M229" s="122">
        <f t="shared" si="46"/>
        <v>0</v>
      </c>
      <c r="N229" s="122">
        <f t="shared" si="46"/>
        <v>0</v>
      </c>
      <c r="O229" s="122">
        <f t="shared" si="46"/>
        <v>0</v>
      </c>
      <c r="P229" s="122">
        <f t="shared" si="46"/>
        <v>0</v>
      </c>
      <c r="Q229" s="519"/>
    </row>
    <row r="230" spans="2:17" x14ac:dyDescent="0.25">
      <c r="B230" s="534"/>
      <c r="C230" s="536"/>
      <c r="D230" s="536"/>
      <c r="E230" s="536"/>
      <c r="F230" s="537"/>
      <c r="G230" s="123"/>
      <c r="H230" s="123"/>
      <c r="I230" s="123"/>
      <c r="J230" s="123"/>
      <c r="K230" s="123"/>
      <c r="L230" s="123"/>
      <c r="M230" s="123"/>
      <c r="N230" s="123"/>
      <c r="O230" s="123"/>
      <c r="P230" s="123"/>
      <c r="Q230" s="519"/>
    </row>
    <row r="231" spans="2:17" x14ac:dyDescent="0.25">
      <c r="B231" s="531" t="s">
        <v>140</v>
      </c>
      <c r="C231" s="525"/>
      <c r="D231" s="525"/>
      <c r="E231" s="525"/>
      <c r="F231" s="526">
        <v>67</v>
      </c>
      <c r="G231" s="122">
        <f t="shared" ref="G231:P231" si="47">+IF(G152=0,IF(G71&lt;&gt;0,100%,0),(G71-G152)/G152)</f>
        <v>0</v>
      </c>
      <c r="H231" s="122">
        <f t="shared" si="47"/>
        <v>0</v>
      </c>
      <c r="I231" s="122">
        <f t="shared" si="47"/>
        <v>0</v>
      </c>
      <c r="J231" s="122">
        <f t="shared" si="47"/>
        <v>0</v>
      </c>
      <c r="K231" s="122">
        <f t="shared" si="47"/>
        <v>0</v>
      </c>
      <c r="L231" s="122">
        <f t="shared" si="47"/>
        <v>0</v>
      </c>
      <c r="M231" s="122">
        <f t="shared" si="47"/>
        <v>0</v>
      </c>
      <c r="N231" s="122">
        <f t="shared" si="47"/>
        <v>0</v>
      </c>
      <c r="O231" s="122">
        <f t="shared" si="47"/>
        <v>0</v>
      </c>
      <c r="P231" s="122">
        <f t="shared" si="47"/>
        <v>0</v>
      </c>
      <c r="Q231" s="519"/>
    </row>
    <row r="232" spans="2:17" x14ac:dyDescent="0.25">
      <c r="B232" s="534"/>
      <c r="C232" s="536"/>
      <c r="D232" s="536"/>
      <c r="E232" s="536"/>
      <c r="F232" s="537"/>
      <c r="G232" s="123"/>
      <c r="H232" s="123"/>
      <c r="I232" s="123"/>
      <c r="J232" s="123"/>
      <c r="K232" s="123"/>
      <c r="L232" s="123"/>
      <c r="M232" s="123"/>
      <c r="N232" s="123"/>
      <c r="O232" s="123"/>
      <c r="P232" s="123"/>
      <c r="Q232" s="519"/>
    </row>
    <row r="233" spans="2:17" x14ac:dyDescent="0.25">
      <c r="B233" s="531" t="s">
        <v>214</v>
      </c>
      <c r="C233" s="525"/>
      <c r="D233" s="532"/>
      <c r="E233" s="525"/>
      <c r="F233" s="526"/>
      <c r="G233" s="122">
        <f t="shared" ref="G233:P233" si="48">+IF(G154=0,IF(G73&lt;&gt;0,100%,0),(G73-G154)/G154)</f>
        <v>0</v>
      </c>
      <c r="H233" s="122">
        <f t="shared" si="48"/>
        <v>0</v>
      </c>
      <c r="I233" s="122">
        <f t="shared" si="48"/>
        <v>0</v>
      </c>
      <c r="J233" s="122">
        <f t="shared" si="48"/>
        <v>0</v>
      </c>
      <c r="K233" s="122">
        <f t="shared" si="48"/>
        <v>0</v>
      </c>
      <c r="L233" s="122">
        <f t="shared" si="48"/>
        <v>0</v>
      </c>
      <c r="M233" s="122">
        <f t="shared" si="48"/>
        <v>0</v>
      </c>
      <c r="N233" s="122">
        <f t="shared" si="48"/>
        <v>0</v>
      </c>
      <c r="O233" s="122">
        <f t="shared" si="48"/>
        <v>0</v>
      </c>
      <c r="P233" s="122">
        <f t="shared" si="48"/>
        <v>0</v>
      </c>
      <c r="Q233" s="519"/>
    </row>
    <row r="234" spans="2:17" x14ac:dyDescent="0.25">
      <c r="B234" s="520"/>
      <c r="C234" s="521"/>
      <c r="D234" s="521"/>
      <c r="E234" s="521"/>
      <c r="F234" s="541"/>
      <c r="G234" s="170"/>
      <c r="H234" s="170"/>
      <c r="I234" s="170"/>
      <c r="J234" s="170"/>
      <c r="K234" s="170"/>
      <c r="L234" s="170"/>
      <c r="M234" s="170"/>
      <c r="N234" s="170"/>
      <c r="O234" s="170"/>
      <c r="P234" s="170"/>
      <c r="Q234" s="519"/>
    </row>
    <row r="235" spans="2:17" ht="15.6" x14ac:dyDescent="0.25">
      <c r="B235" s="543"/>
      <c r="C235" s="544"/>
      <c r="D235" s="544"/>
      <c r="E235" s="545"/>
      <c r="F235" s="546"/>
      <c r="G235" s="124"/>
      <c r="H235" s="124"/>
      <c r="I235" s="124"/>
      <c r="J235" s="124"/>
      <c r="K235" s="124"/>
      <c r="L235" s="124"/>
      <c r="M235" s="124"/>
      <c r="N235" s="124"/>
      <c r="O235" s="124"/>
      <c r="P235" s="124"/>
      <c r="Q235" s="519"/>
    </row>
    <row r="236" spans="2:17" ht="13.8" x14ac:dyDescent="0.25">
      <c r="B236" s="548"/>
      <c r="C236" s="549"/>
      <c r="D236" s="549"/>
      <c r="E236" s="550" t="s">
        <v>16</v>
      </c>
      <c r="F236" s="551"/>
      <c r="G236" s="125">
        <f t="shared" ref="G236:P236" si="49">+IF(G157=0,IF(G76&lt;&gt;0,100%,0),(G76-G157)/G157)</f>
        <v>0</v>
      </c>
      <c r="H236" s="125">
        <f t="shared" si="49"/>
        <v>0</v>
      </c>
      <c r="I236" s="125">
        <f t="shared" si="49"/>
        <v>0</v>
      </c>
      <c r="J236" s="125">
        <f t="shared" si="49"/>
        <v>0</v>
      </c>
      <c r="K236" s="125">
        <f t="shared" si="49"/>
        <v>0</v>
      </c>
      <c r="L236" s="125">
        <f t="shared" si="49"/>
        <v>0</v>
      </c>
      <c r="M236" s="125">
        <f t="shared" si="49"/>
        <v>0</v>
      </c>
      <c r="N236" s="125">
        <f t="shared" si="49"/>
        <v>0</v>
      </c>
      <c r="O236" s="125">
        <f t="shared" si="49"/>
        <v>0</v>
      </c>
      <c r="P236" s="125">
        <f t="shared" si="49"/>
        <v>0</v>
      </c>
      <c r="Q236" s="519"/>
    </row>
    <row r="237" spans="2:17" ht="16.2" thickBot="1" x14ac:dyDescent="0.3">
      <c r="B237" s="553"/>
      <c r="C237" s="554"/>
      <c r="D237" s="554"/>
      <c r="E237" s="555"/>
      <c r="F237" s="556"/>
      <c r="G237" s="126"/>
      <c r="H237" s="126"/>
      <c r="I237" s="126"/>
      <c r="J237" s="126"/>
      <c r="K237" s="126"/>
      <c r="L237" s="126"/>
      <c r="M237" s="126"/>
      <c r="N237" s="126"/>
      <c r="O237" s="126"/>
      <c r="P237" s="126"/>
      <c r="Q237" s="519"/>
    </row>
    <row r="238" spans="2:17" ht="13.8" thickTop="1" x14ac:dyDescent="0.25">
      <c r="B238" s="521"/>
      <c r="C238" s="521"/>
      <c r="D238" s="521"/>
      <c r="E238" s="521"/>
      <c r="F238" s="561"/>
      <c r="G238" s="562"/>
      <c r="H238" s="562"/>
      <c r="I238" s="562"/>
      <c r="J238" s="562"/>
      <c r="K238" s="562"/>
      <c r="L238" s="562"/>
      <c r="M238" s="562"/>
      <c r="N238" s="562"/>
      <c r="O238" s="562"/>
      <c r="P238" s="562"/>
      <c r="Q238" s="519"/>
    </row>
    <row r="239" spans="2:17" x14ac:dyDescent="0.25">
      <c r="B239" s="521"/>
      <c r="C239" s="521"/>
      <c r="D239" s="521"/>
      <c r="E239" s="521"/>
      <c r="F239" s="561"/>
      <c r="G239" s="562"/>
      <c r="H239" s="562"/>
      <c r="I239" s="562"/>
      <c r="J239" s="562"/>
      <c r="K239" s="562"/>
      <c r="L239" s="562"/>
      <c r="M239" s="562"/>
      <c r="N239" s="562"/>
      <c r="O239" s="562"/>
      <c r="P239" s="573"/>
      <c r="Q239" s="519"/>
    </row>
    <row r="240" spans="2:17" x14ac:dyDescent="0.25">
      <c r="B240" s="521"/>
      <c r="C240" s="521"/>
      <c r="D240" s="521"/>
      <c r="E240" s="521"/>
      <c r="F240" s="561"/>
      <c r="G240" s="562"/>
      <c r="H240" s="562"/>
      <c r="I240" s="562"/>
      <c r="J240" s="562"/>
      <c r="K240" s="562"/>
      <c r="L240" s="562"/>
      <c r="M240" s="562"/>
      <c r="N240" s="562"/>
      <c r="O240" s="562"/>
      <c r="P240" s="573"/>
      <c r="Q240" s="519"/>
    </row>
    <row r="241" spans="2:17" x14ac:dyDescent="0.25">
      <c r="B241" s="521"/>
      <c r="C241" s="521"/>
      <c r="D241" s="521"/>
      <c r="E241" s="521"/>
      <c r="F241" s="561"/>
      <c r="G241" s="562"/>
      <c r="H241" s="562"/>
      <c r="I241" s="562"/>
      <c r="J241" s="562"/>
      <c r="K241" s="562"/>
      <c r="L241" s="562"/>
      <c r="M241" s="562"/>
      <c r="N241" s="562"/>
      <c r="O241" s="562"/>
      <c r="P241" s="573"/>
      <c r="Q241" s="519"/>
    </row>
  </sheetData>
  <sheetProtection algorithmName="SHA-512" hashValue="x0YwCeLKHEfUB/rE9rMXrFSpMCRVc+gRWfxStXc2lJKte+OWZK1ooRCJfTPIe1wR+p4cE/mCLCLz6OJACnyYVg==" saltValue="JQUddSx35kXmU/UAmBwYOQ==" spinCount="100000" sheet="1" objects="1" scenarios="1"/>
  <mergeCells count="88">
    <mergeCell ref="B165:P165"/>
    <mergeCell ref="B168:E169"/>
    <mergeCell ref="F168:F169"/>
    <mergeCell ref="G168:J169"/>
    <mergeCell ref="K168:N169"/>
    <mergeCell ref="O168:O169"/>
    <mergeCell ref="P168:P169"/>
    <mergeCell ref="B228:E229"/>
    <mergeCell ref="F228:F229"/>
    <mergeCell ref="C216:E217"/>
    <mergeCell ref="O201:O202"/>
    <mergeCell ref="P201:P202"/>
    <mergeCell ref="C211:E212"/>
    <mergeCell ref="F211:F212"/>
    <mergeCell ref="C213:E215"/>
    <mergeCell ref="F213:F215"/>
    <mergeCell ref="B201:E202"/>
    <mergeCell ref="F201:F202"/>
    <mergeCell ref="G201:J202"/>
    <mergeCell ref="K201:N202"/>
    <mergeCell ref="F216:F217"/>
    <mergeCell ref="C219:E220"/>
    <mergeCell ref="F219:F220"/>
    <mergeCell ref="G89:J90"/>
    <mergeCell ref="K89:N90"/>
    <mergeCell ref="O89:O90"/>
    <mergeCell ref="O122:O123"/>
    <mergeCell ref="B149:E150"/>
    <mergeCell ref="F149:F150"/>
    <mergeCell ref="C132:E133"/>
    <mergeCell ref="F132:F133"/>
    <mergeCell ref="C134:E136"/>
    <mergeCell ref="F134:F136"/>
    <mergeCell ref="B89:E90"/>
    <mergeCell ref="F89:F90"/>
    <mergeCell ref="C137:E138"/>
    <mergeCell ref="F137:F138"/>
    <mergeCell ref="C140:E141"/>
    <mergeCell ref="F140:F141"/>
    <mergeCell ref="P122:P123"/>
    <mergeCell ref="K122:N123"/>
    <mergeCell ref="C97:E99"/>
    <mergeCell ref="F97:F99"/>
    <mergeCell ref="B109:E110"/>
    <mergeCell ref="F109:F110"/>
    <mergeCell ref="B112:E113"/>
    <mergeCell ref="F112:F113"/>
    <mergeCell ref="B122:E123"/>
    <mergeCell ref="F122:F123"/>
    <mergeCell ref="G122:J123"/>
    <mergeCell ref="G41:J42"/>
    <mergeCell ref="K41:N42"/>
    <mergeCell ref="O41:O42"/>
    <mergeCell ref="F41:F42"/>
    <mergeCell ref="C53:E55"/>
    <mergeCell ref="F53:F55"/>
    <mergeCell ref="F51:F52"/>
    <mergeCell ref="C51:E52"/>
    <mergeCell ref="C56:E57"/>
    <mergeCell ref="F56:F57"/>
    <mergeCell ref="C59:E60"/>
    <mergeCell ref="F59:F60"/>
    <mergeCell ref="B68:E69"/>
    <mergeCell ref="F68:F69"/>
    <mergeCell ref="B1:P1"/>
    <mergeCell ref="B3:P3"/>
    <mergeCell ref="B8:E9"/>
    <mergeCell ref="F8:F9"/>
    <mergeCell ref="G8:J9"/>
    <mergeCell ref="K8:N9"/>
    <mergeCell ref="O8:O9"/>
    <mergeCell ref="P8:P9"/>
    <mergeCell ref="B191:E192"/>
    <mergeCell ref="F191:F192"/>
    <mergeCell ref="C16:E18"/>
    <mergeCell ref="B41:E42"/>
    <mergeCell ref="C176:E178"/>
    <mergeCell ref="F176:F178"/>
    <mergeCell ref="B188:E189"/>
    <mergeCell ref="F188:F189"/>
    <mergeCell ref="B84:P84"/>
    <mergeCell ref="P89:P90"/>
    <mergeCell ref="P41:P42"/>
    <mergeCell ref="F16:F18"/>
    <mergeCell ref="B28:E29"/>
    <mergeCell ref="F28:F29"/>
    <mergeCell ref="B31:E32"/>
    <mergeCell ref="F31:F32"/>
  </mergeCells>
  <pageMargins left="0.70866141732283472" right="0.70866141732283472" top="0.74803149606299213" bottom="0.74803149606299213" header="0.31496062992125984" footer="0.31496062992125984"/>
  <pageSetup paperSize="8" scale="22" orientation="landscape" r:id="rId1"/>
  <colBreaks count="1" manualBreakCount="1">
    <brk id="14" max="1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B1:T870"/>
  <sheetViews>
    <sheetView zoomScaleNormal="100" workbookViewId="0">
      <selection activeCell="B2" sqref="B2"/>
    </sheetView>
  </sheetViews>
  <sheetFormatPr defaultColWidth="9.109375" defaultRowHeight="13.2" x14ac:dyDescent="0.25"/>
  <cols>
    <col min="1" max="1" width="2.109375" style="27" customWidth="1"/>
    <col min="2" max="2" width="54.33203125" style="27" customWidth="1"/>
    <col min="3" max="3" width="27.6640625" style="27" customWidth="1"/>
    <col min="4" max="5" width="9.109375" style="27"/>
    <col min="6" max="6" width="12.44140625" style="27" customWidth="1"/>
    <col min="7" max="36" width="9.109375" style="27"/>
    <col min="37" max="37" width="13.5546875" style="27" customWidth="1"/>
    <col min="38" max="16384" width="9.109375" style="27"/>
  </cols>
  <sheetData>
    <row r="1" spans="2:20" s="10" customFormat="1" ht="20.399999999999999" customHeight="1" thickBot="1" x14ac:dyDescent="0.3">
      <c r="B1" s="689" t="s">
        <v>216</v>
      </c>
      <c r="C1" s="691"/>
    </row>
    <row r="2" spans="2:20" s="10" customFormat="1" x14ac:dyDescent="0.25"/>
    <row r="3" spans="2:20" s="10" customFormat="1" ht="13.8" thickBot="1" x14ac:dyDescent="0.3">
      <c r="B3" s="28" t="s">
        <v>151</v>
      </c>
    </row>
    <row r="4" spans="2:20" s="10" customFormat="1" ht="13.8" thickBot="1" x14ac:dyDescent="0.3">
      <c r="B4" s="158">
        <f>TITELBLAD!F17</f>
        <v>2025</v>
      </c>
    </row>
    <row r="5" spans="2:20" s="10" customFormat="1" x14ac:dyDescent="0.25"/>
    <row r="6" spans="2:20" s="10" customFormat="1" ht="13.8" thickBot="1" x14ac:dyDescent="0.3">
      <c r="B6" s="28" t="s">
        <v>48</v>
      </c>
    </row>
    <row r="7" spans="2:20" ht="13.8" thickBot="1" x14ac:dyDescent="0.3">
      <c r="B7" s="158" t="str">
        <f>TITELBLAD!D7</f>
        <v>DNB</v>
      </c>
      <c r="C7" s="10"/>
      <c r="D7" s="10"/>
      <c r="E7" s="10"/>
      <c r="F7" s="10"/>
      <c r="G7" s="10"/>
      <c r="H7" s="10"/>
      <c r="I7" s="10"/>
      <c r="J7" s="10"/>
      <c r="K7" s="10"/>
      <c r="L7" s="10"/>
      <c r="M7" s="10"/>
      <c r="N7" s="10"/>
      <c r="O7" s="10"/>
      <c r="P7" s="10"/>
      <c r="Q7" s="10"/>
      <c r="R7" s="10"/>
      <c r="S7" s="10"/>
      <c r="T7" s="10"/>
    </row>
    <row r="8" spans="2:20" s="10" customFormat="1" x14ac:dyDescent="0.25"/>
    <row r="9" spans="2:20" s="10" customFormat="1" ht="13.8" thickBot="1" x14ac:dyDescent="0.3">
      <c r="B9" s="28" t="s">
        <v>215</v>
      </c>
    </row>
    <row r="10" spans="2:20" ht="13.8" thickBot="1" x14ac:dyDescent="0.3">
      <c r="B10" s="158" t="str">
        <f>TITELBLAD!D10</f>
        <v>elektriciteit</v>
      </c>
      <c r="C10" s="10"/>
      <c r="D10" s="10"/>
      <c r="E10" s="10"/>
      <c r="F10" s="10"/>
      <c r="G10" s="10"/>
      <c r="H10" s="10"/>
      <c r="I10" s="10"/>
      <c r="J10" s="10"/>
      <c r="K10" s="10"/>
      <c r="L10" s="10"/>
      <c r="M10" s="10"/>
      <c r="N10" s="10"/>
      <c r="O10" s="10"/>
      <c r="P10" s="10"/>
      <c r="Q10" s="10"/>
      <c r="R10" s="10"/>
      <c r="S10" s="10"/>
      <c r="T10" s="10"/>
    </row>
    <row r="11" spans="2:20" s="10" customFormat="1" x14ac:dyDescent="0.25"/>
    <row r="12" spans="2:20" s="10" customFormat="1" x14ac:dyDescent="0.25">
      <c r="I12" s="29"/>
    </row>
    <row r="13" spans="2:20" s="10" customFormat="1" ht="13.8" thickBot="1" x14ac:dyDescent="0.3">
      <c r="B13" s="28" t="s">
        <v>152</v>
      </c>
      <c r="I13" s="29"/>
      <c r="J13" s="29"/>
      <c r="K13" s="29"/>
    </row>
    <row r="14" spans="2:20" s="10" customFormat="1" ht="13.8" thickBot="1" x14ac:dyDescent="0.3">
      <c r="B14" s="4" t="s">
        <v>4</v>
      </c>
      <c r="C14" s="157">
        <f>+B4</f>
        <v>2025</v>
      </c>
    </row>
    <row r="15" spans="2:20" s="10" customFormat="1" ht="16.5" customHeight="1" x14ac:dyDescent="0.25">
      <c r="B15" s="160" t="s">
        <v>62</v>
      </c>
      <c r="C15" s="162">
        <f>'T4'!D6</f>
        <v>0</v>
      </c>
    </row>
    <row r="16" spans="2:20" s="10" customFormat="1" ht="16.5" customHeight="1" x14ac:dyDescent="0.25">
      <c r="B16" s="159" t="s">
        <v>231</v>
      </c>
      <c r="C16" s="163">
        <f>IF(B10="elektriciteit",T5A!D3,IF(B10="aardgas",T5B!D3,"FALSE"))</f>
        <v>0</v>
      </c>
    </row>
    <row r="17" spans="2:5" s="31" customFormat="1" ht="16.5" customHeight="1" x14ac:dyDescent="0.25">
      <c r="B17" s="30"/>
      <c r="C17" s="164"/>
      <c r="D17" s="10"/>
      <c r="E17" s="10"/>
    </row>
    <row r="18" spans="2:5" s="10" customFormat="1" ht="16.5" customHeight="1" x14ac:dyDescent="0.25">
      <c r="B18" s="3" t="s">
        <v>119</v>
      </c>
      <c r="C18" s="163">
        <f>+'T8'!F116</f>
        <v>0</v>
      </c>
    </row>
    <row r="19" spans="2:5" s="10" customFormat="1" ht="16.5" customHeight="1" x14ac:dyDescent="0.25">
      <c r="B19" s="3" t="s">
        <v>120</v>
      </c>
      <c r="C19" s="163">
        <f>'T9'!F84</f>
        <v>0</v>
      </c>
    </row>
    <row r="20" spans="2:5" s="10" customFormat="1" ht="16.5" customHeight="1" x14ac:dyDescent="0.25">
      <c r="B20" s="3"/>
      <c r="C20" s="163"/>
    </row>
    <row r="21" spans="2:5" s="10" customFormat="1" ht="16.5" customHeight="1" x14ac:dyDescent="0.25">
      <c r="B21" s="168" t="s">
        <v>358</v>
      </c>
      <c r="C21" s="169">
        <f>'T7'!D17</f>
        <v>0</v>
      </c>
    </row>
    <row r="22" spans="2:5" s="10" customFormat="1" ht="16.5" customHeight="1" x14ac:dyDescent="0.25">
      <c r="B22" s="168" t="s">
        <v>359</v>
      </c>
      <c r="C22" s="169">
        <f>'T7'!D46</f>
        <v>0</v>
      </c>
    </row>
    <row r="23" spans="2:5" s="31" customFormat="1" ht="16.5" customHeight="1" x14ac:dyDescent="0.25">
      <c r="B23" s="159" t="s">
        <v>357</v>
      </c>
      <c r="C23" s="163">
        <f>+'T7'!E6</f>
        <v>0</v>
      </c>
      <c r="D23" s="10"/>
      <c r="E23" s="10"/>
    </row>
    <row r="24" spans="2:5" s="31" customFormat="1" ht="16.5" customHeight="1" x14ac:dyDescent="0.25">
      <c r="B24" s="166"/>
      <c r="C24" s="167"/>
      <c r="D24" s="10"/>
      <c r="E24" s="10"/>
    </row>
    <row r="25" spans="2:5" s="31" customFormat="1" ht="16.5" customHeight="1" x14ac:dyDescent="0.25">
      <c r="B25" s="168" t="s">
        <v>375</v>
      </c>
      <c r="C25" s="169">
        <f>+'T6'!D7</f>
        <v>0</v>
      </c>
      <c r="D25" s="10"/>
      <c r="E25" s="10"/>
    </row>
    <row r="26" spans="2:5" s="31" customFormat="1" ht="16.5" customHeight="1" x14ac:dyDescent="0.25">
      <c r="B26" s="168" t="s">
        <v>376</v>
      </c>
      <c r="C26" s="169">
        <f>+'T6'!D8</f>
        <v>0</v>
      </c>
      <c r="D26" s="10"/>
      <c r="E26" s="10"/>
    </row>
    <row r="27" spans="2:5" s="31" customFormat="1" ht="16.5" customHeight="1" thickBot="1" x14ac:dyDescent="0.3">
      <c r="B27" s="161" t="s">
        <v>377</v>
      </c>
      <c r="C27" s="165">
        <f>+'T6'!D11</f>
        <v>0</v>
      </c>
      <c r="D27" s="10"/>
      <c r="E27" s="10"/>
    </row>
    <row r="28" spans="2:5" s="10" customFormat="1" x14ac:dyDescent="0.25"/>
    <row r="29" spans="2:5" s="10" customFormat="1" x14ac:dyDescent="0.25"/>
    <row r="30" spans="2:5" s="10" customFormat="1" x14ac:dyDescent="0.25"/>
    <row r="31" spans="2:5" s="10" customFormat="1" x14ac:dyDescent="0.25"/>
    <row r="32" spans="2:5" s="10" customFormat="1" x14ac:dyDescent="0.25"/>
    <row r="33" s="10" customFormat="1" x14ac:dyDescent="0.25"/>
    <row r="34" s="10" customFormat="1" x14ac:dyDescent="0.25"/>
    <row r="35" s="10" customFormat="1" x14ac:dyDescent="0.25"/>
    <row r="36" s="10" customFormat="1" x14ac:dyDescent="0.25"/>
    <row r="37" s="10" customFormat="1" x14ac:dyDescent="0.25"/>
    <row r="38" s="10" customFormat="1" x14ac:dyDescent="0.25"/>
    <row r="39" s="10" customFormat="1" x14ac:dyDescent="0.25"/>
    <row r="40" s="10" customFormat="1" x14ac:dyDescent="0.25"/>
    <row r="41" s="10" customFormat="1" x14ac:dyDescent="0.25"/>
    <row r="42" s="10" customFormat="1" x14ac:dyDescent="0.25"/>
    <row r="43" s="10" customFormat="1" x14ac:dyDescent="0.25"/>
    <row r="44" s="10" customFormat="1" x14ac:dyDescent="0.25"/>
    <row r="45" s="10" customFormat="1" x14ac:dyDescent="0.25"/>
    <row r="46" s="10" customFormat="1" x14ac:dyDescent="0.25"/>
    <row r="47" s="10" customFormat="1" x14ac:dyDescent="0.25"/>
    <row r="48"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row r="290" s="10" customFormat="1" x14ac:dyDescent="0.25"/>
    <row r="291" s="10" customFormat="1" x14ac:dyDescent="0.25"/>
    <row r="292" s="10" customFormat="1" x14ac:dyDescent="0.25"/>
    <row r="293" s="10" customFormat="1" x14ac:dyDescent="0.25"/>
    <row r="294" s="10" customFormat="1" x14ac:dyDescent="0.25"/>
    <row r="295" s="10" customFormat="1" x14ac:dyDescent="0.25"/>
    <row r="296" s="10" customFormat="1" x14ac:dyDescent="0.25"/>
    <row r="297" s="10" customFormat="1" x14ac:dyDescent="0.25"/>
    <row r="298" s="10" customFormat="1" x14ac:dyDescent="0.25"/>
    <row r="299" s="10" customFormat="1" x14ac:dyDescent="0.25"/>
    <row r="300" s="10" customFormat="1" x14ac:dyDescent="0.25"/>
    <row r="301" s="10" customFormat="1" x14ac:dyDescent="0.25"/>
    <row r="302" s="10" customFormat="1" x14ac:dyDescent="0.25"/>
    <row r="303" s="10" customFormat="1" x14ac:dyDescent="0.25"/>
    <row r="304" s="10" customFormat="1" x14ac:dyDescent="0.25"/>
    <row r="305" s="10" customFormat="1" x14ac:dyDescent="0.25"/>
    <row r="306" s="10" customFormat="1" x14ac:dyDescent="0.25"/>
    <row r="307" s="10" customFormat="1" x14ac:dyDescent="0.25"/>
    <row r="308" s="10" customFormat="1" x14ac:dyDescent="0.25"/>
    <row r="309" s="10" customFormat="1" x14ac:dyDescent="0.25"/>
    <row r="310" s="10" customFormat="1" x14ac:dyDescent="0.25"/>
    <row r="311" s="10" customFormat="1" x14ac:dyDescent="0.25"/>
    <row r="312" s="10" customFormat="1" x14ac:dyDescent="0.25"/>
    <row r="313" s="10" customFormat="1" x14ac:dyDescent="0.25"/>
    <row r="314" s="10" customFormat="1" x14ac:dyDescent="0.25"/>
    <row r="315" s="10" customFormat="1" x14ac:dyDescent="0.25"/>
    <row r="316" s="10" customFormat="1" x14ac:dyDescent="0.25"/>
    <row r="317" s="10" customFormat="1" x14ac:dyDescent="0.25"/>
    <row r="318" s="10" customFormat="1" x14ac:dyDescent="0.25"/>
    <row r="319" s="10" customFormat="1" x14ac:dyDescent="0.25"/>
    <row r="320" s="10" customFormat="1" x14ac:dyDescent="0.25"/>
    <row r="321" s="10" customFormat="1" x14ac:dyDescent="0.25"/>
    <row r="322" s="10" customFormat="1" x14ac:dyDescent="0.25"/>
    <row r="323" s="10" customFormat="1" x14ac:dyDescent="0.25"/>
    <row r="324" s="10" customFormat="1" x14ac:dyDescent="0.25"/>
    <row r="325" s="10" customFormat="1" x14ac:dyDescent="0.25"/>
    <row r="326" s="10" customFormat="1" x14ac:dyDescent="0.25"/>
    <row r="327" s="10" customFormat="1" x14ac:dyDescent="0.25"/>
    <row r="328" s="10" customFormat="1" x14ac:dyDescent="0.25"/>
    <row r="329" s="10" customFormat="1" x14ac:dyDescent="0.25"/>
    <row r="330" s="10" customFormat="1" x14ac:dyDescent="0.25"/>
    <row r="331" s="10" customFormat="1" x14ac:dyDescent="0.25"/>
    <row r="332" s="10" customFormat="1" x14ac:dyDescent="0.25"/>
    <row r="333" s="10" customFormat="1" x14ac:dyDescent="0.25"/>
    <row r="334" s="10" customFormat="1" x14ac:dyDescent="0.25"/>
    <row r="335" s="10" customFormat="1" x14ac:dyDescent="0.25"/>
    <row r="336" s="10" customFormat="1" x14ac:dyDescent="0.25"/>
    <row r="337" s="10" customFormat="1" x14ac:dyDescent="0.25"/>
    <row r="338" s="10" customFormat="1" x14ac:dyDescent="0.25"/>
    <row r="339" s="10" customFormat="1" x14ac:dyDescent="0.25"/>
    <row r="340" s="10" customFormat="1" x14ac:dyDescent="0.25"/>
    <row r="341" s="10" customFormat="1" x14ac:dyDescent="0.25"/>
    <row r="342" s="10" customFormat="1" x14ac:dyDescent="0.25"/>
    <row r="343" s="10" customFormat="1" x14ac:dyDescent="0.25"/>
    <row r="344" s="10" customFormat="1" x14ac:dyDescent="0.25"/>
    <row r="345" s="10" customFormat="1" x14ac:dyDescent="0.25"/>
    <row r="346" s="10" customFormat="1" x14ac:dyDescent="0.25"/>
    <row r="347" s="10" customFormat="1" x14ac:dyDescent="0.25"/>
    <row r="348" s="10" customFormat="1" x14ac:dyDescent="0.25"/>
    <row r="349" s="10" customFormat="1" x14ac:dyDescent="0.25"/>
    <row r="350" s="10" customFormat="1" x14ac:dyDescent="0.25"/>
    <row r="351" s="10" customFormat="1" x14ac:dyDescent="0.25"/>
    <row r="352" s="10" customFormat="1" x14ac:dyDescent="0.25"/>
    <row r="353" s="10" customFormat="1" x14ac:dyDescent="0.25"/>
    <row r="354" s="10" customFormat="1" x14ac:dyDescent="0.25"/>
    <row r="355" s="10" customFormat="1" x14ac:dyDescent="0.25"/>
    <row r="356" s="10" customFormat="1" x14ac:dyDescent="0.25"/>
    <row r="357" s="10" customFormat="1" x14ac:dyDescent="0.25"/>
    <row r="358" s="10" customFormat="1" x14ac:dyDescent="0.25"/>
    <row r="359" s="10" customFormat="1" x14ac:dyDescent="0.25"/>
    <row r="360" s="10" customFormat="1" x14ac:dyDescent="0.25"/>
    <row r="361" s="10" customFormat="1" x14ac:dyDescent="0.25"/>
    <row r="362" s="10" customFormat="1" x14ac:dyDescent="0.25"/>
    <row r="363" s="10" customFormat="1" x14ac:dyDescent="0.25"/>
    <row r="364" s="10" customFormat="1" x14ac:dyDescent="0.25"/>
    <row r="365" s="10" customFormat="1" x14ac:dyDescent="0.25"/>
    <row r="366" s="10" customFormat="1" x14ac:dyDescent="0.25"/>
    <row r="367" s="10" customFormat="1" x14ac:dyDescent="0.25"/>
    <row r="368" s="10" customFormat="1" x14ac:dyDescent="0.25"/>
    <row r="369" s="10" customFormat="1" x14ac:dyDescent="0.25"/>
    <row r="370" s="10" customFormat="1" x14ac:dyDescent="0.25"/>
    <row r="371" s="10" customFormat="1" x14ac:dyDescent="0.25"/>
    <row r="372" s="10" customFormat="1" x14ac:dyDescent="0.25"/>
    <row r="373" s="10" customFormat="1" x14ac:dyDescent="0.25"/>
    <row r="374" s="10" customFormat="1" x14ac:dyDescent="0.25"/>
    <row r="375" s="10" customFormat="1" x14ac:dyDescent="0.25"/>
    <row r="376" s="10" customFormat="1" x14ac:dyDescent="0.25"/>
    <row r="377" s="10" customFormat="1" x14ac:dyDescent="0.25"/>
    <row r="378" s="10" customFormat="1" x14ac:dyDescent="0.25"/>
    <row r="379" s="10" customFormat="1" x14ac:dyDescent="0.25"/>
    <row r="380" s="10" customFormat="1" x14ac:dyDescent="0.25"/>
    <row r="381" s="10" customFormat="1" x14ac:dyDescent="0.25"/>
    <row r="382" s="10" customFormat="1" x14ac:dyDescent="0.25"/>
    <row r="383" s="10" customFormat="1" x14ac:dyDescent="0.25"/>
    <row r="384" s="10" customFormat="1" x14ac:dyDescent="0.25"/>
    <row r="385" s="10" customFormat="1" x14ac:dyDescent="0.25"/>
    <row r="386" s="10" customFormat="1" x14ac:dyDescent="0.25"/>
    <row r="387" s="10" customFormat="1" x14ac:dyDescent="0.25"/>
    <row r="388" s="10" customFormat="1" x14ac:dyDescent="0.25"/>
    <row r="389" s="10" customFormat="1" x14ac:dyDescent="0.25"/>
    <row r="390" s="10" customFormat="1" x14ac:dyDescent="0.25"/>
    <row r="391" s="10" customFormat="1" x14ac:dyDescent="0.25"/>
    <row r="392" s="10" customFormat="1" x14ac:dyDescent="0.25"/>
    <row r="393" s="10" customFormat="1" x14ac:dyDescent="0.25"/>
    <row r="394" s="10" customFormat="1" x14ac:dyDescent="0.25"/>
    <row r="395" s="10" customFormat="1" x14ac:dyDescent="0.25"/>
    <row r="396" s="10" customFormat="1" x14ac:dyDescent="0.25"/>
    <row r="397" s="10" customFormat="1" x14ac:dyDescent="0.25"/>
    <row r="398" s="10" customFormat="1" x14ac:dyDescent="0.25"/>
    <row r="399" s="10" customFormat="1" x14ac:dyDescent="0.25"/>
    <row r="400" s="10" customFormat="1" x14ac:dyDescent="0.25"/>
    <row r="401" s="10" customFormat="1" x14ac:dyDescent="0.25"/>
    <row r="402" s="10" customFormat="1" x14ac:dyDescent="0.25"/>
    <row r="403" s="10" customFormat="1" x14ac:dyDescent="0.25"/>
    <row r="404" s="10" customFormat="1" x14ac:dyDescent="0.25"/>
    <row r="405" s="10" customFormat="1" x14ac:dyDescent="0.25"/>
    <row r="406" s="10" customFormat="1" x14ac:dyDescent="0.25"/>
    <row r="407" s="10" customFormat="1" x14ac:dyDescent="0.25"/>
    <row r="408" s="10" customFormat="1" x14ac:dyDescent="0.25"/>
    <row r="409" s="10" customFormat="1" x14ac:dyDescent="0.25"/>
    <row r="410" s="10" customFormat="1" x14ac:dyDescent="0.25"/>
    <row r="411" s="10" customFormat="1" x14ac:dyDescent="0.25"/>
    <row r="412" s="10" customFormat="1" x14ac:dyDescent="0.25"/>
    <row r="413" s="10" customFormat="1" x14ac:dyDescent="0.25"/>
    <row r="414" s="10" customFormat="1" x14ac:dyDescent="0.25"/>
    <row r="415" s="10" customFormat="1" x14ac:dyDescent="0.25"/>
    <row r="416" s="10" customFormat="1" x14ac:dyDescent="0.25"/>
    <row r="417" s="10" customFormat="1" x14ac:dyDescent="0.25"/>
    <row r="418" s="10" customFormat="1" x14ac:dyDescent="0.25"/>
    <row r="419" s="10" customFormat="1" x14ac:dyDescent="0.25"/>
    <row r="420" s="10" customFormat="1" x14ac:dyDescent="0.25"/>
    <row r="421" s="10" customFormat="1" x14ac:dyDescent="0.25"/>
    <row r="422" s="10" customFormat="1" x14ac:dyDescent="0.25"/>
    <row r="423" s="10" customFormat="1" x14ac:dyDescent="0.25"/>
    <row r="424" s="10" customFormat="1" x14ac:dyDescent="0.25"/>
    <row r="425" s="10" customFormat="1" x14ac:dyDescent="0.25"/>
    <row r="426" s="10" customFormat="1" x14ac:dyDescent="0.25"/>
    <row r="427" s="10" customFormat="1" x14ac:dyDescent="0.25"/>
    <row r="428" s="10" customFormat="1" x14ac:dyDescent="0.25"/>
    <row r="429" s="10" customFormat="1" x14ac:dyDescent="0.25"/>
    <row r="430" s="10" customFormat="1" x14ac:dyDescent="0.25"/>
    <row r="431" s="10" customFormat="1" x14ac:dyDescent="0.25"/>
    <row r="432" s="10" customFormat="1" x14ac:dyDescent="0.25"/>
    <row r="433" s="10" customFormat="1" x14ac:dyDescent="0.25"/>
    <row r="434" s="10" customFormat="1" x14ac:dyDescent="0.25"/>
    <row r="435" s="10" customFormat="1" x14ac:dyDescent="0.25"/>
    <row r="436" s="10" customFormat="1" x14ac:dyDescent="0.25"/>
    <row r="437" s="10" customFormat="1" x14ac:dyDescent="0.25"/>
    <row r="438" s="10" customFormat="1" x14ac:dyDescent="0.25"/>
    <row r="439" s="10" customFormat="1" x14ac:dyDescent="0.25"/>
    <row r="440" s="10" customFormat="1" x14ac:dyDescent="0.25"/>
    <row r="441" s="10" customFormat="1" x14ac:dyDescent="0.25"/>
    <row r="442" s="10" customFormat="1" x14ac:dyDescent="0.25"/>
    <row r="443" s="10" customFormat="1" x14ac:dyDescent="0.25"/>
    <row r="444" s="10" customFormat="1" x14ac:dyDescent="0.25"/>
    <row r="445" s="10" customFormat="1" x14ac:dyDescent="0.25"/>
    <row r="446" s="10" customFormat="1" x14ac:dyDescent="0.25"/>
    <row r="447" s="10" customFormat="1" x14ac:dyDescent="0.25"/>
    <row r="448" s="10" customFormat="1" x14ac:dyDescent="0.25"/>
    <row r="449" s="10" customFormat="1" x14ac:dyDescent="0.25"/>
    <row r="450" s="10" customFormat="1" x14ac:dyDescent="0.25"/>
    <row r="451" s="10" customFormat="1" x14ac:dyDescent="0.25"/>
    <row r="452" s="10" customFormat="1" x14ac:dyDescent="0.25"/>
    <row r="453" s="10" customFormat="1" x14ac:dyDescent="0.25"/>
    <row r="454" s="10" customFormat="1" x14ac:dyDescent="0.25"/>
    <row r="455" s="10" customFormat="1" x14ac:dyDescent="0.25"/>
    <row r="456" s="10" customFormat="1" x14ac:dyDescent="0.25"/>
    <row r="457" s="10" customFormat="1" x14ac:dyDescent="0.25"/>
    <row r="458" s="10" customFormat="1" x14ac:dyDescent="0.25"/>
    <row r="459" s="10" customFormat="1" x14ac:dyDescent="0.25"/>
    <row r="460" s="10" customFormat="1" x14ac:dyDescent="0.25"/>
    <row r="461" s="10" customFormat="1" x14ac:dyDescent="0.25"/>
    <row r="462" s="10" customFormat="1" x14ac:dyDescent="0.25"/>
    <row r="463" s="10" customFormat="1" x14ac:dyDescent="0.25"/>
    <row r="464" s="10" customFormat="1" x14ac:dyDescent="0.25"/>
    <row r="465" s="10" customFormat="1" x14ac:dyDescent="0.25"/>
    <row r="466" s="10" customFormat="1" x14ac:dyDescent="0.25"/>
    <row r="467" s="10" customFormat="1" x14ac:dyDescent="0.25"/>
    <row r="468" s="10" customFormat="1" x14ac:dyDescent="0.25"/>
    <row r="469" s="10" customFormat="1" x14ac:dyDescent="0.25"/>
    <row r="470" s="10" customFormat="1" x14ac:dyDescent="0.25"/>
    <row r="471" s="10" customFormat="1" x14ac:dyDescent="0.25"/>
    <row r="472" s="10" customFormat="1" x14ac:dyDescent="0.25"/>
    <row r="473" s="10" customFormat="1" x14ac:dyDescent="0.25"/>
    <row r="474" s="10" customFormat="1" x14ac:dyDescent="0.25"/>
    <row r="475" s="10" customFormat="1" x14ac:dyDescent="0.25"/>
    <row r="476" s="10" customFormat="1" x14ac:dyDescent="0.25"/>
    <row r="477" s="10" customFormat="1" x14ac:dyDescent="0.25"/>
    <row r="478" s="10" customFormat="1" x14ac:dyDescent="0.25"/>
    <row r="479" s="10" customFormat="1" x14ac:dyDescent="0.25"/>
    <row r="480" s="10" customFormat="1" x14ac:dyDescent="0.25"/>
    <row r="481" s="10" customFormat="1" x14ac:dyDescent="0.25"/>
    <row r="482" s="10" customFormat="1" x14ac:dyDescent="0.25"/>
    <row r="483" s="10" customFormat="1" x14ac:dyDescent="0.25"/>
    <row r="484" s="10" customFormat="1" x14ac:dyDescent="0.25"/>
    <row r="485" s="10" customFormat="1" x14ac:dyDescent="0.25"/>
    <row r="486" s="10" customFormat="1" x14ac:dyDescent="0.25"/>
    <row r="487" s="10" customFormat="1" x14ac:dyDescent="0.25"/>
    <row r="488" s="10" customFormat="1" x14ac:dyDescent="0.25"/>
    <row r="489" s="10" customFormat="1" x14ac:dyDescent="0.25"/>
    <row r="490" s="10" customFormat="1" x14ac:dyDescent="0.25"/>
    <row r="491" s="10" customFormat="1" x14ac:dyDescent="0.25"/>
    <row r="492" s="10" customFormat="1" x14ac:dyDescent="0.25"/>
    <row r="493" s="10" customFormat="1" x14ac:dyDescent="0.25"/>
    <row r="494" s="10" customFormat="1" x14ac:dyDescent="0.25"/>
    <row r="495" s="10" customFormat="1" x14ac:dyDescent="0.25"/>
    <row r="496" s="10" customFormat="1" x14ac:dyDescent="0.25"/>
    <row r="497" s="10" customFormat="1" x14ac:dyDescent="0.25"/>
    <row r="498" s="10" customFormat="1" x14ac:dyDescent="0.25"/>
    <row r="499" s="10" customFormat="1" x14ac:dyDescent="0.25"/>
    <row r="500" s="10" customFormat="1" x14ac:dyDescent="0.25"/>
    <row r="501" s="10" customFormat="1" x14ac:dyDescent="0.25"/>
    <row r="502" s="10" customFormat="1" x14ac:dyDescent="0.25"/>
    <row r="503" s="10" customFormat="1" x14ac:dyDescent="0.25"/>
    <row r="504" s="10" customFormat="1" x14ac:dyDescent="0.25"/>
    <row r="505" s="10" customFormat="1" x14ac:dyDescent="0.25"/>
    <row r="506" s="10" customFormat="1" x14ac:dyDescent="0.25"/>
    <row r="507" s="10" customFormat="1" x14ac:dyDescent="0.25"/>
    <row r="508" s="10" customFormat="1" x14ac:dyDescent="0.25"/>
    <row r="509" s="10" customFormat="1" x14ac:dyDescent="0.25"/>
    <row r="510" s="10" customFormat="1" x14ac:dyDescent="0.25"/>
    <row r="511" s="10" customFormat="1" x14ac:dyDescent="0.25"/>
    <row r="512" s="10" customFormat="1" x14ac:dyDescent="0.25"/>
    <row r="513" s="10" customFormat="1" x14ac:dyDescent="0.25"/>
    <row r="514" s="10" customFormat="1" x14ac:dyDescent="0.25"/>
    <row r="515" s="10" customFormat="1" x14ac:dyDescent="0.25"/>
    <row r="516" s="10" customFormat="1" x14ac:dyDescent="0.25"/>
    <row r="517" s="10" customFormat="1" x14ac:dyDescent="0.25"/>
    <row r="518" s="10" customFormat="1" x14ac:dyDescent="0.25"/>
    <row r="519" s="10" customFormat="1" x14ac:dyDescent="0.25"/>
    <row r="520" s="10" customFormat="1" x14ac:dyDescent="0.25"/>
    <row r="521" s="10" customFormat="1" x14ac:dyDescent="0.25"/>
    <row r="522" s="10" customFormat="1" x14ac:dyDescent="0.25"/>
    <row r="523" s="10" customFormat="1" x14ac:dyDescent="0.25"/>
    <row r="524" s="10" customFormat="1" x14ac:dyDescent="0.25"/>
    <row r="525" s="10" customFormat="1" x14ac:dyDescent="0.25"/>
    <row r="526" s="10" customFormat="1" x14ac:dyDescent="0.25"/>
    <row r="527" s="10" customFormat="1" x14ac:dyDescent="0.25"/>
    <row r="528" s="10" customFormat="1" x14ac:dyDescent="0.25"/>
    <row r="529" s="10" customFormat="1" x14ac:dyDescent="0.25"/>
    <row r="530" s="10" customFormat="1" x14ac:dyDescent="0.25"/>
    <row r="531" s="10" customFormat="1" x14ac:dyDescent="0.25"/>
    <row r="532" s="10" customFormat="1" x14ac:dyDescent="0.25"/>
    <row r="533" s="10" customFormat="1" x14ac:dyDescent="0.25"/>
    <row r="534" s="10" customFormat="1" x14ac:dyDescent="0.25"/>
    <row r="535" s="10" customFormat="1" x14ac:dyDescent="0.25"/>
    <row r="536" s="10" customFormat="1" x14ac:dyDescent="0.25"/>
    <row r="537" s="10" customFormat="1" x14ac:dyDescent="0.25"/>
    <row r="538" s="10" customFormat="1" x14ac:dyDescent="0.25"/>
    <row r="539" s="10" customFormat="1" x14ac:dyDescent="0.25"/>
    <row r="540" s="10" customFormat="1" x14ac:dyDescent="0.25"/>
    <row r="541" s="10" customFormat="1" x14ac:dyDescent="0.25"/>
    <row r="542" s="10" customFormat="1" x14ac:dyDescent="0.25"/>
    <row r="543" s="10" customFormat="1" x14ac:dyDescent="0.25"/>
    <row r="544" s="10" customFormat="1" x14ac:dyDescent="0.25"/>
    <row r="545" s="10" customFormat="1" x14ac:dyDescent="0.25"/>
    <row r="546" s="10" customFormat="1" x14ac:dyDescent="0.25"/>
    <row r="547" s="10" customFormat="1" x14ac:dyDescent="0.25"/>
    <row r="548" s="10" customFormat="1" x14ac:dyDescent="0.25"/>
    <row r="549" s="10" customFormat="1" x14ac:dyDescent="0.25"/>
    <row r="550" s="10" customFormat="1" x14ac:dyDescent="0.25"/>
    <row r="551" s="10" customFormat="1" x14ac:dyDescent="0.25"/>
    <row r="552" s="10" customFormat="1" x14ac:dyDescent="0.25"/>
    <row r="553" s="10" customFormat="1" x14ac:dyDescent="0.25"/>
    <row r="554" s="10" customFormat="1" x14ac:dyDescent="0.25"/>
    <row r="555" s="10" customFormat="1" x14ac:dyDescent="0.25"/>
    <row r="556" s="10" customFormat="1" x14ac:dyDescent="0.25"/>
    <row r="557" s="10" customFormat="1" x14ac:dyDescent="0.25"/>
    <row r="558" s="10" customFormat="1" x14ac:dyDescent="0.25"/>
    <row r="559" s="10" customFormat="1" x14ac:dyDescent="0.25"/>
    <row r="560" s="10" customFormat="1" x14ac:dyDescent="0.25"/>
    <row r="561" s="10" customFormat="1" x14ac:dyDescent="0.25"/>
    <row r="562" s="10" customFormat="1" x14ac:dyDescent="0.25"/>
    <row r="563" s="10" customFormat="1" x14ac:dyDescent="0.25"/>
    <row r="564" s="10" customFormat="1" x14ac:dyDescent="0.25"/>
    <row r="565" s="10" customFormat="1" x14ac:dyDescent="0.25"/>
    <row r="566" s="10" customFormat="1" x14ac:dyDescent="0.25"/>
    <row r="567" s="10" customFormat="1" x14ac:dyDescent="0.25"/>
    <row r="568" s="10" customFormat="1" x14ac:dyDescent="0.25"/>
    <row r="569" s="10" customFormat="1" x14ac:dyDescent="0.25"/>
    <row r="570" s="10" customFormat="1" x14ac:dyDescent="0.25"/>
    <row r="571" s="10" customFormat="1" x14ac:dyDescent="0.25"/>
    <row r="572" s="10" customFormat="1" x14ac:dyDescent="0.25"/>
    <row r="573" s="10" customFormat="1" x14ac:dyDescent="0.25"/>
    <row r="574" s="10" customFormat="1" x14ac:dyDescent="0.25"/>
    <row r="575" s="10" customFormat="1" x14ac:dyDescent="0.25"/>
    <row r="576" s="10" customFormat="1" x14ac:dyDescent="0.25"/>
    <row r="577" s="10" customFormat="1" x14ac:dyDescent="0.25"/>
    <row r="578" s="10" customFormat="1" x14ac:dyDescent="0.25"/>
    <row r="579" s="10" customFormat="1" x14ac:dyDescent="0.25"/>
    <row r="580" s="10" customFormat="1" x14ac:dyDescent="0.25"/>
    <row r="581" s="10" customFormat="1" x14ac:dyDescent="0.25"/>
    <row r="582" s="10" customFormat="1" x14ac:dyDescent="0.25"/>
    <row r="583" s="10" customFormat="1" x14ac:dyDescent="0.25"/>
    <row r="584" s="10" customFormat="1" x14ac:dyDescent="0.25"/>
    <row r="585" s="10" customFormat="1" x14ac:dyDescent="0.25"/>
    <row r="586" s="10" customFormat="1" x14ac:dyDescent="0.25"/>
    <row r="587" s="10" customFormat="1" x14ac:dyDescent="0.25"/>
    <row r="588" s="10" customFormat="1" x14ac:dyDescent="0.25"/>
    <row r="589" s="10" customFormat="1" x14ac:dyDescent="0.25"/>
    <row r="590" s="10" customFormat="1" x14ac:dyDescent="0.25"/>
    <row r="591" s="10" customFormat="1" x14ac:dyDescent="0.25"/>
    <row r="592" s="10" customFormat="1" x14ac:dyDescent="0.25"/>
    <row r="593" s="10" customFormat="1" x14ac:dyDescent="0.25"/>
    <row r="594" s="10" customFormat="1" x14ac:dyDescent="0.25"/>
    <row r="595" s="10" customFormat="1" x14ac:dyDescent="0.25"/>
    <row r="596" s="10" customFormat="1" x14ac:dyDescent="0.25"/>
    <row r="597" s="10" customFormat="1" x14ac:dyDescent="0.25"/>
    <row r="598" s="10" customFormat="1" x14ac:dyDescent="0.25"/>
    <row r="599" s="10" customFormat="1" x14ac:dyDescent="0.25"/>
    <row r="600" s="10" customFormat="1" x14ac:dyDescent="0.25"/>
    <row r="601" s="10" customFormat="1" x14ac:dyDescent="0.25"/>
    <row r="602" s="10" customFormat="1" x14ac:dyDescent="0.25"/>
    <row r="603" s="10" customFormat="1" x14ac:dyDescent="0.25"/>
    <row r="604" s="10" customFormat="1" x14ac:dyDescent="0.25"/>
    <row r="605" s="10" customFormat="1" x14ac:dyDescent="0.25"/>
    <row r="606" s="10" customFormat="1" x14ac:dyDescent="0.25"/>
    <row r="607" s="10" customFormat="1" x14ac:dyDescent="0.25"/>
    <row r="608" s="10" customFormat="1" x14ac:dyDescent="0.25"/>
    <row r="609" s="10" customFormat="1" x14ac:dyDescent="0.25"/>
    <row r="610" s="10" customFormat="1" x14ac:dyDescent="0.25"/>
    <row r="611" s="10" customFormat="1" x14ac:dyDescent="0.25"/>
    <row r="612" s="10" customFormat="1" x14ac:dyDescent="0.25"/>
    <row r="613" s="10" customFormat="1" x14ac:dyDescent="0.25"/>
    <row r="614" s="10" customFormat="1" x14ac:dyDescent="0.25"/>
    <row r="615" s="10" customFormat="1" x14ac:dyDescent="0.25"/>
    <row r="616" s="10" customFormat="1" x14ac:dyDescent="0.25"/>
    <row r="617" s="10" customFormat="1" x14ac:dyDescent="0.25"/>
    <row r="618" s="10" customFormat="1" x14ac:dyDescent="0.25"/>
    <row r="619" s="10" customFormat="1" x14ac:dyDescent="0.25"/>
    <row r="620" s="10" customFormat="1" x14ac:dyDescent="0.25"/>
    <row r="621" s="10" customFormat="1" x14ac:dyDescent="0.25"/>
    <row r="622" s="10" customFormat="1" x14ac:dyDescent="0.25"/>
    <row r="623" s="10" customFormat="1" x14ac:dyDescent="0.25"/>
    <row r="624" s="10" customFormat="1" x14ac:dyDescent="0.25"/>
    <row r="625" s="10" customFormat="1" x14ac:dyDescent="0.25"/>
    <row r="626" s="10" customFormat="1" x14ac:dyDescent="0.25"/>
    <row r="627" s="10" customFormat="1" x14ac:dyDescent="0.25"/>
    <row r="628" s="10" customFormat="1" x14ac:dyDescent="0.25"/>
    <row r="629" s="10" customFormat="1" x14ac:dyDescent="0.25"/>
    <row r="630" s="10" customFormat="1" x14ac:dyDescent="0.25"/>
    <row r="631" s="10" customFormat="1" x14ac:dyDescent="0.25"/>
    <row r="632" s="10" customFormat="1" x14ac:dyDescent="0.25"/>
    <row r="633" s="10" customFormat="1" x14ac:dyDescent="0.25"/>
    <row r="634" s="10" customFormat="1" x14ac:dyDescent="0.25"/>
    <row r="635" s="10" customFormat="1" x14ac:dyDescent="0.25"/>
    <row r="636" s="10" customFormat="1" x14ac:dyDescent="0.25"/>
    <row r="637" s="10" customFormat="1" x14ac:dyDescent="0.25"/>
    <row r="638" s="10" customFormat="1" x14ac:dyDescent="0.25"/>
    <row r="639" s="10" customFormat="1" x14ac:dyDescent="0.25"/>
    <row r="640" s="10" customFormat="1" x14ac:dyDescent="0.25"/>
    <row r="641" s="10" customFormat="1" x14ac:dyDescent="0.25"/>
    <row r="642" s="10" customFormat="1" x14ac:dyDescent="0.25"/>
    <row r="643" s="10" customFormat="1" x14ac:dyDescent="0.25"/>
    <row r="644" s="10" customFormat="1" x14ac:dyDescent="0.25"/>
    <row r="645" s="10" customFormat="1" x14ac:dyDescent="0.25"/>
    <row r="646" s="10" customFormat="1" x14ac:dyDescent="0.25"/>
    <row r="647" s="10" customFormat="1" x14ac:dyDescent="0.25"/>
    <row r="648" s="10" customFormat="1" x14ac:dyDescent="0.25"/>
    <row r="649" s="10" customFormat="1" x14ac:dyDescent="0.25"/>
    <row r="650" s="10" customFormat="1" x14ac:dyDescent="0.25"/>
    <row r="651" s="10" customFormat="1" x14ac:dyDescent="0.25"/>
    <row r="652" s="10" customFormat="1" x14ac:dyDescent="0.25"/>
    <row r="653" s="10" customFormat="1" x14ac:dyDescent="0.25"/>
    <row r="654" s="10" customFormat="1" x14ac:dyDescent="0.25"/>
    <row r="655" s="10" customFormat="1" x14ac:dyDescent="0.25"/>
    <row r="656" s="10" customFormat="1" x14ac:dyDescent="0.25"/>
    <row r="657" s="10" customFormat="1" x14ac:dyDescent="0.25"/>
    <row r="658" s="10" customFormat="1" x14ac:dyDescent="0.25"/>
    <row r="659" s="10" customFormat="1" x14ac:dyDescent="0.25"/>
    <row r="660" s="10" customFormat="1" x14ac:dyDescent="0.25"/>
    <row r="661" s="10" customFormat="1" x14ac:dyDescent="0.25"/>
    <row r="662" s="10" customFormat="1" x14ac:dyDescent="0.25"/>
    <row r="663" s="10" customFormat="1" x14ac:dyDescent="0.25"/>
    <row r="664" s="10" customFormat="1" x14ac:dyDescent="0.25"/>
    <row r="665" s="10" customFormat="1" x14ac:dyDescent="0.25"/>
    <row r="666" s="10" customFormat="1" x14ac:dyDescent="0.25"/>
    <row r="667" s="10" customFormat="1" x14ac:dyDescent="0.25"/>
    <row r="668" s="10" customFormat="1" x14ac:dyDescent="0.25"/>
    <row r="669" s="10" customFormat="1" x14ac:dyDescent="0.25"/>
    <row r="670" s="10" customFormat="1" x14ac:dyDescent="0.25"/>
    <row r="671" s="10" customFormat="1" x14ac:dyDescent="0.25"/>
    <row r="672" s="10" customFormat="1" x14ac:dyDescent="0.25"/>
    <row r="673" s="10" customFormat="1" x14ac:dyDescent="0.25"/>
    <row r="674" s="10" customFormat="1" x14ac:dyDescent="0.25"/>
    <row r="675" s="10" customFormat="1" x14ac:dyDescent="0.25"/>
    <row r="676" s="10" customFormat="1" x14ac:dyDescent="0.25"/>
    <row r="677" s="10" customFormat="1" x14ac:dyDescent="0.25"/>
    <row r="678" s="10" customFormat="1" x14ac:dyDescent="0.25"/>
    <row r="679" s="10" customFormat="1" x14ac:dyDescent="0.25"/>
    <row r="680" s="10" customFormat="1" x14ac:dyDescent="0.25"/>
    <row r="681" s="10" customFormat="1" x14ac:dyDescent="0.25"/>
    <row r="682" s="10" customFormat="1" x14ac:dyDescent="0.25"/>
    <row r="683" s="10" customFormat="1" x14ac:dyDescent="0.25"/>
    <row r="684" s="10" customFormat="1" x14ac:dyDescent="0.25"/>
    <row r="685" s="10" customFormat="1" x14ac:dyDescent="0.25"/>
    <row r="686" s="10" customFormat="1" x14ac:dyDescent="0.25"/>
    <row r="687" s="10" customFormat="1" x14ac:dyDescent="0.25"/>
    <row r="688" s="10" customFormat="1" x14ac:dyDescent="0.25"/>
    <row r="689" s="10" customFormat="1" x14ac:dyDescent="0.25"/>
    <row r="690" s="10" customFormat="1" x14ac:dyDescent="0.25"/>
    <row r="691" s="10" customFormat="1" x14ac:dyDescent="0.25"/>
    <row r="692" s="10" customFormat="1" x14ac:dyDescent="0.25"/>
    <row r="693" s="10" customFormat="1" x14ac:dyDescent="0.25"/>
    <row r="694" s="10" customFormat="1" x14ac:dyDescent="0.25"/>
    <row r="695" s="10" customFormat="1" x14ac:dyDescent="0.25"/>
    <row r="696" s="10" customFormat="1" x14ac:dyDescent="0.25"/>
    <row r="697" s="10" customFormat="1" x14ac:dyDescent="0.25"/>
    <row r="698" s="10" customFormat="1" x14ac:dyDescent="0.25"/>
    <row r="699" s="10" customFormat="1" x14ac:dyDescent="0.25"/>
    <row r="700" s="10" customFormat="1" x14ac:dyDescent="0.25"/>
    <row r="701" s="10" customFormat="1" x14ac:dyDescent="0.25"/>
    <row r="702" s="10" customFormat="1" x14ac:dyDescent="0.25"/>
    <row r="703" s="10" customFormat="1" x14ac:dyDescent="0.25"/>
    <row r="704" s="10" customFormat="1" x14ac:dyDescent="0.25"/>
    <row r="705" s="10" customFormat="1" x14ac:dyDescent="0.25"/>
    <row r="706" s="10" customFormat="1" x14ac:dyDescent="0.25"/>
    <row r="707" s="10" customFormat="1" x14ac:dyDescent="0.25"/>
    <row r="708" s="10" customFormat="1" x14ac:dyDescent="0.25"/>
    <row r="709" s="10" customFormat="1" x14ac:dyDescent="0.25"/>
    <row r="710" s="10" customFormat="1" x14ac:dyDescent="0.25"/>
    <row r="711" s="10" customFormat="1" x14ac:dyDescent="0.25"/>
    <row r="712" s="10" customFormat="1" x14ac:dyDescent="0.25"/>
    <row r="713" s="10" customFormat="1" x14ac:dyDescent="0.25"/>
    <row r="714" s="10" customFormat="1" x14ac:dyDescent="0.25"/>
    <row r="715" s="10" customFormat="1" x14ac:dyDescent="0.25"/>
    <row r="716" s="10" customFormat="1" x14ac:dyDescent="0.25"/>
    <row r="717" s="10" customFormat="1" x14ac:dyDescent="0.25"/>
    <row r="718" s="10" customFormat="1" x14ac:dyDescent="0.25"/>
    <row r="719" s="10" customFormat="1" x14ac:dyDescent="0.25"/>
    <row r="720" s="10" customFormat="1" x14ac:dyDescent="0.25"/>
    <row r="721" s="10" customFormat="1" x14ac:dyDescent="0.25"/>
    <row r="722" s="10" customFormat="1" x14ac:dyDescent="0.25"/>
    <row r="723" s="10" customFormat="1" x14ac:dyDescent="0.25"/>
    <row r="724" s="10" customFormat="1" x14ac:dyDescent="0.25"/>
    <row r="725" s="10" customFormat="1" x14ac:dyDescent="0.25"/>
    <row r="726" s="10" customFormat="1" x14ac:dyDescent="0.25"/>
    <row r="727" s="10" customFormat="1" x14ac:dyDescent="0.25"/>
    <row r="728" s="10" customFormat="1" x14ac:dyDescent="0.25"/>
    <row r="729" s="10" customFormat="1" x14ac:dyDescent="0.25"/>
    <row r="730" s="10" customFormat="1" x14ac:dyDescent="0.25"/>
    <row r="731" s="10" customFormat="1" x14ac:dyDescent="0.25"/>
    <row r="732" s="10" customFormat="1" x14ac:dyDescent="0.25"/>
    <row r="733" s="10" customFormat="1" x14ac:dyDescent="0.25"/>
    <row r="734" s="10" customFormat="1" x14ac:dyDescent="0.25"/>
    <row r="735" s="10" customFormat="1" x14ac:dyDescent="0.25"/>
    <row r="736" s="10" customFormat="1" x14ac:dyDescent="0.25"/>
    <row r="737" s="10" customFormat="1" x14ac:dyDescent="0.25"/>
    <row r="738" s="10" customFormat="1" x14ac:dyDescent="0.25"/>
    <row r="739" s="10" customFormat="1" x14ac:dyDescent="0.25"/>
    <row r="740" s="10" customFormat="1" x14ac:dyDescent="0.25"/>
    <row r="741" s="10" customFormat="1" x14ac:dyDescent="0.25"/>
    <row r="742" s="10" customFormat="1" x14ac:dyDescent="0.25"/>
    <row r="743" s="10" customFormat="1" x14ac:dyDescent="0.25"/>
    <row r="744" s="10" customFormat="1" x14ac:dyDescent="0.25"/>
    <row r="745" s="10" customFormat="1" x14ac:dyDescent="0.25"/>
    <row r="746" s="10" customFormat="1" x14ac:dyDescent="0.25"/>
    <row r="747" s="10" customFormat="1" x14ac:dyDescent="0.25"/>
    <row r="748" s="10" customFormat="1" x14ac:dyDescent="0.25"/>
    <row r="749" s="10" customFormat="1" x14ac:dyDescent="0.25"/>
    <row r="750" s="10" customFormat="1" x14ac:dyDescent="0.25"/>
    <row r="751" s="10" customFormat="1" x14ac:dyDescent="0.25"/>
    <row r="752" s="10" customFormat="1" x14ac:dyDescent="0.25"/>
    <row r="753" s="10" customFormat="1" x14ac:dyDescent="0.25"/>
    <row r="754" s="10" customFormat="1" x14ac:dyDescent="0.25"/>
    <row r="755" s="10" customFormat="1" x14ac:dyDescent="0.25"/>
    <row r="756" s="10" customFormat="1" x14ac:dyDescent="0.25"/>
    <row r="757" s="10" customFormat="1" x14ac:dyDescent="0.25"/>
    <row r="758" s="10" customFormat="1" x14ac:dyDescent="0.25"/>
    <row r="759" s="10" customFormat="1" x14ac:dyDescent="0.25"/>
    <row r="760" s="10" customFormat="1" x14ac:dyDescent="0.25"/>
    <row r="761" s="10" customFormat="1" x14ac:dyDescent="0.25"/>
    <row r="762" s="10" customFormat="1" x14ac:dyDescent="0.25"/>
    <row r="763" s="10" customFormat="1" x14ac:dyDescent="0.25"/>
    <row r="764" s="10" customFormat="1" x14ac:dyDescent="0.25"/>
    <row r="765" s="10" customFormat="1" x14ac:dyDescent="0.25"/>
    <row r="766" s="10" customFormat="1" x14ac:dyDescent="0.25"/>
    <row r="767" s="10" customFormat="1" x14ac:dyDescent="0.25"/>
    <row r="768" s="10" customFormat="1" x14ac:dyDescent="0.25"/>
    <row r="769" s="10" customFormat="1" x14ac:dyDescent="0.25"/>
    <row r="770" s="10" customFormat="1" x14ac:dyDescent="0.25"/>
    <row r="771" s="10" customFormat="1" x14ac:dyDescent="0.25"/>
    <row r="772" s="10" customFormat="1" x14ac:dyDescent="0.25"/>
    <row r="773" s="10" customFormat="1" x14ac:dyDescent="0.25"/>
    <row r="774" s="10" customFormat="1" x14ac:dyDescent="0.25"/>
    <row r="775" s="10" customFormat="1" x14ac:dyDescent="0.25"/>
    <row r="776" s="10" customFormat="1" x14ac:dyDescent="0.25"/>
    <row r="777" s="10" customFormat="1" x14ac:dyDescent="0.25"/>
    <row r="778" s="10" customFormat="1" x14ac:dyDescent="0.25"/>
    <row r="779" s="10" customFormat="1" x14ac:dyDescent="0.25"/>
    <row r="780" s="10" customFormat="1" x14ac:dyDescent="0.25"/>
    <row r="781" s="10" customFormat="1" x14ac:dyDescent="0.25"/>
    <row r="782" s="10" customFormat="1" x14ac:dyDescent="0.25"/>
    <row r="783" s="10" customFormat="1" x14ac:dyDescent="0.25"/>
    <row r="784" s="10" customFormat="1" x14ac:dyDescent="0.25"/>
    <row r="785" s="10" customFormat="1" x14ac:dyDescent="0.25"/>
    <row r="786" s="10" customFormat="1" x14ac:dyDescent="0.25"/>
    <row r="787" s="10" customFormat="1" x14ac:dyDescent="0.25"/>
    <row r="788" s="10" customFormat="1" x14ac:dyDescent="0.25"/>
    <row r="789" s="10" customFormat="1" x14ac:dyDescent="0.25"/>
    <row r="790" s="10" customFormat="1" x14ac:dyDescent="0.25"/>
    <row r="791" s="10" customFormat="1" x14ac:dyDescent="0.25"/>
    <row r="792" s="10" customFormat="1" x14ac:dyDescent="0.25"/>
    <row r="793" s="10" customFormat="1" x14ac:dyDescent="0.25"/>
    <row r="794" s="10" customFormat="1" x14ac:dyDescent="0.25"/>
    <row r="795" s="10" customFormat="1" x14ac:dyDescent="0.25"/>
    <row r="796" s="10" customFormat="1" x14ac:dyDescent="0.25"/>
    <row r="797" s="10" customFormat="1" x14ac:dyDescent="0.25"/>
    <row r="798" s="10" customFormat="1" x14ac:dyDescent="0.25"/>
    <row r="799" s="10" customFormat="1" x14ac:dyDescent="0.25"/>
    <row r="800" s="10" customFormat="1" x14ac:dyDescent="0.25"/>
    <row r="801" s="10" customFormat="1" x14ac:dyDescent="0.25"/>
    <row r="802" s="10" customFormat="1" x14ac:dyDescent="0.25"/>
    <row r="803" s="10" customFormat="1" x14ac:dyDescent="0.25"/>
    <row r="804" s="10" customFormat="1" x14ac:dyDescent="0.25"/>
    <row r="805" s="10" customFormat="1" x14ac:dyDescent="0.25"/>
    <row r="806" s="10" customFormat="1" x14ac:dyDescent="0.25"/>
    <row r="807" s="10" customFormat="1" x14ac:dyDescent="0.25"/>
    <row r="808" s="10" customFormat="1" x14ac:dyDescent="0.25"/>
    <row r="809" s="10" customFormat="1" x14ac:dyDescent="0.25"/>
    <row r="810" s="10" customFormat="1" x14ac:dyDescent="0.25"/>
    <row r="811" s="10" customFormat="1" x14ac:dyDescent="0.25"/>
    <row r="812" s="10" customFormat="1" x14ac:dyDescent="0.25"/>
    <row r="813" s="10" customFormat="1" x14ac:dyDescent="0.25"/>
    <row r="814" s="10" customFormat="1" x14ac:dyDescent="0.25"/>
    <row r="815" s="10" customFormat="1" x14ac:dyDescent="0.25"/>
    <row r="816" s="10" customFormat="1" x14ac:dyDescent="0.25"/>
    <row r="817" s="10" customFormat="1" x14ac:dyDescent="0.25"/>
    <row r="818" s="10" customFormat="1" x14ac:dyDescent="0.25"/>
    <row r="819" s="10" customFormat="1" x14ac:dyDescent="0.25"/>
    <row r="820" s="10" customFormat="1" x14ac:dyDescent="0.25"/>
    <row r="821" s="10" customFormat="1" x14ac:dyDescent="0.25"/>
    <row r="822" s="10" customFormat="1" x14ac:dyDescent="0.25"/>
    <row r="823" s="10" customFormat="1" x14ac:dyDescent="0.25"/>
    <row r="824" s="10" customFormat="1" x14ac:dyDescent="0.25"/>
    <row r="825" s="10" customFormat="1" x14ac:dyDescent="0.25"/>
    <row r="826" s="10" customFormat="1" x14ac:dyDescent="0.25"/>
    <row r="827" s="10" customFormat="1" x14ac:dyDescent="0.25"/>
    <row r="828" s="10" customFormat="1" x14ac:dyDescent="0.25"/>
    <row r="829" s="10" customFormat="1" x14ac:dyDescent="0.25"/>
    <row r="830" s="10" customFormat="1" x14ac:dyDescent="0.25"/>
    <row r="831" s="10" customFormat="1" x14ac:dyDescent="0.25"/>
    <row r="832" s="10" customFormat="1" x14ac:dyDescent="0.25"/>
    <row r="833" s="10" customFormat="1" x14ac:dyDescent="0.25"/>
    <row r="834" s="10" customFormat="1" x14ac:dyDescent="0.25"/>
    <row r="835" s="10" customFormat="1" x14ac:dyDescent="0.25"/>
    <row r="836" s="10" customFormat="1" x14ac:dyDescent="0.25"/>
    <row r="837" s="10" customFormat="1" x14ac:dyDescent="0.25"/>
    <row r="838" s="10" customFormat="1" x14ac:dyDescent="0.25"/>
    <row r="839" s="10" customFormat="1" x14ac:dyDescent="0.25"/>
    <row r="840" s="10" customFormat="1" x14ac:dyDescent="0.25"/>
    <row r="841" s="10" customFormat="1" x14ac:dyDescent="0.25"/>
    <row r="842" s="10" customFormat="1" x14ac:dyDescent="0.25"/>
    <row r="843" s="10" customFormat="1" x14ac:dyDescent="0.25"/>
    <row r="844" s="10" customFormat="1" x14ac:dyDescent="0.25"/>
    <row r="845" s="10" customFormat="1" x14ac:dyDescent="0.25"/>
    <row r="846" s="10" customFormat="1" x14ac:dyDescent="0.25"/>
    <row r="847" s="10" customFormat="1" x14ac:dyDescent="0.25"/>
    <row r="848" s="10" customFormat="1" x14ac:dyDescent="0.25"/>
    <row r="849" s="10" customFormat="1" x14ac:dyDescent="0.25"/>
    <row r="850" s="10" customFormat="1" x14ac:dyDescent="0.25"/>
    <row r="851" s="10" customFormat="1" x14ac:dyDescent="0.25"/>
    <row r="852" s="10" customFormat="1" x14ac:dyDescent="0.25"/>
    <row r="853" s="10" customFormat="1" x14ac:dyDescent="0.25"/>
    <row r="854" s="10" customFormat="1" x14ac:dyDescent="0.25"/>
    <row r="855" s="10" customFormat="1" x14ac:dyDescent="0.25"/>
    <row r="856" s="10" customFormat="1" x14ac:dyDescent="0.25"/>
    <row r="857" s="10" customFormat="1" x14ac:dyDescent="0.25"/>
    <row r="858" s="10" customFormat="1" x14ac:dyDescent="0.25"/>
    <row r="859" s="10" customFormat="1" x14ac:dyDescent="0.25"/>
    <row r="860" s="10" customFormat="1" x14ac:dyDescent="0.25"/>
    <row r="861" s="10" customFormat="1" x14ac:dyDescent="0.25"/>
    <row r="862" s="10" customFormat="1" x14ac:dyDescent="0.25"/>
    <row r="863" s="10" customFormat="1" x14ac:dyDescent="0.25"/>
    <row r="864" s="10" customFormat="1" x14ac:dyDescent="0.25"/>
    <row r="865" s="10" customFormat="1" x14ac:dyDescent="0.25"/>
    <row r="866" s="10" customFormat="1" x14ac:dyDescent="0.25"/>
    <row r="867" s="10" customFormat="1" x14ac:dyDescent="0.25"/>
    <row r="868" s="10" customFormat="1" x14ac:dyDescent="0.25"/>
    <row r="869" s="10" customFormat="1" x14ac:dyDescent="0.25"/>
    <row r="870" s="10" customFormat="1" x14ac:dyDescent="0.25"/>
  </sheetData>
  <sheetProtection algorithmName="SHA-512" hashValue="7c/t1tXX/nJXqZ+Yhrosbs0JmplxEyDX9AgyT64M/x40QnrQuB7wbwdn+iy+Bqu06M3DiHWRmHB/vo9bi9wTUg==" saltValue="szJU4ncOJLeNSfVD7fNDLg==" spinCount="100000" sheet="1" objects="1" scenarios="1"/>
  <mergeCells count="1">
    <mergeCell ref="B1:C1"/>
  </mergeCells>
  <pageMargins left="0.74803149606299213" right="0.74803149606299213" top="0.98425196850393704" bottom="0.98425196850393704" header="0.51181102362204722" footer="0.51181102362204722"/>
  <pageSetup paperSize="8" scale="61" orientation="portrait" r:id="rId1"/>
  <headerFooter alignWithMargins="0"/>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B1:O29"/>
  <sheetViews>
    <sheetView zoomScale="115" zoomScaleNormal="115" workbookViewId="0">
      <selection activeCell="B2" sqref="B2"/>
    </sheetView>
  </sheetViews>
  <sheetFormatPr defaultColWidth="9.109375" defaultRowHeight="13.2" x14ac:dyDescent="0.25"/>
  <cols>
    <col min="1" max="1" width="2" style="10" customWidth="1"/>
    <col min="2" max="2" width="50.109375" style="10" customWidth="1"/>
    <col min="3" max="3" width="29.44140625" style="10" customWidth="1"/>
    <col min="4" max="13" width="31" style="10" customWidth="1"/>
    <col min="14" max="15" width="31.44140625" style="10" customWidth="1"/>
    <col min="16" max="16384" width="9.109375" style="10"/>
  </cols>
  <sheetData>
    <row r="1" spans="2:10" ht="20.399999999999999" customHeight="1" thickBot="1" x14ac:dyDescent="0.3">
      <c r="B1" s="689" t="s">
        <v>121</v>
      </c>
      <c r="C1" s="690"/>
      <c r="D1" s="690"/>
      <c r="E1" s="690"/>
      <c r="F1" s="690"/>
      <c r="G1" s="690"/>
      <c r="H1" s="690"/>
      <c r="I1" s="690"/>
      <c r="J1" s="691"/>
    </row>
    <row r="3" spans="2:10" x14ac:dyDescent="0.25">
      <c r="B3" s="32" t="s">
        <v>215</v>
      </c>
      <c r="C3" s="575" t="str">
        <f>+TITELBLAD!$D$10</f>
        <v>elektriciteit</v>
      </c>
    </row>
    <row r="6" spans="2:10" x14ac:dyDescent="0.25">
      <c r="B6" s="28" t="s">
        <v>49</v>
      </c>
      <c r="C6" s="576">
        <f>+'T3 - Overzicht'!B4</f>
        <v>2025</v>
      </c>
      <c r="D6" s="174">
        <f>-N26</f>
        <v>0</v>
      </c>
      <c r="E6" s="33"/>
      <c r="F6" s="33"/>
    </row>
    <row r="7" spans="2:10" x14ac:dyDescent="0.25">
      <c r="E7" s="33"/>
      <c r="F7" s="33"/>
    </row>
    <row r="9" spans="2:10" x14ac:dyDescent="0.25">
      <c r="F9" s="29"/>
    </row>
    <row r="10" spans="2:10" x14ac:dyDescent="0.25">
      <c r="B10" s="28" t="s">
        <v>70</v>
      </c>
    </row>
    <row r="11" spans="2:10" x14ac:dyDescent="0.25">
      <c r="B11" s="31" t="s">
        <v>78</v>
      </c>
    </row>
    <row r="12" spans="2:10" x14ac:dyDescent="0.25">
      <c r="B12" s="577" t="s">
        <v>65</v>
      </c>
    </row>
    <row r="13" spans="2:10" x14ac:dyDescent="0.25">
      <c r="B13" s="577" t="s">
        <v>66</v>
      </c>
    </row>
    <row r="15" spans="2:10" x14ac:dyDescent="0.25">
      <c r="B15" s="28" t="s">
        <v>313</v>
      </c>
    </row>
    <row r="16" spans="2:10" s="31" customFormat="1" ht="16.5" customHeight="1" x14ac:dyDescent="0.25">
      <c r="B16" s="578" t="s">
        <v>314</v>
      </c>
      <c r="C16" s="579"/>
      <c r="D16" s="579"/>
      <c r="E16" s="294"/>
    </row>
    <row r="17" spans="2:15" x14ac:dyDescent="0.25">
      <c r="B17" s="290"/>
    </row>
    <row r="18" spans="2:15" ht="13.8" thickBot="1" x14ac:dyDescent="0.3"/>
    <row r="19" spans="2:15" ht="51.6" customHeight="1" thickBot="1" x14ac:dyDescent="0.3">
      <c r="B19" s="580" t="s">
        <v>396</v>
      </c>
      <c r="C19" s="581" t="s">
        <v>0</v>
      </c>
      <c r="D19" s="582" t="str">
        <f>"Historische aanschaffingswaarde activa einde boekjaar "&amp;C6-1</f>
        <v>Historische aanschaffingswaarde activa einde boekjaar 2024</v>
      </c>
      <c r="E19" s="582" t="str">
        <f>"Gecumuleerde afschrijvingen en waardeverminderingen activa einde boekjaar "&amp;C6-1</f>
        <v>Gecumuleerde afschrijvingen en waardeverminderingen activa einde boekjaar 2024</v>
      </c>
      <c r="F19" s="582" t="str">
        <f>"Nettoboekwaarde activa einde boekjaar "&amp;C6-1</f>
        <v>Nettoboekwaarde activa einde boekjaar 2024</v>
      </c>
      <c r="G19" s="752" t="str">
        <f>"Transfers boekjaar "&amp;C6</f>
        <v>Transfers boekjaar 2025</v>
      </c>
      <c r="H19" s="753"/>
      <c r="I19" s="754"/>
      <c r="J19" s="582" t="str">
        <f>"Investeringen boekjaar "&amp;C6&amp;"  (aanschaffingswaarde)"</f>
        <v>Investeringen boekjaar 2025  (aanschaffingswaarde)</v>
      </c>
      <c r="K19" s="752" t="str">
        <f>"Desinvesteringen boekjaar "&amp;C6</f>
        <v>Desinvesteringen boekjaar 2025</v>
      </c>
      <c r="L19" s="753"/>
      <c r="M19" s="754"/>
      <c r="N19" s="582" t="str">
        <f>"Afschrijvingen en waardeverminderingen boekjaar "&amp;C6</f>
        <v>Afschrijvingen en waardeverminderingen boekjaar 2025</v>
      </c>
      <c r="O19" s="582" t="str">
        <f>"Nettoboekwaarde activa einde boekjaar "&amp;C6</f>
        <v>Nettoboekwaarde activa einde boekjaar 2025</v>
      </c>
    </row>
    <row r="20" spans="2:15" ht="52.5" customHeight="1" x14ac:dyDescent="0.25">
      <c r="B20" s="583"/>
      <c r="C20" s="584"/>
      <c r="D20" s="585"/>
      <c r="E20" s="585"/>
      <c r="F20" s="585"/>
      <c r="G20" s="585" t="str">
        <f>"Historische aanschaffingswaarde transfers boekjaar "&amp;$C$6</f>
        <v>Historische aanschaffingswaarde transfers boekjaar 2025</v>
      </c>
      <c r="H20" s="585" t="str">
        <f>"Gecumuleerde afschrijvingen en waardeverminderingen transfers boekjaar "&amp;$C$6</f>
        <v>Gecumuleerde afschrijvingen en waardeverminderingen transfers boekjaar 2025</v>
      </c>
      <c r="I20" s="585" t="str">
        <f>"Nettoboekwaarde transfers boekjaar "&amp;$C$6</f>
        <v>Nettoboekwaarde transfers boekjaar 2025</v>
      </c>
      <c r="J20" s="585"/>
      <c r="K20" s="585" t="str">
        <f>"Historische aanschaffingswaarde desinvesteringen boekjaar "&amp;C6</f>
        <v>Historische aanschaffingswaarde desinvesteringen boekjaar 2025</v>
      </c>
      <c r="L20" s="585" t="str">
        <f>"Gecumuleerde afschrijvingen en waardeverminderingen desinvesteringen boekjaar "&amp;C6</f>
        <v>Gecumuleerde afschrijvingen en waardeverminderingen desinvesteringen boekjaar 2025</v>
      </c>
      <c r="M20" s="582" t="str">
        <f>"Nettoboekwaarde desinvesteringen boekjaar "&amp;C6</f>
        <v>Nettoboekwaarde desinvesteringen boekjaar 2025</v>
      </c>
      <c r="N20" s="585"/>
      <c r="O20" s="585"/>
    </row>
    <row r="21" spans="2:15" ht="13.8" thickBot="1" x14ac:dyDescent="0.3">
      <c r="B21" s="586"/>
      <c r="C21" s="587"/>
      <c r="D21" s="588" t="s">
        <v>3</v>
      </c>
      <c r="E21" s="588" t="s">
        <v>5</v>
      </c>
      <c r="F21" s="588"/>
      <c r="G21" s="588" t="s">
        <v>3</v>
      </c>
      <c r="H21" s="588" t="s">
        <v>5</v>
      </c>
      <c r="I21" s="588"/>
      <c r="J21" s="589" t="s">
        <v>3</v>
      </c>
      <c r="K21" s="588" t="s">
        <v>5</v>
      </c>
      <c r="L21" s="588" t="s">
        <v>3</v>
      </c>
      <c r="M21" s="588"/>
      <c r="N21" s="588" t="s">
        <v>5</v>
      </c>
      <c r="O21" s="590"/>
    </row>
    <row r="22" spans="2:15" ht="15.75" customHeight="1" x14ac:dyDescent="0.25">
      <c r="B22" s="591" t="s">
        <v>50</v>
      </c>
      <c r="C22" s="34">
        <v>0.2</v>
      </c>
      <c r="D22" s="35">
        <v>0</v>
      </c>
      <c r="E22" s="35">
        <v>0</v>
      </c>
      <c r="F22" s="36">
        <f>+D22+E22</f>
        <v>0</v>
      </c>
      <c r="G22" s="35">
        <v>0</v>
      </c>
      <c r="H22" s="35">
        <v>0</v>
      </c>
      <c r="I22" s="36">
        <f>+G22+H22</f>
        <v>0</v>
      </c>
      <c r="J22" s="35">
        <v>0</v>
      </c>
      <c r="K22" s="35">
        <v>0</v>
      </c>
      <c r="L22" s="35">
        <v>0</v>
      </c>
      <c r="M22" s="36">
        <f>+K22+L22</f>
        <v>0</v>
      </c>
      <c r="N22" s="35">
        <v>0</v>
      </c>
      <c r="O22" s="36">
        <f>+F22+I22+J22+M22+N22</f>
        <v>0</v>
      </c>
    </row>
    <row r="23" spans="2:15" ht="31.5" customHeight="1" x14ac:dyDescent="0.25">
      <c r="B23" s="592" t="s">
        <v>63</v>
      </c>
      <c r="C23" s="37">
        <v>0.2</v>
      </c>
      <c r="D23" s="35">
        <v>0</v>
      </c>
      <c r="E23" s="35">
        <v>0</v>
      </c>
      <c r="F23" s="36">
        <f>+D23+E23</f>
        <v>0</v>
      </c>
      <c r="G23" s="35">
        <v>0</v>
      </c>
      <c r="H23" s="35">
        <v>0</v>
      </c>
      <c r="I23" s="36">
        <f>+G23+H23</f>
        <v>0</v>
      </c>
      <c r="J23" s="35">
        <v>0</v>
      </c>
      <c r="K23" s="35">
        <v>0</v>
      </c>
      <c r="L23" s="35">
        <v>0</v>
      </c>
      <c r="M23" s="36">
        <f>+K23+L23</f>
        <v>0</v>
      </c>
      <c r="N23" s="35">
        <v>0</v>
      </c>
      <c r="O23" s="36">
        <f>+F23+I23+J23+M23+N23</f>
        <v>0</v>
      </c>
    </row>
    <row r="24" spans="2:15" ht="17.25" customHeight="1" thickBot="1" x14ac:dyDescent="0.3">
      <c r="B24" s="593" t="s">
        <v>64</v>
      </c>
      <c r="C24" s="38">
        <v>0</v>
      </c>
      <c r="D24" s="39">
        <v>0</v>
      </c>
      <c r="E24" s="39">
        <v>0</v>
      </c>
      <c r="F24" s="40">
        <f>+D24+E24</f>
        <v>0</v>
      </c>
      <c r="G24" s="39">
        <v>0</v>
      </c>
      <c r="H24" s="39">
        <v>0</v>
      </c>
      <c r="I24" s="40">
        <f>+G24+H24</f>
        <v>0</v>
      </c>
      <c r="J24" s="39">
        <v>0</v>
      </c>
      <c r="K24" s="39">
        <v>0</v>
      </c>
      <c r="L24" s="39">
        <v>0</v>
      </c>
      <c r="M24" s="40">
        <f>+K24+L24</f>
        <v>0</v>
      </c>
      <c r="N24" s="39">
        <v>0</v>
      </c>
      <c r="O24" s="40">
        <f t="shared" ref="O24" si="0">+F24+I24+J24+M24+N24</f>
        <v>0</v>
      </c>
    </row>
    <row r="25" spans="2:15" x14ac:dyDescent="0.25">
      <c r="B25" s="594"/>
      <c r="C25" s="595"/>
      <c r="D25" s="596"/>
      <c r="E25" s="596"/>
      <c r="F25" s="596"/>
      <c r="G25" s="596"/>
      <c r="H25" s="596"/>
      <c r="I25" s="596"/>
      <c r="J25" s="596"/>
      <c r="K25" s="596"/>
      <c r="L25" s="596"/>
      <c r="M25" s="596"/>
      <c r="N25" s="596"/>
      <c r="O25" s="596"/>
    </row>
    <row r="26" spans="2:15" x14ac:dyDescent="0.25">
      <c r="B26" s="597" t="s">
        <v>2</v>
      </c>
      <c r="C26" s="598"/>
      <c r="D26" s="599">
        <f t="shared" ref="D26:O26" si="1">SUM(D22:D24)</f>
        <v>0</v>
      </c>
      <c r="E26" s="599">
        <f t="shared" si="1"/>
        <v>0</v>
      </c>
      <c r="F26" s="599">
        <f t="shared" si="1"/>
        <v>0</v>
      </c>
      <c r="G26" s="599">
        <f t="shared" si="1"/>
        <v>0</v>
      </c>
      <c r="H26" s="599">
        <f t="shared" si="1"/>
        <v>0</v>
      </c>
      <c r="I26" s="599">
        <f t="shared" si="1"/>
        <v>0</v>
      </c>
      <c r="J26" s="599">
        <f t="shared" si="1"/>
        <v>0</v>
      </c>
      <c r="K26" s="599">
        <f t="shared" si="1"/>
        <v>0</v>
      </c>
      <c r="L26" s="599">
        <f t="shared" si="1"/>
        <v>0</v>
      </c>
      <c r="M26" s="599">
        <f t="shared" si="1"/>
        <v>0</v>
      </c>
      <c r="N26" s="599">
        <f t="shared" si="1"/>
        <v>0</v>
      </c>
      <c r="O26" s="599">
        <f t="shared" si="1"/>
        <v>0</v>
      </c>
    </row>
    <row r="27" spans="2:15" ht="13.8" thickBot="1" x14ac:dyDescent="0.3">
      <c r="B27" s="600"/>
      <c r="C27" s="601"/>
      <c r="D27" s="602"/>
      <c r="E27" s="602"/>
      <c r="F27" s="602"/>
      <c r="G27" s="602"/>
      <c r="H27" s="602"/>
      <c r="I27" s="602"/>
      <c r="J27" s="602"/>
      <c r="K27" s="602"/>
      <c r="L27" s="602"/>
      <c r="M27" s="602"/>
      <c r="N27" s="602"/>
      <c r="O27" s="602"/>
    </row>
    <row r="28" spans="2:15" s="604" customFormat="1" x14ac:dyDescent="0.25">
      <c r="B28" s="603"/>
      <c r="C28" s="603"/>
      <c r="N28" s="605" t="s">
        <v>104</v>
      </c>
      <c r="O28" s="392">
        <f>IF($C$3="elektriciteit",O26-'T1'!G15,IF($C$3="aardgas",O26-'T1'!H15,"FALSE"))</f>
        <v>0</v>
      </c>
    </row>
    <row r="29" spans="2:15" s="604" customFormat="1" ht="11.4" x14ac:dyDescent="0.25"/>
  </sheetData>
  <sheetProtection algorithmName="SHA-512" hashValue="qRlkCsuSlJeGZV/iUW9KEaLrWMlnHF9uOFky498B5N6ITXaUzYzH3qK/FNIhIYs4N9FSrS3M3McP/e2CH3MvHQ==" saltValue="sLJug/4L6eVnRFU3viDD3Q==" spinCount="100000" sheet="1" objects="1" scenarios="1" insertRows="0"/>
  <mergeCells count="3">
    <mergeCell ref="K19:M19"/>
    <mergeCell ref="G19:I19"/>
    <mergeCell ref="B1:J1"/>
  </mergeCells>
  <dataValidations count="2">
    <dataValidation type="decimal" operator="greaterThanOrEqual" allowBlank="1" showInputMessage="1" showErrorMessage="1" sqref="D22:D24 L22:L24 J22:J24" xr:uid="{00000000-0002-0000-0500-000000000000}">
      <formula1>0</formula1>
    </dataValidation>
    <dataValidation type="decimal" operator="lessThanOrEqual" allowBlank="1" showInputMessage="1" showErrorMessage="1" sqref="E22:E24 K22:K24 N22:N24" xr:uid="{00000000-0002-0000-0500-000001000000}">
      <formula1>0</formula1>
    </dataValidation>
  </dataValidations>
  <pageMargins left="0.74803149606299213" right="0.74803149606299213" top="0.98425196850393704" bottom="0.98425196850393704" header="0.51181102362204722" footer="0.51181102362204722"/>
  <pageSetup paperSize="8" scale="4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B1:R335"/>
  <sheetViews>
    <sheetView zoomScaleNormal="100" workbookViewId="0">
      <selection activeCell="B2" sqref="B2"/>
    </sheetView>
  </sheetViews>
  <sheetFormatPr defaultColWidth="9.109375" defaultRowHeight="13.2" x14ac:dyDescent="0.25"/>
  <cols>
    <col min="1" max="1" width="2.109375" style="10" customWidth="1"/>
    <col min="2" max="2" width="47.5546875" style="10" customWidth="1"/>
    <col min="3" max="3" width="29.5546875" style="10" customWidth="1"/>
    <col min="4" max="5" width="31" style="357" customWidth="1"/>
    <col min="6" max="6" width="31" style="10" customWidth="1"/>
    <col min="7" max="16" width="31" style="357" customWidth="1"/>
    <col min="17" max="18" width="32" style="10" customWidth="1"/>
    <col min="19" max="45" width="9.109375" style="10" customWidth="1"/>
    <col min="46" max="16384" width="9.109375" style="10"/>
  </cols>
  <sheetData>
    <row r="1" spans="2:18" ht="26.4" customHeight="1" thickBot="1" x14ac:dyDescent="0.3">
      <c r="B1" s="689" t="s">
        <v>134</v>
      </c>
      <c r="C1" s="690"/>
      <c r="D1" s="690"/>
      <c r="E1" s="690"/>
      <c r="F1" s="690"/>
      <c r="G1" s="690"/>
      <c r="H1" s="690"/>
      <c r="I1" s="690"/>
      <c r="J1" s="691"/>
      <c r="K1" s="53"/>
      <c r="L1" s="53"/>
      <c r="M1" s="10"/>
      <c r="N1" s="10"/>
      <c r="O1" s="10"/>
      <c r="P1" s="10"/>
    </row>
    <row r="2" spans="2:18" x14ac:dyDescent="0.25">
      <c r="D2" s="10"/>
      <c r="E2" s="10"/>
      <c r="G2" s="10"/>
      <c r="H2" s="10"/>
      <c r="I2" s="10"/>
      <c r="J2" s="10"/>
      <c r="K2" s="41"/>
      <c r="L2" s="53"/>
      <c r="M2" s="10"/>
      <c r="N2" s="10"/>
      <c r="O2" s="10"/>
      <c r="P2" s="10"/>
    </row>
    <row r="3" spans="2:18" x14ac:dyDescent="0.25">
      <c r="B3" s="28" t="s">
        <v>49</v>
      </c>
      <c r="C3" s="576">
        <f>+TITELBLAD!F17</f>
        <v>2025</v>
      </c>
      <c r="D3" s="100">
        <f>-Q74</f>
        <v>0</v>
      </c>
      <c r="E3" s="33"/>
      <c r="F3" s="33"/>
      <c r="G3" s="10"/>
      <c r="H3" s="10"/>
      <c r="I3" s="10"/>
      <c r="J3" s="10"/>
      <c r="K3" s="53"/>
      <c r="L3" s="53"/>
      <c r="M3" s="10"/>
      <c r="N3" s="10"/>
      <c r="O3" s="10"/>
      <c r="P3" s="10"/>
    </row>
    <row r="4" spans="2:18" x14ac:dyDescent="0.25">
      <c r="D4" s="10"/>
      <c r="E4" s="33"/>
      <c r="F4" s="33"/>
      <c r="G4" s="10"/>
      <c r="H4" s="10"/>
      <c r="I4" s="10"/>
      <c r="J4" s="10"/>
      <c r="K4" s="53"/>
      <c r="L4" s="53"/>
      <c r="M4" s="10"/>
      <c r="N4" s="10"/>
      <c r="O4" s="10"/>
      <c r="P4" s="10"/>
    </row>
    <row r="5" spans="2:18" x14ac:dyDescent="0.25">
      <c r="D5" s="10"/>
      <c r="E5" s="10"/>
      <c r="G5" s="10"/>
      <c r="H5" s="10"/>
      <c r="I5" s="10"/>
      <c r="J5" s="10"/>
      <c r="K5" s="10"/>
      <c r="L5" s="10"/>
      <c r="M5" s="10"/>
      <c r="N5" s="10"/>
      <c r="O5" s="10"/>
      <c r="P5" s="10"/>
    </row>
    <row r="6" spans="2:18" x14ac:dyDescent="0.25">
      <c r="D6" s="10"/>
      <c r="E6" s="10"/>
      <c r="G6" s="10"/>
      <c r="H6" s="10"/>
      <c r="I6" s="10"/>
      <c r="J6" s="10"/>
      <c r="K6" s="10"/>
      <c r="L6" s="10"/>
      <c r="M6" s="10"/>
      <c r="N6" s="10"/>
      <c r="O6" s="10"/>
      <c r="P6" s="10"/>
    </row>
    <row r="7" spans="2:18" x14ac:dyDescent="0.25">
      <c r="B7" s="28" t="s">
        <v>82</v>
      </c>
      <c r="D7" s="10"/>
      <c r="E7" s="10"/>
      <c r="G7" s="10"/>
      <c r="H7" s="10"/>
      <c r="I7" s="10"/>
      <c r="J7" s="10"/>
      <c r="K7" s="10"/>
      <c r="L7" s="10"/>
      <c r="M7" s="10"/>
      <c r="N7" s="10"/>
      <c r="O7" s="10"/>
      <c r="P7" s="10"/>
    </row>
    <row r="8" spans="2:18" x14ac:dyDescent="0.25">
      <c r="B8" s="31" t="s">
        <v>78</v>
      </c>
      <c r="D8" s="10"/>
      <c r="E8" s="10"/>
      <c r="G8" s="10"/>
      <c r="H8" s="10"/>
      <c r="I8" s="10"/>
      <c r="J8" s="10"/>
      <c r="K8" s="10"/>
      <c r="L8" s="10"/>
      <c r="M8" s="10"/>
      <c r="N8" s="10"/>
      <c r="O8" s="10"/>
      <c r="P8" s="10"/>
    </row>
    <row r="9" spans="2:18" x14ac:dyDescent="0.25">
      <c r="B9" s="577" t="s">
        <v>65</v>
      </c>
      <c r="D9" s="10"/>
      <c r="E9" s="10"/>
      <c r="G9" s="10"/>
      <c r="H9" s="10"/>
      <c r="I9" s="10"/>
      <c r="J9" s="10"/>
      <c r="K9" s="10"/>
      <c r="L9" s="10"/>
      <c r="M9" s="10"/>
      <c r="N9" s="10"/>
      <c r="O9" s="10"/>
      <c r="P9" s="10"/>
    </row>
    <row r="10" spans="2:18" x14ac:dyDescent="0.25">
      <c r="B10" s="577" t="s">
        <v>66</v>
      </c>
      <c r="D10" s="10"/>
      <c r="E10" s="10"/>
      <c r="G10" s="10"/>
      <c r="H10" s="10"/>
      <c r="I10" s="10"/>
      <c r="J10" s="10"/>
      <c r="K10" s="10"/>
      <c r="L10" s="10"/>
      <c r="M10" s="10"/>
      <c r="N10" s="10"/>
      <c r="O10" s="10"/>
      <c r="P10" s="10"/>
    </row>
    <row r="11" spans="2:18" x14ac:dyDescent="0.25">
      <c r="D11" s="10"/>
      <c r="E11" s="10"/>
      <c r="G11" s="10"/>
      <c r="H11" s="10"/>
      <c r="I11" s="10"/>
      <c r="J11" s="10"/>
      <c r="K11" s="10"/>
      <c r="L11" s="10"/>
      <c r="M11" s="10"/>
      <c r="N11" s="10"/>
      <c r="O11" s="10"/>
      <c r="P11" s="10"/>
    </row>
    <row r="12" spans="2:18" x14ac:dyDescent="0.25">
      <c r="B12" s="28" t="s">
        <v>313</v>
      </c>
      <c r="D12" s="10"/>
      <c r="E12" s="10"/>
      <c r="G12" s="10"/>
      <c r="H12" s="10"/>
      <c r="I12" s="10"/>
      <c r="J12" s="10"/>
      <c r="K12" s="10"/>
      <c r="L12" s="10"/>
      <c r="M12" s="10"/>
      <c r="N12" s="10"/>
      <c r="O12" s="10"/>
      <c r="P12" s="10"/>
    </row>
    <row r="13" spans="2:18" s="31" customFormat="1" ht="17.25" customHeight="1" x14ac:dyDescent="0.25">
      <c r="B13" s="578" t="s">
        <v>314</v>
      </c>
      <c r="C13" s="578"/>
      <c r="D13" s="578"/>
      <c r="E13" s="294"/>
    </row>
    <row r="14" spans="2:18" x14ac:dyDescent="0.25">
      <c r="B14" s="577"/>
      <c r="D14" s="10"/>
      <c r="E14" s="10"/>
      <c r="G14" s="10"/>
      <c r="H14" s="10"/>
      <c r="I14" s="10"/>
      <c r="J14" s="10"/>
      <c r="K14" s="10"/>
      <c r="L14" s="10"/>
      <c r="M14" s="10"/>
      <c r="N14" s="10"/>
      <c r="O14" s="10"/>
      <c r="P14" s="10"/>
    </row>
    <row r="15" spans="2:18" ht="13.8" thickBot="1" x14ac:dyDescent="0.3">
      <c r="D15" s="10"/>
      <c r="E15" s="10"/>
      <c r="G15" s="10"/>
      <c r="H15" s="10"/>
      <c r="I15" s="10"/>
      <c r="J15" s="10"/>
      <c r="K15" s="10"/>
      <c r="L15" s="10"/>
      <c r="M15" s="10"/>
      <c r="N15" s="10"/>
      <c r="O15" s="10"/>
      <c r="P15" s="10"/>
    </row>
    <row r="16" spans="2:18" ht="45" customHeight="1" thickBot="1" x14ac:dyDescent="0.3">
      <c r="B16" s="606" t="s">
        <v>67</v>
      </c>
      <c r="C16" s="607" t="s">
        <v>0</v>
      </c>
      <c r="D16" s="582" t="str">
        <f>"Historische aanschaffingswaarde activa einde boekjaar "&amp;C3-1</f>
        <v>Historische aanschaffingswaarde activa einde boekjaar 2024</v>
      </c>
      <c r="E16" s="582" t="str">
        <f>"Gecumuleerde afschrijvingen en waardeverminderingen activa einde boekjaar "&amp;C3-1</f>
        <v>Gecumuleerde afschrijvingen en waardeverminderingen activa einde boekjaar 2024</v>
      </c>
      <c r="F16" s="582" t="str">
        <f>"Nettoboekwaarde activa aan historische aanschaffingswaarde einde boekjaar "&amp;C3-1</f>
        <v>Nettoboekwaarde activa aan historische aanschaffingswaarde einde boekjaar 2024</v>
      </c>
      <c r="G16" s="752" t="str">
        <f>"Transfers boekjaar "&amp;C3</f>
        <v>Transfers boekjaar 2025</v>
      </c>
      <c r="H16" s="753"/>
      <c r="I16" s="754"/>
      <c r="J16" s="582" t="str">
        <f>"Vervangingsinvesteringen boekjaar "&amp;C3&amp;"  (aanschaffingswaarde)"</f>
        <v>Vervangingsinvesteringen boekjaar 2025  (aanschaffingswaarde)</v>
      </c>
      <c r="K16" s="582" t="str">
        <f>"Uitbreidingsinvesteringen boekjaar "&amp;C3&amp;"  (aanschaffingswaarde)"</f>
        <v>Uitbreidingsinvesteringen boekjaar 2025  (aanschaffingswaarde)</v>
      </c>
      <c r="L16" s="582" t="str">
        <f>"Tussenkomsten derden boekjaar "&amp;C3</f>
        <v>Tussenkomsten derden boekjaar 2025</v>
      </c>
      <c r="M16" s="582" t="str">
        <f>"Subsidies boekjaar "&amp;C3</f>
        <v>Subsidies boekjaar 2025</v>
      </c>
      <c r="N16" s="752" t="str">
        <f>"Desinvesteringen boekjaar "&amp;C3</f>
        <v>Desinvesteringen boekjaar 2025</v>
      </c>
      <c r="O16" s="753"/>
      <c r="P16" s="754"/>
      <c r="Q16" s="582" t="str">
        <f>"Afschrijvingen en waardeverminderingen boekjaar "&amp;C3</f>
        <v>Afschrijvingen en waardeverminderingen boekjaar 2025</v>
      </c>
      <c r="R16" s="582" t="str">
        <f>"Nettoboekwaarde activa aan historische aanschaffingswaarde einde boekjaar "&amp;C3</f>
        <v>Nettoboekwaarde activa aan historische aanschaffingswaarde einde boekjaar 2025</v>
      </c>
    </row>
    <row r="17" spans="2:18" ht="45" customHeight="1" x14ac:dyDescent="0.25">
      <c r="B17" s="583"/>
      <c r="C17" s="584"/>
      <c r="D17" s="585"/>
      <c r="E17" s="585"/>
      <c r="F17" s="585"/>
      <c r="G17" s="585" t="str">
        <f>"Historische aanschaffingswaarde transfers boekjaar "&amp;$C$3</f>
        <v>Historische aanschaffingswaarde transfers boekjaar 2025</v>
      </c>
      <c r="H17" s="585" t="str">
        <f>"Gecumuleerde afschrijvingen en waardeverminderingen transfers boekjaar "&amp;$C$3</f>
        <v>Gecumuleerde afschrijvingen en waardeverminderingen transfers boekjaar 2025</v>
      </c>
      <c r="I17" s="585" t="str">
        <f>"Nettoboekwaarde transfers boekjaar "&amp;$C$3</f>
        <v>Nettoboekwaarde transfers boekjaar 2025</v>
      </c>
      <c r="J17" s="585"/>
      <c r="K17" s="585"/>
      <c r="L17" s="585"/>
      <c r="M17" s="585"/>
      <c r="N17" s="585" t="str">
        <f>"Historische aanschaffingswaarde desinvesteringen boekjaar "&amp;$C$3</f>
        <v>Historische aanschaffingswaarde desinvesteringen boekjaar 2025</v>
      </c>
      <c r="O17" s="585" t="str">
        <f>"Gecumuleerde afschrijvingen en waardeverminderingen desinvesteringen boekjaar "&amp;$C$3</f>
        <v>Gecumuleerde afschrijvingen en waardeverminderingen desinvesteringen boekjaar 2025</v>
      </c>
      <c r="P17" s="582" t="str">
        <f>"Nettoboekwaarde desinvesteringen boekjaar "&amp;$C$3</f>
        <v>Nettoboekwaarde desinvesteringen boekjaar 2025</v>
      </c>
      <c r="Q17" s="585"/>
      <c r="R17" s="585"/>
    </row>
    <row r="18" spans="2:18" ht="13.8" thickBot="1" x14ac:dyDescent="0.3">
      <c r="B18" s="586"/>
      <c r="C18" s="587"/>
      <c r="D18" s="588" t="s">
        <v>3</v>
      </c>
      <c r="E18" s="588" t="s">
        <v>5</v>
      </c>
      <c r="F18" s="588"/>
      <c r="G18" s="589" t="s">
        <v>3</v>
      </c>
      <c r="H18" s="589" t="s">
        <v>5</v>
      </c>
      <c r="I18" s="588"/>
      <c r="J18" s="588" t="s">
        <v>3</v>
      </c>
      <c r="K18" s="588" t="s">
        <v>3</v>
      </c>
      <c r="L18" s="588" t="s">
        <v>5</v>
      </c>
      <c r="M18" s="588" t="s">
        <v>5</v>
      </c>
      <c r="N18" s="588" t="s">
        <v>5</v>
      </c>
      <c r="O18" s="588" t="s">
        <v>3</v>
      </c>
      <c r="P18" s="588"/>
      <c r="Q18" s="588" t="s">
        <v>5</v>
      </c>
      <c r="R18" s="590"/>
    </row>
    <row r="19" spans="2:18" x14ac:dyDescent="0.25">
      <c r="B19" s="176" t="s">
        <v>71</v>
      </c>
      <c r="C19" s="43">
        <v>0</v>
      </c>
      <c r="D19" s="44">
        <v>0</v>
      </c>
      <c r="E19" s="44">
        <v>0</v>
      </c>
      <c r="F19" s="45">
        <f t="shared" ref="F19:F70" si="0">+D19+E19</f>
        <v>0</v>
      </c>
      <c r="G19" s="44">
        <v>0</v>
      </c>
      <c r="H19" s="44">
        <v>0</v>
      </c>
      <c r="I19" s="45">
        <f>+G19+H19</f>
        <v>0</v>
      </c>
      <c r="J19" s="44">
        <v>0</v>
      </c>
      <c r="K19" s="44">
        <v>0</v>
      </c>
      <c r="L19" s="44">
        <v>0</v>
      </c>
      <c r="M19" s="44">
        <v>0</v>
      </c>
      <c r="N19" s="44">
        <v>0</v>
      </c>
      <c r="O19" s="44">
        <v>0</v>
      </c>
      <c r="P19" s="45">
        <f t="shared" ref="P19:P70" si="1">+N19+O19</f>
        <v>0</v>
      </c>
      <c r="Q19" s="44">
        <v>0</v>
      </c>
      <c r="R19" s="46">
        <f>+F19+I19+J19+K19+L19+M19+P19+Q19</f>
        <v>0</v>
      </c>
    </row>
    <row r="20" spans="2:18" x14ac:dyDescent="0.25">
      <c r="B20" s="51" t="s">
        <v>37</v>
      </c>
      <c r="C20" s="47">
        <v>0.02</v>
      </c>
      <c r="D20" s="48">
        <v>0</v>
      </c>
      <c r="E20" s="48">
        <v>0</v>
      </c>
      <c r="F20" s="49">
        <f t="shared" si="0"/>
        <v>0</v>
      </c>
      <c r="G20" s="48">
        <v>0</v>
      </c>
      <c r="H20" s="48">
        <v>0</v>
      </c>
      <c r="I20" s="49">
        <f t="shared" ref="I20:I71" si="2">+G20+H20</f>
        <v>0</v>
      </c>
      <c r="J20" s="48">
        <v>0</v>
      </c>
      <c r="K20" s="48">
        <v>0</v>
      </c>
      <c r="L20" s="48">
        <v>0</v>
      </c>
      <c r="M20" s="48">
        <v>0</v>
      </c>
      <c r="N20" s="48">
        <v>0</v>
      </c>
      <c r="O20" s="48">
        <v>0</v>
      </c>
      <c r="P20" s="49">
        <f t="shared" si="1"/>
        <v>0</v>
      </c>
      <c r="Q20" s="48">
        <v>0</v>
      </c>
      <c r="R20" s="50">
        <f>+F20+I20+J20+K20+L20+M20+P20+Q20</f>
        <v>0</v>
      </c>
    </row>
    <row r="21" spans="2:18" x14ac:dyDescent="0.25">
      <c r="B21" s="51" t="s">
        <v>335</v>
      </c>
      <c r="C21" s="47">
        <v>0.02</v>
      </c>
      <c r="D21" s="48">
        <v>0</v>
      </c>
      <c r="E21" s="48">
        <v>0</v>
      </c>
      <c r="F21" s="49">
        <f t="shared" si="0"/>
        <v>0</v>
      </c>
      <c r="G21" s="48">
        <v>0</v>
      </c>
      <c r="H21" s="48">
        <v>0</v>
      </c>
      <c r="I21" s="49">
        <f t="shared" si="2"/>
        <v>0</v>
      </c>
      <c r="J21" s="48">
        <v>0</v>
      </c>
      <c r="K21" s="48">
        <v>0</v>
      </c>
      <c r="L21" s="48">
        <v>0</v>
      </c>
      <c r="M21" s="48">
        <v>0</v>
      </c>
      <c r="N21" s="48">
        <v>0</v>
      </c>
      <c r="O21" s="48">
        <v>0</v>
      </c>
      <c r="P21" s="49">
        <f t="shared" si="1"/>
        <v>0</v>
      </c>
      <c r="Q21" s="48">
        <v>0</v>
      </c>
      <c r="R21" s="50">
        <f t="shared" ref="R21:R72" si="3">+F21+I21+J21+K21+L21+M21+P21+Q21</f>
        <v>0</v>
      </c>
    </row>
    <row r="22" spans="2:18" x14ac:dyDescent="0.25">
      <c r="B22" s="369" t="s">
        <v>336</v>
      </c>
      <c r="C22" s="47">
        <v>0.02</v>
      </c>
      <c r="D22" s="48">
        <v>0</v>
      </c>
      <c r="E22" s="48">
        <v>0</v>
      </c>
      <c r="F22" s="49">
        <f t="shared" si="0"/>
        <v>0</v>
      </c>
      <c r="G22" s="48">
        <v>0</v>
      </c>
      <c r="H22" s="48">
        <v>0</v>
      </c>
      <c r="I22" s="49">
        <f t="shared" si="2"/>
        <v>0</v>
      </c>
      <c r="J22" s="48">
        <v>0</v>
      </c>
      <c r="K22" s="48">
        <v>0</v>
      </c>
      <c r="L22" s="48">
        <v>0</v>
      </c>
      <c r="M22" s="48">
        <v>0</v>
      </c>
      <c r="N22" s="48">
        <v>0</v>
      </c>
      <c r="O22" s="48">
        <v>0</v>
      </c>
      <c r="P22" s="49">
        <f t="shared" si="1"/>
        <v>0</v>
      </c>
      <c r="Q22" s="48">
        <v>0</v>
      </c>
      <c r="R22" s="50">
        <f>+F22+I22+J22+K22+L22+M22+P22+Q22</f>
        <v>0</v>
      </c>
    </row>
    <row r="23" spans="2:18" x14ac:dyDescent="0.25">
      <c r="B23" s="370" t="s">
        <v>417</v>
      </c>
      <c r="C23" s="47">
        <v>0.02</v>
      </c>
      <c r="D23" s="48">
        <v>0</v>
      </c>
      <c r="E23" s="48">
        <v>0</v>
      </c>
      <c r="F23" s="49">
        <f t="shared" si="0"/>
        <v>0</v>
      </c>
      <c r="G23" s="48">
        <v>0</v>
      </c>
      <c r="H23" s="48">
        <v>0</v>
      </c>
      <c r="I23" s="49">
        <f t="shared" si="2"/>
        <v>0</v>
      </c>
      <c r="J23" s="48">
        <v>0</v>
      </c>
      <c r="K23" s="48">
        <v>0</v>
      </c>
      <c r="L23" s="48">
        <v>0</v>
      </c>
      <c r="M23" s="48">
        <v>0</v>
      </c>
      <c r="N23" s="48">
        <v>0</v>
      </c>
      <c r="O23" s="48">
        <v>0</v>
      </c>
      <c r="P23" s="49">
        <f t="shared" si="1"/>
        <v>0</v>
      </c>
      <c r="Q23" s="48">
        <v>0</v>
      </c>
      <c r="R23" s="50">
        <f t="shared" si="3"/>
        <v>0</v>
      </c>
    </row>
    <row r="24" spans="2:18" x14ac:dyDescent="0.25">
      <c r="B24" s="370" t="s">
        <v>418</v>
      </c>
      <c r="C24" s="47">
        <v>0.02</v>
      </c>
      <c r="D24" s="48">
        <v>0</v>
      </c>
      <c r="E24" s="48">
        <v>0</v>
      </c>
      <c r="F24" s="49">
        <f t="shared" ref="F24" si="4">+D24+E24</f>
        <v>0</v>
      </c>
      <c r="G24" s="48">
        <v>0</v>
      </c>
      <c r="H24" s="48">
        <v>0</v>
      </c>
      <c r="I24" s="49">
        <f t="shared" ref="I24" si="5">+G24+H24</f>
        <v>0</v>
      </c>
      <c r="J24" s="48">
        <v>0</v>
      </c>
      <c r="K24" s="48">
        <v>0</v>
      </c>
      <c r="L24" s="48">
        <v>0</v>
      </c>
      <c r="M24" s="48">
        <v>0</v>
      </c>
      <c r="N24" s="48">
        <v>0</v>
      </c>
      <c r="O24" s="48">
        <v>0</v>
      </c>
      <c r="P24" s="49">
        <f t="shared" ref="P24" si="6">+N24+O24</f>
        <v>0</v>
      </c>
      <c r="Q24" s="48">
        <v>0</v>
      </c>
      <c r="R24" s="50">
        <f t="shared" ref="R24" si="7">+F24+I24+J24+K24+L24+M24+P24+Q24</f>
        <v>0</v>
      </c>
    </row>
    <row r="25" spans="2:18" x14ac:dyDescent="0.25">
      <c r="B25" s="370" t="s">
        <v>419</v>
      </c>
      <c r="C25" s="47">
        <v>0.02</v>
      </c>
      <c r="D25" s="48">
        <v>0</v>
      </c>
      <c r="E25" s="48">
        <v>0</v>
      </c>
      <c r="F25" s="49">
        <f t="shared" si="0"/>
        <v>0</v>
      </c>
      <c r="G25" s="48">
        <v>0</v>
      </c>
      <c r="H25" s="48">
        <v>0</v>
      </c>
      <c r="I25" s="49">
        <f t="shared" si="2"/>
        <v>0</v>
      </c>
      <c r="J25" s="48">
        <v>0</v>
      </c>
      <c r="K25" s="48">
        <v>0</v>
      </c>
      <c r="L25" s="48">
        <v>0</v>
      </c>
      <c r="M25" s="48">
        <v>0</v>
      </c>
      <c r="N25" s="48">
        <v>0</v>
      </c>
      <c r="O25" s="48">
        <v>0</v>
      </c>
      <c r="P25" s="49">
        <f t="shared" si="1"/>
        <v>0</v>
      </c>
      <c r="Q25" s="48">
        <v>0</v>
      </c>
      <c r="R25" s="50">
        <f t="shared" si="3"/>
        <v>0</v>
      </c>
    </row>
    <row r="26" spans="2:18" x14ac:dyDescent="0.25">
      <c r="B26" s="370" t="s">
        <v>420</v>
      </c>
      <c r="C26" s="47">
        <v>0.02</v>
      </c>
      <c r="D26" s="48">
        <v>0</v>
      </c>
      <c r="E26" s="48">
        <v>0</v>
      </c>
      <c r="F26" s="49">
        <f t="shared" ref="F26:F27" si="8">+D26+E26</f>
        <v>0</v>
      </c>
      <c r="G26" s="48">
        <v>0</v>
      </c>
      <c r="H26" s="48">
        <v>0</v>
      </c>
      <c r="I26" s="49">
        <f t="shared" ref="I26:I27" si="9">+G26+H26</f>
        <v>0</v>
      </c>
      <c r="J26" s="48">
        <v>0</v>
      </c>
      <c r="K26" s="48">
        <v>0</v>
      </c>
      <c r="L26" s="48">
        <v>0</v>
      </c>
      <c r="M26" s="48">
        <v>0</v>
      </c>
      <c r="N26" s="48">
        <v>0</v>
      </c>
      <c r="O26" s="48">
        <v>0</v>
      </c>
      <c r="P26" s="49">
        <f t="shared" ref="P26:P27" si="10">+N26+O26</f>
        <v>0</v>
      </c>
      <c r="Q26" s="48">
        <v>0</v>
      </c>
      <c r="R26" s="50">
        <f t="shared" ref="R26:R27" si="11">+F26+I26+J26+K26+L26+M26+P26+Q26</f>
        <v>0</v>
      </c>
    </row>
    <row r="27" spans="2:18" x14ac:dyDescent="0.25">
      <c r="B27" s="370" t="s">
        <v>421</v>
      </c>
      <c r="C27" s="47">
        <v>0.02</v>
      </c>
      <c r="D27" s="48">
        <v>0</v>
      </c>
      <c r="E27" s="48">
        <v>0</v>
      </c>
      <c r="F27" s="49">
        <f t="shared" si="8"/>
        <v>0</v>
      </c>
      <c r="G27" s="48">
        <v>0</v>
      </c>
      <c r="H27" s="48">
        <v>0</v>
      </c>
      <c r="I27" s="49">
        <f t="shared" si="9"/>
        <v>0</v>
      </c>
      <c r="J27" s="48">
        <v>0</v>
      </c>
      <c r="K27" s="48">
        <v>0</v>
      </c>
      <c r="L27" s="48">
        <v>0</v>
      </c>
      <c r="M27" s="48">
        <v>0</v>
      </c>
      <c r="N27" s="48">
        <v>0</v>
      </c>
      <c r="O27" s="48">
        <v>0</v>
      </c>
      <c r="P27" s="49">
        <f t="shared" si="10"/>
        <v>0</v>
      </c>
      <c r="Q27" s="48">
        <v>0</v>
      </c>
      <c r="R27" s="50">
        <f t="shared" si="11"/>
        <v>0</v>
      </c>
    </row>
    <row r="28" spans="2:18" x14ac:dyDescent="0.25">
      <c r="B28" s="370" t="s">
        <v>217</v>
      </c>
      <c r="C28" s="47">
        <v>0.02</v>
      </c>
      <c r="D28" s="48">
        <v>0</v>
      </c>
      <c r="E28" s="48">
        <v>0</v>
      </c>
      <c r="F28" s="49">
        <f t="shared" si="0"/>
        <v>0</v>
      </c>
      <c r="G28" s="48">
        <v>0</v>
      </c>
      <c r="H28" s="48">
        <v>0</v>
      </c>
      <c r="I28" s="49">
        <f t="shared" si="2"/>
        <v>0</v>
      </c>
      <c r="J28" s="48">
        <v>0</v>
      </c>
      <c r="K28" s="48">
        <v>0</v>
      </c>
      <c r="L28" s="48">
        <v>0</v>
      </c>
      <c r="M28" s="48">
        <v>0</v>
      </c>
      <c r="N28" s="48">
        <v>0</v>
      </c>
      <c r="O28" s="48">
        <v>0</v>
      </c>
      <c r="P28" s="49">
        <f t="shared" si="1"/>
        <v>0</v>
      </c>
      <c r="Q28" s="48">
        <v>0</v>
      </c>
      <c r="R28" s="50">
        <f t="shared" si="3"/>
        <v>0</v>
      </c>
    </row>
    <row r="29" spans="2:18" x14ac:dyDescent="0.25">
      <c r="B29" s="370" t="s">
        <v>422</v>
      </c>
      <c r="C29" s="47">
        <v>0.02</v>
      </c>
      <c r="D29" s="48">
        <v>0</v>
      </c>
      <c r="E29" s="48">
        <v>0</v>
      </c>
      <c r="F29" s="49">
        <f t="shared" ref="F29:F31" si="12">+D29+E29</f>
        <v>0</v>
      </c>
      <c r="G29" s="48">
        <v>0</v>
      </c>
      <c r="H29" s="48">
        <v>0</v>
      </c>
      <c r="I29" s="49">
        <f t="shared" ref="I29:I31" si="13">+G29+H29</f>
        <v>0</v>
      </c>
      <c r="J29" s="48">
        <v>0</v>
      </c>
      <c r="K29" s="48">
        <v>0</v>
      </c>
      <c r="L29" s="48">
        <v>0</v>
      </c>
      <c r="M29" s="48">
        <v>0</v>
      </c>
      <c r="N29" s="48">
        <v>0</v>
      </c>
      <c r="O29" s="48">
        <v>0</v>
      </c>
      <c r="P29" s="49">
        <f t="shared" ref="P29:P31" si="14">+N29+O29</f>
        <v>0</v>
      </c>
      <c r="Q29" s="48">
        <v>0</v>
      </c>
      <c r="R29" s="50">
        <f t="shared" ref="R29:R31" si="15">+F29+I29+J29+K29+L29+M29+P29+Q29</f>
        <v>0</v>
      </c>
    </row>
    <row r="30" spans="2:18" x14ac:dyDescent="0.25">
      <c r="B30" s="370" t="s">
        <v>423</v>
      </c>
      <c r="C30" s="47">
        <v>0.02</v>
      </c>
      <c r="D30" s="48">
        <v>0</v>
      </c>
      <c r="E30" s="48">
        <v>0</v>
      </c>
      <c r="F30" s="49">
        <f t="shared" si="12"/>
        <v>0</v>
      </c>
      <c r="G30" s="48">
        <v>0</v>
      </c>
      <c r="H30" s="48">
        <v>0</v>
      </c>
      <c r="I30" s="49">
        <f t="shared" si="13"/>
        <v>0</v>
      </c>
      <c r="J30" s="48">
        <v>0</v>
      </c>
      <c r="K30" s="48">
        <v>0</v>
      </c>
      <c r="L30" s="48">
        <v>0</v>
      </c>
      <c r="M30" s="48">
        <v>0</v>
      </c>
      <c r="N30" s="48">
        <v>0</v>
      </c>
      <c r="O30" s="48">
        <v>0</v>
      </c>
      <c r="P30" s="49">
        <f t="shared" si="14"/>
        <v>0</v>
      </c>
      <c r="Q30" s="48">
        <v>0</v>
      </c>
      <c r="R30" s="50">
        <f t="shared" si="15"/>
        <v>0</v>
      </c>
    </row>
    <row r="31" spans="2:18" x14ac:dyDescent="0.25">
      <c r="B31" s="370" t="s">
        <v>424</v>
      </c>
      <c r="C31" s="47">
        <v>0.02</v>
      </c>
      <c r="D31" s="48">
        <v>0</v>
      </c>
      <c r="E31" s="48">
        <v>0</v>
      </c>
      <c r="F31" s="49">
        <f t="shared" si="12"/>
        <v>0</v>
      </c>
      <c r="G31" s="48">
        <v>0</v>
      </c>
      <c r="H31" s="48">
        <v>0</v>
      </c>
      <c r="I31" s="49">
        <f t="shared" si="13"/>
        <v>0</v>
      </c>
      <c r="J31" s="48">
        <v>0</v>
      </c>
      <c r="K31" s="48">
        <v>0</v>
      </c>
      <c r="L31" s="48">
        <v>0</v>
      </c>
      <c r="M31" s="48">
        <v>0</v>
      </c>
      <c r="N31" s="48">
        <v>0</v>
      </c>
      <c r="O31" s="48">
        <v>0</v>
      </c>
      <c r="P31" s="49">
        <f t="shared" si="14"/>
        <v>0</v>
      </c>
      <c r="Q31" s="48">
        <v>0</v>
      </c>
      <c r="R31" s="50">
        <f t="shared" si="15"/>
        <v>0</v>
      </c>
    </row>
    <row r="32" spans="2:18" x14ac:dyDescent="0.25">
      <c r="B32" s="370" t="s">
        <v>425</v>
      </c>
      <c r="C32" s="47">
        <v>0.02</v>
      </c>
      <c r="D32" s="48">
        <v>0</v>
      </c>
      <c r="E32" s="48">
        <v>0</v>
      </c>
      <c r="F32" s="49">
        <f t="shared" si="0"/>
        <v>0</v>
      </c>
      <c r="G32" s="48">
        <v>0</v>
      </c>
      <c r="H32" s="48">
        <v>0</v>
      </c>
      <c r="I32" s="49">
        <f t="shared" si="2"/>
        <v>0</v>
      </c>
      <c r="J32" s="48">
        <v>0</v>
      </c>
      <c r="K32" s="48">
        <v>0</v>
      </c>
      <c r="L32" s="48">
        <v>0</v>
      </c>
      <c r="M32" s="48">
        <v>0</v>
      </c>
      <c r="N32" s="48">
        <v>0</v>
      </c>
      <c r="O32" s="48">
        <v>0</v>
      </c>
      <c r="P32" s="49">
        <f t="shared" si="1"/>
        <v>0</v>
      </c>
      <c r="Q32" s="48">
        <v>0</v>
      </c>
      <c r="R32" s="50">
        <f t="shared" si="3"/>
        <v>0</v>
      </c>
    </row>
    <row r="33" spans="2:18" x14ac:dyDescent="0.25">
      <c r="B33" s="370" t="s">
        <v>426</v>
      </c>
      <c r="C33" s="47">
        <v>0.02</v>
      </c>
      <c r="D33" s="48">
        <v>0</v>
      </c>
      <c r="E33" s="48">
        <v>0</v>
      </c>
      <c r="F33" s="49">
        <f t="shared" si="0"/>
        <v>0</v>
      </c>
      <c r="G33" s="48">
        <v>0</v>
      </c>
      <c r="H33" s="48">
        <v>0</v>
      </c>
      <c r="I33" s="49">
        <f t="shared" si="2"/>
        <v>0</v>
      </c>
      <c r="J33" s="48">
        <v>0</v>
      </c>
      <c r="K33" s="48">
        <v>0</v>
      </c>
      <c r="L33" s="48">
        <v>0</v>
      </c>
      <c r="M33" s="48">
        <v>0</v>
      </c>
      <c r="N33" s="48">
        <v>0</v>
      </c>
      <c r="O33" s="48">
        <v>0</v>
      </c>
      <c r="P33" s="49">
        <f t="shared" si="1"/>
        <v>0</v>
      </c>
      <c r="Q33" s="48">
        <v>0</v>
      </c>
      <c r="R33" s="50">
        <f t="shared" si="3"/>
        <v>0</v>
      </c>
    </row>
    <row r="34" spans="2:18" x14ac:dyDescent="0.25">
      <c r="B34" s="370" t="s">
        <v>218</v>
      </c>
      <c r="C34" s="47">
        <v>0.02</v>
      </c>
      <c r="D34" s="48">
        <v>0</v>
      </c>
      <c r="E34" s="48">
        <v>0</v>
      </c>
      <c r="F34" s="49">
        <f t="shared" si="0"/>
        <v>0</v>
      </c>
      <c r="G34" s="48">
        <v>0</v>
      </c>
      <c r="H34" s="48">
        <v>0</v>
      </c>
      <c r="I34" s="49">
        <f t="shared" si="2"/>
        <v>0</v>
      </c>
      <c r="J34" s="48">
        <v>0</v>
      </c>
      <c r="K34" s="48">
        <v>0</v>
      </c>
      <c r="L34" s="48">
        <v>0</v>
      </c>
      <c r="M34" s="48">
        <v>0</v>
      </c>
      <c r="N34" s="48">
        <v>0</v>
      </c>
      <c r="O34" s="48">
        <v>0</v>
      </c>
      <c r="P34" s="49">
        <f t="shared" si="1"/>
        <v>0</v>
      </c>
      <c r="Q34" s="48">
        <v>0</v>
      </c>
      <c r="R34" s="50">
        <f t="shared" si="3"/>
        <v>0</v>
      </c>
    </row>
    <row r="35" spans="2:18" x14ac:dyDescent="0.25">
      <c r="B35" s="369" t="s">
        <v>337</v>
      </c>
      <c r="C35" s="47">
        <v>0.02</v>
      </c>
      <c r="D35" s="48">
        <v>0</v>
      </c>
      <c r="E35" s="48">
        <v>0</v>
      </c>
      <c r="F35" s="49">
        <f t="shared" si="0"/>
        <v>0</v>
      </c>
      <c r="G35" s="48">
        <v>0</v>
      </c>
      <c r="H35" s="48">
        <v>0</v>
      </c>
      <c r="I35" s="49">
        <f t="shared" si="2"/>
        <v>0</v>
      </c>
      <c r="J35" s="48">
        <v>0</v>
      </c>
      <c r="K35" s="48">
        <v>0</v>
      </c>
      <c r="L35" s="48">
        <v>0</v>
      </c>
      <c r="M35" s="48">
        <v>0</v>
      </c>
      <c r="N35" s="48">
        <v>0</v>
      </c>
      <c r="O35" s="48">
        <v>0</v>
      </c>
      <c r="P35" s="49">
        <f t="shared" si="1"/>
        <v>0</v>
      </c>
      <c r="Q35" s="48">
        <v>0</v>
      </c>
      <c r="R35" s="50">
        <f t="shared" si="3"/>
        <v>0</v>
      </c>
    </row>
    <row r="36" spans="2:18" x14ac:dyDescent="0.25">
      <c r="B36" s="370" t="s">
        <v>427</v>
      </c>
      <c r="C36" s="47">
        <v>0.03</v>
      </c>
      <c r="D36" s="48">
        <v>0</v>
      </c>
      <c r="E36" s="48">
        <v>0</v>
      </c>
      <c r="F36" s="49">
        <f t="shared" ref="F36:F38" si="16">+D36+E36</f>
        <v>0</v>
      </c>
      <c r="G36" s="48">
        <v>0</v>
      </c>
      <c r="H36" s="48">
        <v>0</v>
      </c>
      <c r="I36" s="49">
        <f t="shared" ref="I36:I38" si="17">+G36+H36</f>
        <v>0</v>
      </c>
      <c r="J36" s="48">
        <v>0</v>
      </c>
      <c r="K36" s="48">
        <v>0</v>
      </c>
      <c r="L36" s="48">
        <v>0</v>
      </c>
      <c r="M36" s="48">
        <v>0</v>
      </c>
      <c r="N36" s="48">
        <v>0</v>
      </c>
      <c r="O36" s="48">
        <v>0</v>
      </c>
      <c r="P36" s="49">
        <f t="shared" ref="P36:P38" si="18">+N36+O36</f>
        <v>0</v>
      </c>
      <c r="Q36" s="48">
        <v>0</v>
      </c>
      <c r="R36" s="50">
        <f t="shared" ref="R36:R38" si="19">+F36+I36+J36+K36+L36+M36+P36+Q36</f>
        <v>0</v>
      </c>
    </row>
    <row r="37" spans="2:18" x14ac:dyDescent="0.25">
      <c r="B37" s="370" t="s">
        <v>428</v>
      </c>
      <c r="C37" s="47">
        <v>0.03</v>
      </c>
      <c r="D37" s="48">
        <v>0</v>
      </c>
      <c r="E37" s="48">
        <v>0</v>
      </c>
      <c r="F37" s="49">
        <f t="shared" si="16"/>
        <v>0</v>
      </c>
      <c r="G37" s="48">
        <v>0</v>
      </c>
      <c r="H37" s="48">
        <v>0</v>
      </c>
      <c r="I37" s="49">
        <f t="shared" si="17"/>
        <v>0</v>
      </c>
      <c r="J37" s="48">
        <v>0</v>
      </c>
      <c r="K37" s="48">
        <v>0</v>
      </c>
      <c r="L37" s="48">
        <v>0</v>
      </c>
      <c r="M37" s="48">
        <v>0</v>
      </c>
      <c r="N37" s="48">
        <v>0</v>
      </c>
      <c r="O37" s="48">
        <v>0</v>
      </c>
      <c r="P37" s="49">
        <f t="shared" si="18"/>
        <v>0</v>
      </c>
      <c r="Q37" s="48">
        <v>0</v>
      </c>
      <c r="R37" s="50">
        <f t="shared" si="19"/>
        <v>0</v>
      </c>
    </row>
    <row r="38" spans="2:18" x14ac:dyDescent="0.25">
      <c r="B38" s="370" t="s">
        <v>429</v>
      </c>
      <c r="C38" s="47">
        <v>0.03</v>
      </c>
      <c r="D38" s="48">
        <v>0</v>
      </c>
      <c r="E38" s="48">
        <v>0</v>
      </c>
      <c r="F38" s="49">
        <f t="shared" si="16"/>
        <v>0</v>
      </c>
      <c r="G38" s="48">
        <v>0</v>
      </c>
      <c r="H38" s="48">
        <v>0</v>
      </c>
      <c r="I38" s="49">
        <f t="shared" si="17"/>
        <v>0</v>
      </c>
      <c r="J38" s="48">
        <v>0</v>
      </c>
      <c r="K38" s="48">
        <v>0</v>
      </c>
      <c r="L38" s="48">
        <v>0</v>
      </c>
      <c r="M38" s="48">
        <v>0</v>
      </c>
      <c r="N38" s="48">
        <v>0</v>
      </c>
      <c r="O38" s="48">
        <v>0</v>
      </c>
      <c r="P38" s="49">
        <f t="shared" si="18"/>
        <v>0</v>
      </c>
      <c r="Q38" s="48">
        <v>0</v>
      </c>
      <c r="R38" s="50">
        <f t="shared" si="19"/>
        <v>0</v>
      </c>
    </row>
    <row r="39" spans="2:18" x14ac:dyDescent="0.25">
      <c r="B39" s="370" t="s">
        <v>430</v>
      </c>
      <c r="C39" s="47">
        <v>0.03</v>
      </c>
      <c r="D39" s="48">
        <v>0</v>
      </c>
      <c r="E39" s="48">
        <v>0</v>
      </c>
      <c r="F39" s="49">
        <f t="shared" si="0"/>
        <v>0</v>
      </c>
      <c r="G39" s="48">
        <v>0</v>
      </c>
      <c r="H39" s="48">
        <v>0</v>
      </c>
      <c r="I39" s="49">
        <f t="shared" si="2"/>
        <v>0</v>
      </c>
      <c r="J39" s="48">
        <v>0</v>
      </c>
      <c r="K39" s="48">
        <v>0</v>
      </c>
      <c r="L39" s="48">
        <v>0</v>
      </c>
      <c r="M39" s="48">
        <v>0</v>
      </c>
      <c r="N39" s="48">
        <v>0</v>
      </c>
      <c r="O39" s="48">
        <v>0</v>
      </c>
      <c r="P39" s="49">
        <f t="shared" si="1"/>
        <v>0</v>
      </c>
      <c r="Q39" s="48">
        <v>0</v>
      </c>
      <c r="R39" s="50">
        <f t="shared" si="3"/>
        <v>0</v>
      </c>
    </row>
    <row r="40" spans="2:18" x14ac:dyDescent="0.25">
      <c r="B40" s="370" t="s">
        <v>431</v>
      </c>
      <c r="C40" s="47">
        <v>0.03</v>
      </c>
      <c r="D40" s="48">
        <v>0</v>
      </c>
      <c r="E40" s="48">
        <v>0</v>
      </c>
      <c r="F40" s="49">
        <f t="shared" si="0"/>
        <v>0</v>
      </c>
      <c r="G40" s="48">
        <v>0</v>
      </c>
      <c r="H40" s="48">
        <v>0</v>
      </c>
      <c r="I40" s="49">
        <f t="shared" si="2"/>
        <v>0</v>
      </c>
      <c r="J40" s="48">
        <v>0</v>
      </c>
      <c r="K40" s="48">
        <v>0</v>
      </c>
      <c r="L40" s="48">
        <v>0</v>
      </c>
      <c r="M40" s="48">
        <v>0</v>
      </c>
      <c r="N40" s="48">
        <v>0</v>
      </c>
      <c r="O40" s="48">
        <v>0</v>
      </c>
      <c r="P40" s="49">
        <f t="shared" si="1"/>
        <v>0</v>
      </c>
      <c r="Q40" s="48">
        <v>0</v>
      </c>
      <c r="R40" s="50">
        <f t="shared" si="3"/>
        <v>0</v>
      </c>
    </row>
    <row r="41" spans="2:18" x14ac:dyDescent="0.25">
      <c r="B41" s="370" t="s">
        <v>361</v>
      </c>
      <c r="C41" s="47">
        <v>0.03</v>
      </c>
      <c r="D41" s="48">
        <v>0</v>
      </c>
      <c r="E41" s="48">
        <v>0</v>
      </c>
      <c r="F41" s="49">
        <f t="shared" si="0"/>
        <v>0</v>
      </c>
      <c r="G41" s="48">
        <v>0</v>
      </c>
      <c r="H41" s="48">
        <v>0</v>
      </c>
      <c r="I41" s="49">
        <f t="shared" si="2"/>
        <v>0</v>
      </c>
      <c r="J41" s="48">
        <v>0</v>
      </c>
      <c r="K41" s="48">
        <v>0</v>
      </c>
      <c r="L41" s="48">
        <v>0</v>
      </c>
      <c r="M41" s="48">
        <v>0</v>
      </c>
      <c r="N41" s="48">
        <v>0</v>
      </c>
      <c r="O41" s="48">
        <v>0</v>
      </c>
      <c r="P41" s="49">
        <f t="shared" si="1"/>
        <v>0</v>
      </c>
      <c r="Q41" s="48">
        <v>0</v>
      </c>
      <c r="R41" s="50">
        <f t="shared" si="3"/>
        <v>0</v>
      </c>
    </row>
    <row r="42" spans="2:18" x14ac:dyDescent="0.25">
      <c r="B42" s="369" t="s">
        <v>339</v>
      </c>
      <c r="C42" s="47">
        <v>0.03</v>
      </c>
      <c r="D42" s="48">
        <v>0</v>
      </c>
      <c r="E42" s="48">
        <v>0</v>
      </c>
      <c r="F42" s="49">
        <f t="shared" si="0"/>
        <v>0</v>
      </c>
      <c r="G42" s="48">
        <v>0</v>
      </c>
      <c r="H42" s="48">
        <v>0</v>
      </c>
      <c r="I42" s="49">
        <f t="shared" si="2"/>
        <v>0</v>
      </c>
      <c r="J42" s="48">
        <v>0</v>
      </c>
      <c r="K42" s="48">
        <v>0</v>
      </c>
      <c r="L42" s="48">
        <v>0</v>
      </c>
      <c r="M42" s="48">
        <v>0</v>
      </c>
      <c r="N42" s="48">
        <v>0</v>
      </c>
      <c r="O42" s="48">
        <v>0</v>
      </c>
      <c r="P42" s="49">
        <f t="shared" si="1"/>
        <v>0</v>
      </c>
      <c r="Q42" s="48">
        <v>0</v>
      </c>
      <c r="R42" s="50">
        <f t="shared" si="3"/>
        <v>0</v>
      </c>
    </row>
    <row r="43" spans="2:18" x14ac:dyDescent="0.25">
      <c r="B43" s="370" t="s">
        <v>408</v>
      </c>
      <c r="C43" s="47">
        <v>0.03</v>
      </c>
      <c r="D43" s="48">
        <v>0</v>
      </c>
      <c r="E43" s="48">
        <v>0</v>
      </c>
      <c r="F43" s="49">
        <f t="shared" si="0"/>
        <v>0</v>
      </c>
      <c r="G43" s="48">
        <v>0</v>
      </c>
      <c r="H43" s="48">
        <v>0</v>
      </c>
      <c r="I43" s="49">
        <f t="shared" si="2"/>
        <v>0</v>
      </c>
      <c r="J43" s="48">
        <v>0</v>
      </c>
      <c r="K43" s="48">
        <v>0</v>
      </c>
      <c r="L43" s="48">
        <v>0</v>
      </c>
      <c r="M43" s="48">
        <v>0</v>
      </c>
      <c r="N43" s="48">
        <v>0</v>
      </c>
      <c r="O43" s="48">
        <v>0</v>
      </c>
      <c r="P43" s="49">
        <f t="shared" si="1"/>
        <v>0</v>
      </c>
      <c r="Q43" s="48">
        <v>0</v>
      </c>
      <c r="R43" s="50">
        <f t="shared" si="3"/>
        <v>0</v>
      </c>
    </row>
    <row r="44" spans="2:18" x14ac:dyDescent="0.25">
      <c r="B44" s="370" t="s">
        <v>409</v>
      </c>
      <c r="C44" s="47">
        <v>0.03</v>
      </c>
      <c r="D44" s="48">
        <v>0</v>
      </c>
      <c r="E44" s="48">
        <v>0</v>
      </c>
      <c r="F44" s="49">
        <f t="shared" si="0"/>
        <v>0</v>
      </c>
      <c r="G44" s="48">
        <v>0</v>
      </c>
      <c r="H44" s="48">
        <v>0</v>
      </c>
      <c r="I44" s="49">
        <f t="shared" si="2"/>
        <v>0</v>
      </c>
      <c r="J44" s="48">
        <v>0</v>
      </c>
      <c r="K44" s="48">
        <v>0</v>
      </c>
      <c r="L44" s="48">
        <v>0</v>
      </c>
      <c r="M44" s="48">
        <v>0</v>
      </c>
      <c r="N44" s="48">
        <v>0</v>
      </c>
      <c r="O44" s="48">
        <v>0</v>
      </c>
      <c r="P44" s="49">
        <f t="shared" si="1"/>
        <v>0</v>
      </c>
      <c r="Q44" s="48">
        <v>0</v>
      </c>
      <c r="R44" s="50">
        <f t="shared" si="3"/>
        <v>0</v>
      </c>
    </row>
    <row r="45" spans="2:18" x14ac:dyDescent="0.25">
      <c r="B45" s="370" t="s">
        <v>410</v>
      </c>
      <c r="C45" s="47">
        <v>0.03</v>
      </c>
      <c r="D45" s="48">
        <v>0</v>
      </c>
      <c r="E45" s="48">
        <v>0</v>
      </c>
      <c r="F45" s="49">
        <f t="shared" si="0"/>
        <v>0</v>
      </c>
      <c r="G45" s="48">
        <v>0</v>
      </c>
      <c r="H45" s="48">
        <v>0</v>
      </c>
      <c r="I45" s="49">
        <f t="shared" si="2"/>
        <v>0</v>
      </c>
      <c r="J45" s="48">
        <v>0</v>
      </c>
      <c r="K45" s="48">
        <v>0</v>
      </c>
      <c r="L45" s="48">
        <v>0</v>
      </c>
      <c r="M45" s="48">
        <v>0</v>
      </c>
      <c r="N45" s="48">
        <v>0</v>
      </c>
      <c r="O45" s="48">
        <v>0</v>
      </c>
      <c r="P45" s="49">
        <f t="shared" si="1"/>
        <v>0</v>
      </c>
      <c r="Q45" s="48">
        <v>0</v>
      </c>
      <c r="R45" s="50">
        <f t="shared" si="3"/>
        <v>0</v>
      </c>
    </row>
    <row r="46" spans="2:18" x14ac:dyDescent="0.25">
      <c r="B46" s="370" t="s">
        <v>411</v>
      </c>
      <c r="C46" s="47">
        <v>0.03</v>
      </c>
      <c r="D46" s="48">
        <v>0</v>
      </c>
      <c r="E46" s="48">
        <v>0</v>
      </c>
      <c r="F46" s="49">
        <f>+D46+E46</f>
        <v>0</v>
      </c>
      <c r="G46" s="48">
        <v>0</v>
      </c>
      <c r="H46" s="48">
        <v>0</v>
      </c>
      <c r="I46" s="49">
        <f>+G46+H46</f>
        <v>0</v>
      </c>
      <c r="J46" s="48">
        <v>0</v>
      </c>
      <c r="K46" s="48">
        <v>0</v>
      </c>
      <c r="L46" s="48">
        <v>0</v>
      </c>
      <c r="M46" s="48">
        <v>0</v>
      </c>
      <c r="N46" s="48">
        <v>0</v>
      </c>
      <c r="O46" s="48">
        <v>0</v>
      </c>
      <c r="P46" s="49">
        <f>+N46+O46</f>
        <v>0</v>
      </c>
      <c r="Q46" s="48">
        <v>0</v>
      </c>
      <c r="R46" s="50">
        <f t="shared" si="3"/>
        <v>0</v>
      </c>
    </row>
    <row r="47" spans="2:18" x14ac:dyDescent="0.25">
      <c r="B47" s="370" t="s">
        <v>407</v>
      </c>
      <c r="C47" s="47">
        <v>0.03</v>
      </c>
      <c r="D47" s="48">
        <v>0</v>
      </c>
      <c r="E47" s="48">
        <v>0</v>
      </c>
      <c r="F47" s="49">
        <f t="shared" si="0"/>
        <v>0</v>
      </c>
      <c r="G47" s="48">
        <v>0</v>
      </c>
      <c r="H47" s="48">
        <v>0</v>
      </c>
      <c r="I47" s="49">
        <f t="shared" si="2"/>
        <v>0</v>
      </c>
      <c r="J47" s="48">
        <v>0</v>
      </c>
      <c r="K47" s="48">
        <v>0</v>
      </c>
      <c r="L47" s="48">
        <v>0</v>
      </c>
      <c r="M47" s="48">
        <v>0</v>
      </c>
      <c r="N47" s="48">
        <v>0</v>
      </c>
      <c r="O47" s="48">
        <v>0</v>
      </c>
      <c r="P47" s="49">
        <f t="shared" si="1"/>
        <v>0</v>
      </c>
      <c r="Q47" s="48">
        <v>0</v>
      </c>
      <c r="R47" s="50">
        <f t="shared" si="3"/>
        <v>0</v>
      </c>
    </row>
    <row r="48" spans="2:18" x14ac:dyDescent="0.25">
      <c r="B48" s="370" t="s">
        <v>219</v>
      </c>
      <c r="C48" s="47">
        <v>0.03</v>
      </c>
      <c r="D48" s="48">
        <v>0</v>
      </c>
      <c r="E48" s="48">
        <v>0</v>
      </c>
      <c r="F48" s="49">
        <f t="shared" si="0"/>
        <v>0</v>
      </c>
      <c r="G48" s="48">
        <v>0</v>
      </c>
      <c r="H48" s="48">
        <v>0</v>
      </c>
      <c r="I48" s="49">
        <f t="shared" si="2"/>
        <v>0</v>
      </c>
      <c r="J48" s="48">
        <v>0</v>
      </c>
      <c r="K48" s="48">
        <v>0</v>
      </c>
      <c r="L48" s="48">
        <v>0</v>
      </c>
      <c r="M48" s="48">
        <v>0</v>
      </c>
      <c r="N48" s="48">
        <v>0</v>
      </c>
      <c r="O48" s="48">
        <v>0</v>
      </c>
      <c r="P48" s="49">
        <f t="shared" si="1"/>
        <v>0</v>
      </c>
      <c r="Q48" s="48">
        <v>0</v>
      </c>
      <c r="R48" s="50">
        <f t="shared" si="3"/>
        <v>0</v>
      </c>
    </row>
    <row r="49" spans="2:18" x14ac:dyDescent="0.25">
      <c r="B49" s="370" t="s">
        <v>412</v>
      </c>
      <c r="C49" s="47">
        <v>0.03</v>
      </c>
      <c r="D49" s="48">
        <v>0</v>
      </c>
      <c r="E49" s="48">
        <v>0</v>
      </c>
      <c r="F49" s="49">
        <f t="shared" si="0"/>
        <v>0</v>
      </c>
      <c r="G49" s="48">
        <v>0</v>
      </c>
      <c r="H49" s="48">
        <v>0</v>
      </c>
      <c r="I49" s="49">
        <f t="shared" si="2"/>
        <v>0</v>
      </c>
      <c r="J49" s="48">
        <v>0</v>
      </c>
      <c r="K49" s="48">
        <v>0</v>
      </c>
      <c r="L49" s="48">
        <v>0</v>
      </c>
      <c r="M49" s="48">
        <v>0</v>
      </c>
      <c r="N49" s="48">
        <v>0</v>
      </c>
      <c r="O49" s="48">
        <v>0</v>
      </c>
      <c r="P49" s="49">
        <f t="shared" si="1"/>
        <v>0</v>
      </c>
      <c r="Q49" s="48">
        <v>0</v>
      </c>
      <c r="R49" s="50">
        <f t="shared" si="3"/>
        <v>0</v>
      </c>
    </row>
    <row r="50" spans="2:18" x14ac:dyDescent="0.25">
      <c r="B50" s="370" t="s">
        <v>413</v>
      </c>
      <c r="C50" s="47">
        <v>0.03</v>
      </c>
      <c r="D50" s="48">
        <v>0</v>
      </c>
      <c r="E50" s="48">
        <v>0</v>
      </c>
      <c r="F50" s="49">
        <f t="shared" si="0"/>
        <v>0</v>
      </c>
      <c r="G50" s="48">
        <v>0</v>
      </c>
      <c r="H50" s="48">
        <v>0</v>
      </c>
      <c r="I50" s="49">
        <f t="shared" si="2"/>
        <v>0</v>
      </c>
      <c r="J50" s="48">
        <v>0</v>
      </c>
      <c r="K50" s="48">
        <v>0</v>
      </c>
      <c r="L50" s="48">
        <v>0</v>
      </c>
      <c r="M50" s="48">
        <v>0</v>
      </c>
      <c r="N50" s="48">
        <v>0</v>
      </c>
      <c r="O50" s="48">
        <v>0</v>
      </c>
      <c r="P50" s="49">
        <f t="shared" si="1"/>
        <v>0</v>
      </c>
      <c r="Q50" s="48">
        <v>0</v>
      </c>
      <c r="R50" s="50">
        <f t="shared" si="3"/>
        <v>0</v>
      </c>
    </row>
    <row r="51" spans="2:18" x14ac:dyDescent="0.25">
      <c r="B51" s="370" t="s">
        <v>414</v>
      </c>
      <c r="C51" s="47">
        <v>0.03</v>
      </c>
      <c r="D51" s="48">
        <v>0</v>
      </c>
      <c r="E51" s="48">
        <v>0</v>
      </c>
      <c r="F51" s="49">
        <f t="shared" si="0"/>
        <v>0</v>
      </c>
      <c r="G51" s="48">
        <v>0</v>
      </c>
      <c r="H51" s="48">
        <v>0</v>
      </c>
      <c r="I51" s="49">
        <f t="shared" si="2"/>
        <v>0</v>
      </c>
      <c r="J51" s="48">
        <v>0</v>
      </c>
      <c r="K51" s="48">
        <v>0</v>
      </c>
      <c r="L51" s="48">
        <v>0</v>
      </c>
      <c r="M51" s="48">
        <v>0</v>
      </c>
      <c r="N51" s="48">
        <v>0</v>
      </c>
      <c r="O51" s="48">
        <v>0</v>
      </c>
      <c r="P51" s="49">
        <f t="shared" si="1"/>
        <v>0</v>
      </c>
      <c r="Q51" s="48">
        <v>0</v>
      </c>
      <c r="R51" s="50">
        <f t="shared" si="3"/>
        <v>0</v>
      </c>
    </row>
    <row r="52" spans="2:18" x14ac:dyDescent="0.25">
      <c r="B52" s="370" t="s">
        <v>415</v>
      </c>
      <c r="C52" s="47">
        <v>0.03</v>
      </c>
      <c r="D52" s="48">
        <v>0</v>
      </c>
      <c r="E52" s="48">
        <v>0</v>
      </c>
      <c r="F52" s="49">
        <f t="shared" si="0"/>
        <v>0</v>
      </c>
      <c r="G52" s="48">
        <v>0</v>
      </c>
      <c r="H52" s="48">
        <v>0</v>
      </c>
      <c r="I52" s="49">
        <f t="shared" si="2"/>
        <v>0</v>
      </c>
      <c r="J52" s="48">
        <v>0</v>
      </c>
      <c r="K52" s="48">
        <v>0</v>
      </c>
      <c r="L52" s="48">
        <v>0</v>
      </c>
      <c r="M52" s="48">
        <v>0</v>
      </c>
      <c r="N52" s="48">
        <v>0</v>
      </c>
      <c r="O52" s="48">
        <v>0</v>
      </c>
      <c r="P52" s="49">
        <f t="shared" si="1"/>
        <v>0</v>
      </c>
      <c r="Q52" s="48">
        <v>0</v>
      </c>
      <c r="R52" s="50">
        <f t="shared" si="3"/>
        <v>0</v>
      </c>
    </row>
    <row r="53" spans="2:18" x14ac:dyDescent="0.25">
      <c r="B53" s="370" t="s">
        <v>416</v>
      </c>
      <c r="C53" s="47">
        <v>0.03</v>
      </c>
      <c r="D53" s="48">
        <v>0</v>
      </c>
      <c r="E53" s="48">
        <v>0</v>
      </c>
      <c r="F53" s="49">
        <f t="shared" si="0"/>
        <v>0</v>
      </c>
      <c r="G53" s="48">
        <v>0</v>
      </c>
      <c r="H53" s="48">
        <v>0</v>
      </c>
      <c r="I53" s="49">
        <f t="shared" si="2"/>
        <v>0</v>
      </c>
      <c r="J53" s="48">
        <v>0</v>
      </c>
      <c r="K53" s="48">
        <v>0</v>
      </c>
      <c r="L53" s="48">
        <v>0</v>
      </c>
      <c r="M53" s="48">
        <v>0</v>
      </c>
      <c r="N53" s="48">
        <v>0</v>
      </c>
      <c r="O53" s="48">
        <v>0</v>
      </c>
      <c r="P53" s="49">
        <f t="shared" si="1"/>
        <v>0</v>
      </c>
      <c r="Q53" s="48">
        <v>0</v>
      </c>
      <c r="R53" s="50">
        <f t="shared" si="3"/>
        <v>0</v>
      </c>
    </row>
    <row r="54" spans="2:18" x14ac:dyDescent="0.25">
      <c r="B54" s="370" t="s">
        <v>220</v>
      </c>
      <c r="C54" s="47">
        <v>0.03</v>
      </c>
      <c r="D54" s="48">
        <v>0</v>
      </c>
      <c r="E54" s="48">
        <v>0</v>
      </c>
      <c r="F54" s="49">
        <f t="shared" si="0"/>
        <v>0</v>
      </c>
      <c r="G54" s="48">
        <v>0</v>
      </c>
      <c r="H54" s="48">
        <v>0</v>
      </c>
      <c r="I54" s="49">
        <f t="shared" si="2"/>
        <v>0</v>
      </c>
      <c r="J54" s="48">
        <v>0</v>
      </c>
      <c r="K54" s="48">
        <v>0</v>
      </c>
      <c r="L54" s="48">
        <v>0</v>
      </c>
      <c r="M54" s="48">
        <v>0</v>
      </c>
      <c r="N54" s="48">
        <v>0</v>
      </c>
      <c r="O54" s="48">
        <v>0</v>
      </c>
      <c r="P54" s="49">
        <f t="shared" si="1"/>
        <v>0</v>
      </c>
      <c r="Q54" s="48">
        <v>0</v>
      </c>
      <c r="R54" s="50">
        <f t="shared" si="3"/>
        <v>0</v>
      </c>
    </row>
    <row r="55" spans="2:18" x14ac:dyDescent="0.25">
      <c r="B55" s="369" t="s">
        <v>340</v>
      </c>
      <c r="C55" s="47">
        <v>0.04</v>
      </c>
      <c r="D55" s="48">
        <v>0</v>
      </c>
      <c r="E55" s="48">
        <v>0</v>
      </c>
      <c r="F55" s="49">
        <f t="shared" si="0"/>
        <v>0</v>
      </c>
      <c r="G55" s="48">
        <v>0</v>
      </c>
      <c r="H55" s="48">
        <v>0</v>
      </c>
      <c r="I55" s="49">
        <f t="shared" si="2"/>
        <v>0</v>
      </c>
      <c r="J55" s="48">
        <v>0</v>
      </c>
      <c r="K55" s="48">
        <v>0</v>
      </c>
      <c r="L55" s="48">
        <v>0</v>
      </c>
      <c r="M55" s="48">
        <v>0</v>
      </c>
      <c r="N55" s="48">
        <v>0</v>
      </c>
      <c r="O55" s="48">
        <v>0</v>
      </c>
      <c r="P55" s="49">
        <f t="shared" si="1"/>
        <v>0</v>
      </c>
      <c r="Q55" s="48">
        <v>0</v>
      </c>
      <c r="R55" s="50">
        <f t="shared" si="3"/>
        <v>0</v>
      </c>
    </row>
    <row r="56" spans="2:18" x14ac:dyDescent="0.25">
      <c r="B56" s="51" t="s">
        <v>342</v>
      </c>
      <c r="C56" s="47">
        <v>0.04</v>
      </c>
      <c r="D56" s="48">
        <v>0</v>
      </c>
      <c r="E56" s="48">
        <v>0</v>
      </c>
      <c r="F56" s="49">
        <f t="shared" si="0"/>
        <v>0</v>
      </c>
      <c r="G56" s="48">
        <v>0</v>
      </c>
      <c r="H56" s="48">
        <v>0</v>
      </c>
      <c r="I56" s="49">
        <f t="shared" si="2"/>
        <v>0</v>
      </c>
      <c r="J56" s="48">
        <v>0</v>
      </c>
      <c r="K56" s="48">
        <v>0</v>
      </c>
      <c r="L56" s="48">
        <v>0</v>
      </c>
      <c r="M56" s="48">
        <v>0</v>
      </c>
      <c r="N56" s="48">
        <v>0</v>
      </c>
      <c r="O56" s="48">
        <v>0</v>
      </c>
      <c r="P56" s="49">
        <f t="shared" si="1"/>
        <v>0</v>
      </c>
      <c r="Q56" s="48">
        <v>0</v>
      </c>
      <c r="R56" s="50">
        <f t="shared" si="3"/>
        <v>0</v>
      </c>
    </row>
    <row r="57" spans="2:18" x14ac:dyDescent="0.25">
      <c r="B57" s="51" t="s">
        <v>127</v>
      </c>
      <c r="C57" s="47">
        <v>6.6699999999999995E-2</v>
      </c>
      <c r="D57" s="48">
        <v>0</v>
      </c>
      <c r="E57" s="48">
        <v>0</v>
      </c>
      <c r="F57" s="49">
        <f t="shared" si="0"/>
        <v>0</v>
      </c>
      <c r="G57" s="48">
        <v>0</v>
      </c>
      <c r="H57" s="48">
        <v>0</v>
      </c>
      <c r="I57" s="49">
        <f t="shared" si="2"/>
        <v>0</v>
      </c>
      <c r="J57" s="48">
        <v>0</v>
      </c>
      <c r="K57" s="48">
        <v>0</v>
      </c>
      <c r="L57" s="48">
        <v>0</v>
      </c>
      <c r="M57" s="48">
        <v>0</v>
      </c>
      <c r="N57" s="48">
        <v>0</v>
      </c>
      <c r="O57" s="48">
        <v>0</v>
      </c>
      <c r="P57" s="49">
        <f t="shared" si="1"/>
        <v>0</v>
      </c>
      <c r="Q57" s="48">
        <v>0</v>
      </c>
      <c r="R57" s="50">
        <f t="shared" si="3"/>
        <v>0</v>
      </c>
    </row>
    <row r="58" spans="2:18" x14ac:dyDescent="0.25">
      <c r="B58" s="51" t="s">
        <v>165</v>
      </c>
      <c r="C58" s="47">
        <v>6.6699999999999995E-2</v>
      </c>
      <c r="D58" s="48">
        <v>0</v>
      </c>
      <c r="E58" s="48">
        <v>0</v>
      </c>
      <c r="F58" s="49">
        <f t="shared" si="0"/>
        <v>0</v>
      </c>
      <c r="G58" s="48">
        <v>0</v>
      </c>
      <c r="H58" s="48">
        <v>0</v>
      </c>
      <c r="I58" s="49">
        <f t="shared" si="2"/>
        <v>0</v>
      </c>
      <c r="J58" s="48">
        <v>0</v>
      </c>
      <c r="K58" s="48">
        <v>0</v>
      </c>
      <c r="L58" s="48">
        <v>0</v>
      </c>
      <c r="M58" s="48">
        <v>0</v>
      </c>
      <c r="N58" s="48">
        <v>0</v>
      </c>
      <c r="O58" s="48">
        <v>0</v>
      </c>
      <c r="P58" s="49">
        <f t="shared" si="1"/>
        <v>0</v>
      </c>
      <c r="Q58" s="48">
        <v>0</v>
      </c>
      <c r="R58" s="50">
        <f t="shared" si="3"/>
        <v>0</v>
      </c>
    </row>
    <row r="59" spans="2:18" x14ac:dyDescent="0.25">
      <c r="B59" s="51" t="s">
        <v>72</v>
      </c>
      <c r="C59" s="47">
        <v>0.1</v>
      </c>
      <c r="D59" s="48">
        <v>0</v>
      </c>
      <c r="E59" s="48">
        <v>0</v>
      </c>
      <c r="F59" s="49">
        <f t="shared" si="0"/>
        <v>0</v>
      </c>
      <c r="G59" s="48">
        <v>0</v>
      </c>
      <c r="H59" s="48">
        <v>0</v>
      </c>
      <c r="I59" s="49">
        <f t="shared" si="2"/>
        <v>0</v>
      </c>
      <c r="J59" s="48">
        <v>0</v>
      </c>
      <c r="K59" s="48">
        <v>0</v>
      </c>
      <c r="L59" s="48">
        <v>0</v>
      </c>
      <c r="M59" s="48">
        <v>0</v>
      </c>
      <c r="N59" s="48">
        <v>0</v>
      </c>
      <c r="O59" s="48">
        <v>0</v>
      </c>
      <c r="P59" s="49">
        <f t="shared" si="1"/>
        <v>0</v>
      </c>
      <c r="Q59" s="48">
        <v>0</v>
      </c>
      <c r="R59" s="50">
        <f t="shared" si="3"/>
        <v>0</v>
      </c>
    </row>
    <row r="60" spans="2:18" x14ac:dyDescent="0.25">
      <c r="B60" s="51" t="s">
        <v>47</v>
      </c>
      <c r="C60" s="47">
        <v>0.1</v>
      </c>
      <c r="D60" s="48">
        <v>0</v>
      </c>
      <c r="E60" s="48">
        <v>0</v>
      </c>
      <c r="F60" s="49">
        <f t="shared" si="0"/>
        <v>0</v>
      </c>
      <c r="G60" s="48">
        <v>0</v>
      </c>
      <c r="H60" s="48">
        <v>0</v>
      </c>
      <c r="I60" s="49">
        <f t="shared" si="2"/>
        <v>0</v>
      </c>
      <c r="J60" s="48">
        <v>0</v>
      </c>
      <c r="K60" s="48">
        <v>0</v>
      </c>
      <c r="L60" s="48">
        <v>0</v>
      </c>
      <c r="M60" s="48">
        <v>0</v>
      </c>
      <c r="N60" s="48">
        <v>0</v>
      </c>
      <c r="O60" s="48">
        <v>0</v>
      </c>
      <c r="P60" s="49">
        <f t="shared" si="1"/>
        <v>0</v>
      </c>
      <c r="Q60" s="48">
        <v>0</v>
      </c>
      <c r="R60" s="50">
        <f t="shared" si="3"/>
        <v>0</v>
      </c>
    </row>
    <row r="61" spans="2:18" x14ac:dyDescent="0.25">
      <c r="B61" s="51" t="s">
        <v>345</v>
      </c>
      <c r="C61" s="47">
        <v>0.1</v>
      </c>
      <c r="D61" s="48">
        <v>0</v>
      </c>
      <c r="E61" s="48">
        <v>0</v>
      </c>
      <c r="F61" s="49">
        <f t="shared" si="0"/>
        <v>0</v>
      </c>
      <c r="G61" s="48">
        <v>0</v>
      </c>
      <c r="H61" s="48">
        <v>0</v>
      </c>
      <c r="I61" s="49">
        <f t="shared" si="2"/>
        <v>0</v>
      </c>
      <c r="J61" s="48">
        <v>0</v>
      </c>
      <c r="K61" s="48">
        <v>0</v>
      </c>
      <c r="L61" s="48">
        <v>0</v>
      </c>
      <c r="M61" s="48">
        <v>0</v>
      </c>
      <c r="N61" s="48">
        <v>0</v>
      </c>
      <c r="O61" s="48">
        <v>0</v>
      </c>
      <c r="P61" s="49">
        <f t="shared" si="1"/>
        <v>0</v>
      </c>
      <c r="Q61" s="48">
        <v>0</v>
      </c>
      <c r="R61" s="50">
        <f t="shared" si="3"/>
        <v>0</v>
      </c>
    </row>
    <row r="62" spans="2:18" x14ac:dyDescent="0.25">
      <c r="B62" s="51" t="s">
        <v>1</v>
      </c>
      <c r="C62" s="47">
        <v>0.1</v>
      </c>
      <c r="D62" s="48">
        <v>0</v>
      </c>
      <c r="E62" s="48">
        <v>0</v>
      </c>
      <c r="F62" s="49">
        <f t="shared" si="0"/>
        <v>0</v>
      </c>
      <c r="G62" s="48">
        <v>0</v>
      </c>
      <c r="H62" s="48">
        <v>0</v>
      </c>
      <c r="I62" s="49">
        <f t="shared" si="2"/>
        <v>0</v>
      </c>
      <c r="J62" s="48">
        <v>0</v>
      </c>
      <c r="K62" s="48">
        <v>0</v>
      </c>
      <c r="L62" s="48">
        <v>0</v>
      </c>
      <c r="M62" s="48">
        <v>0</v>
      </c>
      <c r="N62" s="48">
        <v>0</v>
      </c>
      <c r="O62" s="48">
        <v>0</v>
      </c>
      <c r="P62" s="49">
        <f t="shared" si="1"/>
        <v>0</v>
      </c>
      <c r="Q62" s="48">
        <v>0</v>
      </c>
      <c r="R62" s="50">
        <f t="shared" si="3"/>
        <v>0</v>
      </c>
    </row>
    <row r="63" spans="2:18" x14ac:dyDescent="0.25">
      <c r="B63" s="51" t="s">
        <v>43</v>
      </c>
      <c r="C63" s="47">
        <v>0.1</v>
      </c>
      <c r="D63" s="48">
        <v>0</v>
      </c>
      <c r="E63" s="48">
        <v>0</v>
      </c>
      <c r="F63" s="49">
        <f t="shared" si="0"/>
        <v>0</v>
      </c>
      <c r="G63" s="48">
        <v>0</v>
      </c>
      <c r="H63" s="48">
        <v>0</v>
      </c>
      <c r="I63" s="49">
        <f t="shared" si="2"/>
        <v>0</v>
      </c>
      <c r="J63" s="48">
        <v>0</v>
      </c>
      <c r="K63" s="48">
        <v>0</v>
      </c>
      <c r="L63" s="48">
        <v>0</v>
      </c>
      <c r="M63" s="48">
        <v>0</v>
      </c>
      <c r="N63" s="48">
        <v>0</v>
      </c>
      <c r="O63" s="48">
        <v>0</v>
      </c>
      <c r="P63" s="49">
        <f t="shared" si="1"/>
        <v>0</v>
      </c>
      <c r="Q63" s="48">
        <v>0</v>
      </c>
      <c r="R63" s="50">
        <f t="shared" si="3"/>
        <v>0</v>
      </c>
    </row>
    <row r="64" spans="2:18" x14ac:dyDescent="0.25">
      <c r="B64" s="51" t="s">
        <v>346</v>
      </c>
      <c r="C64" s="47">
        <v>0.1</v>
      </c>
      <c r="D64" s="48">
        <v>0</v>
      </c>
      <c r="E64" s="48">
        <v>0</v>
      </c>
      <c r="F64" s="49">
        <f t="shared" ref="F64" si="20">+D64+E64</f>
        <v>0</v>
      </c>
      <c r="G64" s="48">
        <v>0</v>
      </c>
      <c r="H64" s="48">
        <v>0</v>
      </c>
      <c r="I64" s="49">
        <f t="shared" si="2"/>
        <v>0</v>
      </c>
      <c r="J64" s="48">
        <v>0</v>
      </c>
      <c r="K64" s="48">
        <v>0</v>
      </c>
      <c r="L64" s="48">
        <v>0</v>
      </c>
      <c r="M64" s="48">
        <v>0</v>
      </c>
      <c r="N64" s="48">
        <v>0</v>
      </c>
      <c r="O64" s="48">
        <v>0</v>
      </c>
      <c r="P64" s="49">
        <f t="shared" ref="P64" si="21">+N64+O64</f>
        <v>0</v>
      </c>
      <c r="Q64" s="48">
        <v>0</v>
      </c>
      <c r="R64" s="50">
        <f t="shared" si="3"/>
        <v>0</v>
      </c>
    </row>
    <row r="65" spans="2:18" x14ac:dyDescent="0.25">
      <c r="B65" s="51" t="s">
        <v>347</v>
      </c>
      <c r="C65" s="47">
        <v>0.1111</v>
      </c>
      <c r="D65" s="48">
        <v>0</v>
      </c>
      <c r="E65" s="48">
        <v>0</v>
      </c>
      <c r="F65" s="49">
        <f t="shared" si="0"/>
        <v>0</v>
      </c>
      <c r="G65" s="48">
        <v>0</v>
      </c>
      <c r="H65" s="48">
        <v>0</v>
      </c>
      <c r="I65" s="49">
        <f t="shared" si="2"/>
        <v>0</v>
      </c>
      <c r="J65" s="48">
        <v>0</v>
      </c>
      <c r="K65" s="48">
        <v>0</v>
      </c>
      <c r="L65" s="48">
        <v>0</v>
      </c>
      <c r="M65" s="48">
        <v>0</v>
      </c>
      <c r="N65" s="48">
        <v>0</v>
      </c>
      <c r="O65" s="48">
        <v>0</v>
      </c>
      <c r="P65" s="49">
        <f t="shared" si="1"/>
        <v>0</v>
      </c>
      <c r="Q65" s="48">
        <v>0</v>
      </c>
      <c r="R65" s="50">
        <f t="shared" si="3"/>
        <v>0</v>
      </c>
    </row>
    <row r="66" spans="2:18" x14ac:dyDescent="0.25">
      <c r="B66" s="51" t="s">
        <v>45</v>
      </c>
      <c r="C66" s="47">
        <v>0.1</v>
      </c>
      <c r="D66" s="48">
        <v>0</v>
      </c>
      <c r="E66" s="48">
        <v>0</v>
      </c>
      <c r="F66" s="49">
        <f t="shared" si="0"/>
        <v>0</v>
      </c>
      <c r="G66" s="48">
        <v>0</v>
      </c>
      <c r="H66" s="48">
        <v>0</v>
      </c>
      <c r="I66" s="49">
        <f t="shared" si="2"/>
        <v>0</v>
      </c>
      <c r="J66" s="48">
        <v>0</v>
      </c>
      <c r="K66" s="48">
        <v>0</v>
      </c>
      <c r="L66" s="48">
        <v>0</v>
      </c>
      <c r="M66" s="48">
        <v>0</v>
      </c>
      <c r="N66" s="48">
        <v>0</v>
      </c>
      <c r="O66" s="48">
        <v>0</v>
      </c>
      <c r="P66" s="49">
        <f t="shared" si="1"/>
        <v>0</v>
      </c>
      <c r="Q66" s="48">
        <v>0</v>
      </c>
      <c r="R66" s="50">
        <f t="shared" si="3"/>
        <v>0</v>
      </c>
    </row>
    <row r="67" spans="2:18" x14ac:dyDescent="0.25">
      <c r="B67" s="51" t="s">
        <v>349</v>
      </c>
      <c r="C67" s="47">
        <v>0.1</v>
      </c>
      <c r="D67" s="48">
        <v>0</v>
      </c>
      <c r="E67" s="48">
        <v>0</v>
      </c>
      <c r="F67" s="49">
        <f t="shared" si="0"/>
        <v>0</v>
      </c>
      <c r="G67" s="48">
        <v>0</v>
      </c>
      <c r="H67" s="48">
        <v>0</v>
      </c>
      <c r="I67" s="49">
        <f t="shared" si="2"/>
        <v>0</v>
      </c>
      <c r="J67" s="48">
        <v>0</v>
      </c>
      <c r="K67" s="48">
        <v>0</v>
      </c>
      <c r="L67" s="48">
        <v>0</v>
      </c>
      <c r="M67" s="48">
        <v>0</v>
      </c>
      <c r="N67" s="48">
        <v>0</v>
      </c>
      <c r="O67" s="48">
        <v>0</v>
      </c>
      <c r="P67" s="49">
        <f t="shared" si="1"/>
        <v>0</v>
      </c>
      <c r="Q67" s="48">
        <v>0</v>
      </c>
      <c r="R67" s="50">
        <f t="shared" si="3"/>
        <v>0</v>
      </c>
    </row>
    <row r="68" spans="2:18" x14ac:dyDescent="0.25">
      <c r="B68" s="51" t="s">
        <v>166</v>
      </c>
      <c r="C68" s="47">
        <v>0.1</v>
      </c>
      <c r="D68" s="48">
        <v>0</v>
      </c>
      <c r="E68" s="48">
        <v>0</v>
      </c>
      <c r="F68" s="49">
        <f t="shared" si="0"/>
        <v>0</v>
      </c>
      <c r="G68" s="48">
        <v>0</v>
      </c>
      <c r="H68" s="48">
        <v>0</v>
      </c>
      <c r="I68" s="49">
        <f t="shared" si="2"/>
        <v>0</v>
      </c>
      <c r="J68" s="48">
        <v>0</v>
      </c>
      <c r="K68" s="48">
        <v>0</v>
      </c>
      <c r="L68" s="48">
        <v>0</v>
      </c>
      <c r="M68" s="48">
        <v>0</v>
      </c>
      <c r="N68" s="48">
        <v>0</v>
      </c>
      <c r="O68" s="48">
        <v>0</v>
      </c>
      <c r="P68" s="49">
        <f t="shared" si="1"/>
        <v>0</v>
      </c>
      <c r="Q68" s="48">
        <v>0</v>
      </c>
      <c r="R68" s="50">
        <f t="shared" si="3"/>
        <v>0</v>
      </c>
    </row>
    <row r="69" spans="2:18" x14ac:dyDescent="0.25">
      <c r="B69" s="51" t="s">
        <v>44</v>
      </c>
      <c r="C69" s="47">
        <v>0.2</v>
      </c>
      <c r="D69" s="48">
        <v>0</v>
      </c>
      <c r="E69" s="48">
        <v>0</v>
      </c>
      <c r="F69" s="49">
        <f t="shared" si="0"/>
        <v>0</v>
      </c>
      <c r="G69" s="48">
        <v>0</v>
      </c>
      <c r="H69" s="48">
        <v>0</v>
      </c>
      <c r="I69" s="49">
        <f t="shared" si="2"/>
        <v>0</v>
      </c>
      <c r="J69" s="48">
        <v>0</v>
      </c>
      <c r="K69" s="48">
        <v>0</v>
      </c>
      <c r="L69" s="48">
        <v>0</v>
      </c>
      <c r="M69" s="48">
        <v>0</v>
      </c>
      <c r="N69" s="48">
        <v>0</v>
      </c>
      <c r="O69" s="48">
        <v>0</v>
      </c>
      <c r="P69" s="49">
        <f t="shared" si="1"/>
        <v>0</v>
      </c>
      <c r="Q69" s="48">
        <v>0</v>
      </c>
      <c r="R69" s="50">
        <f t="shared" si="3"/>
        <v>0</v>
      </c>
    </row>
    <row r="70" spans="2:18" x14ac:dyDescent="0.25">
      <c r="B70" s="51" t="s">
        <v>350</v>
      </c>
      <c r="C70" s="47">
        <v>0.2</v>
      </c>
      <c r="D70" s="48">
        <v>0</v>
      </c>
      <c r="E70" s="48">
        <v>0</v>
      </c>
      <c r="F70" s="49">
        <f t="shared" si="0"/>
        <v>0</v>
      </c>
      <c r="G70" s="48">
        <v>0</v>
      </c>
      <c r="H70" s="48">
        <v>0</v>
      </c>
      <c r="I70" s="49">
        <f t="shared" si="2"/>
        <v>0</v>
      </c>
      <c r="J70" s="48">
        <v>0</v>
      </c>
      <c r="K70" s="48">
        <v>0</v>
      </c>
      <c r="L70" s="48">
        <v>0</v>
      </c>
      <c r="M70" s="48">
        <v>0</v>
      </c>
      <c r="N70" s="48">
        <v>0</v>
      </c>
      <c r="O70" s="48">
        <v>0</v>
      </c>
      <c r="P70" s="49">
        <f t="shared" si="1"/>
        <v>0</v>
      </c>
      <c r="Q70" s="48">
        <v>0</v>
      </c>
      <c r="R70" s="50">
        <f t="shared" si="3"/>
        <v>0</v>
      </c>
    </row>
    <row r="71" spans="2:18" x14ac:dyDescent="0.25">
      <c r="B71" s="51" t="s">
        <v>46</v>
      </c>
      <c r="C71" s="47">
        <v>0.33</v>
      </c>
      <c r="D71" s="48">
        <v>0</v>
      </c>
      <c r="E71" s="48">
        <v>0</v>
      </c>
      <c r="F71" s="49">
        <f t="shared" ref="F71" si="22">+D71+E71</f>
        <v>0</v>
      </c>
      <c r="G71" s="48">
        <v>0</v>
      </c>
      <c r="H71" s="48">
        <v>0</v>
      </c>
      <c r="I71" s="49">
        <f t="shared" si="2"/>
        <v>0</v>
      </c>
      <c r="J71" s="48">
        <v>0</v>
      </c>
      <c r="K71" s="48">
        <v>0</v>
      </c>
      <c r="L71" s="48">
        <v>0</v>
      </c>
      <c r="M71" s="48">
        <v>0</v>
      </c>
      <c r="N71" s="48">
        <v>0</v>
      </c>
      <c r="O71" s="48">
        <v>0</v>
      </c>
      <c r="P71" s="49">
        <f t="shared" ref="P71" si="23">+N71+O71</f>
        <v>0</v>
      </c>
      <c r="Q71" s="48">
        <v>0</v>
      </c>
      <c r="R71" s="50">
        <f t="shared" si="3"/>
        <v>0</v>
      </c>
    </row>
    <row r="72" spans="2:18" ht="13.8" thickBot="1" x14ac:dyDescent="0.3">
      <c r="B72" s="175" t="s">
        <v>137</v>
      </c>
      <c r="C72" s="54">
        <v>0</v>
      </c>
      <c r="D72" s="48">
        <v>0</v>
      </c>
      <c r="E72" s="48">
        <v>0</v>
      </c>
      <c r="F72" s="49">
        <f>+D72+E72</f>
        <v>0</v>
      </c>
      <c r="G72" s="48">
        <v>0</v>
      </c>
      <c r="H72" s="48">
        <v>0</v>
      </c>
      <c r="I72" s="49">
        <f>+G72+H72</f>
        <v>0</v>
      </c>
      <c r="J72" s="48">
        <v>0</v>
      </c>
      <c r="K72" s="48">
        <v>0</v>
      </c>
      <c r="L72" s="48">
        <v>0</v>
      </c>
      <c r="M72" s="48">
        <v>0</v>
      </c>
      <c r="N72" s="48">
        <v>0</v>
      </c>
      <c r="O72" s="48">
        <v>0</v>
      </c>
      <c r="P72" s="49">
        <f>+N72+O72</f>
        <v>0</v>
      </c>
      <c r="Q72" s="48">
        <v>0</v>
      </c>
      <c r="R72" s="50">
        <f t="shared" si="3"/>
        <v>0</v>
      </c>
    </row>
    <row r="73" spans="2:18" x14ac:dyDescent="0.25">
      <c r="B73" s="594"/>
      <c r="C73" s="595"/>
      <c r="D73" s="608"/>
      <c r="E73" s="608"/>
      <c r="F73" s="608"/>
      <c r="G73" s="608"/>
      <c r="H73" s="608"/>
      <c r="I73" s="608"/>
      <c r="J73" s="608"/>
      <c r="K73" s="608"/>
      <c r="L73" s="608"/>
      <c r="M73" s="608"/>
      <c r="N73" s="608"/>
      <c r="O73" s="608"/>
      <c r="P73" s="608"/>
      <c r="Q73" s="608"/>
      <c r="R73" s="608"/>
    </row>
    <row r="74" spans="2:18" s="610" customFormat="1" x14ac:dyDescent="0.25">
      <c r="B74" s="597" t="s">
        <v>2</v>
      </c>
      <c r="C74" s="598"/>
      <c r="D74" s="609">
        <f t="shared" ref="D74:R74" si="24">SUM(D19:D72)</f>
        <v>0</v>
      </c>
      <c r="E74" s="609">
        <f t="shared" si="24"/>
        <v>0</v>
      </c>
      <c r="F74" s="609">
        <f t="shared" si="24"/>
        <v>0</v>
      </c>
      <c r="G74" s="609">
        <f t="shared" si="24"/>
        <v>0</v>
      </c>
      <c r="H74" s="609">
        <f t="shared" si="24"/>
        <v>0</v>
      </c>
      <c r="I74" s="609">
        <f t="shared" si="24"/>
        <v>0</v>
      </c>
      <c r="J74" s="609">
        <f t="shared" si="24"/>
        <v>0</v>
      </c>
      <c r="K74" s="609">
        <f t="shared" si="24"/>
        <v>0</v>
      </c>
      <c r="L74" s="609">
        <f t="shared" si="24"/>
        <v>0</v>
      </c>
      <c r="M74" s="609">
        <f t="shared" si="24"/>
        <v>0</v>
      </c>
      <c r="N74" s="609">
        <f t="shared" si="24"/>
        <v>0</v>
      </c>
      <c r="O74" s="609">
        <f t="shared" si="24"/>
        <v>0</v>
      </c>
      <c r="P74" s="609">
        <f t="shared" si="24"/>
        <v>0</v>
      </c>
      <c r="Q74" s="609">
        <f t="shared" si="24"/>
        <v>0</v>
      </c>
      <c r="R74" s="609">
        <f t="shared" si="24"/>
        <v>0</v>
      </c>
    </row>
    <row r="75" spans="2:18" ht="13.8" thickBot="1" x14ac:dyDescent="0.3">
      <c r="B75" s="600"/>
      <c r="C75" s="601"/>
      <c r="D75" s="611"/>
      <c r="E75" s="611"/>
      <c r="F75" s="611"/>
      <c r="G75" s="611"/>
      <c r="H75" s="611"/>
      <c r="I75" s="611"/>
      <c r="J75" s="611"/>
      <c r="K75" s="611"/>
      <c r="L75" s="611"/>
      <c r="M75" s="611"/>
      <c r="N75" s="611"/>
      <c r="O75" s="611"/>
      <c r="P75" s="611"/>
      <c r="Q75" s="611"/>
      <c r="R75" s="611"/>
    </row>
    <row r="76" spans="2:18" s="604" customFormat="1" ht="11.4" x14ac:dyDescent="0.25">
      <c r="B76" s="603"/>
      <c r="C76" s="603"/>
    </row>
    <row r="77" spans="2:18" s="604" customFormat="1" ht="11.4" x14ac:dyDescent="0.25"/>
    <row r="78" spans="2:18" x14ac:dyDescent="0.25">
      <c r="D78" s="10"/>
      <c r="E78" s="10"/>
      <c r="G78" s="10"/>
      <c r="H78" s="10"/>
      <c r="I78" s="10"/>
      <c r="J78" s="10"/>
      <c r="K78" s="10"/>
      <c r="L78" s="10"/>
      <c r="M78" s="10"/>
      <c r="N78" s="10"/>
      <c r="O78" s="10"/>
      <c r="P78" s="10"/>
    </row>
    <row r="79" spans="2:18" x14ac:dyDescent="0.25">
      <c r="D79" s="10"/>
      <c r="E79" s="10"/>
      <c r="G79" s="10"/>
      <c r="H79" s="10"/>
      <c r="I79" s="10"/>
      <c r="J79" s="10"/>
      <c r="K79" s="10"/>
      <c r="L79" s="10"/>
      <c r="M79" s="10"/>
      <c r="N79" s="10"/>
      <c r="O79" s="10"/>
      <c r="P79" s="10"/>
    </row>
    <row r="80" spans="2:18" x14ac:dyDescent="0.25">
      <c r="D80" s="10"/>
      <c r="E80" s="10"/>
      <c r="G80" s="10"/>
      <c r="H80" s="10"/>
      <c r="I80" s="10"/>
      <c r="J80" s="10"/>
      <c r="K80" s="10"/>
      <c r="L80" s="10"/>
      <c r="M80" s="10"/>
      <c r="N80" s="10"/>
      <c r="O80" s="10"/>
      <c r="P80" s="10"/>
    </row>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pans="4:16" x14ac:dyDescent="0.25">
      <c r="D273" s="10"/>
      <c r="E273" s="10"/>
      <c r="G273" s="10"/>
      <c r="H273" s="10"/>
      <c r="I273" s="10"/>
      <c r="J273" s="10"/>
      <c r="K273" s="10"/>
      <c r="L273" s="10"/>
      <c r="M273" s="10"/>
      <c r="N273" s="10"/>
      <c r="O273" s="10"/>
      <c r="P273" s="10"/>
    </row>
    <row r="274" spans="4:16" x14ac:dyDescent="0.25">
      <c r="D274" s="10"/>
      <c r="E274" s="10"/>
      <c r="G274" s="10"/>
      <c r="H274" s="10"/>
      <c r="I274" s="10"/>
      <c r="J274" s="10"/>
      <c r="K274" s="10"/>
      <c r="L274" s="10"/>
      <c r="M274" s="10"/>
      <c r="N274" s="10"/>
      <c r="O274" s="10"/>
      <c r="P274" s="10"/>
    </row>
    <row r="275" spans="4:16" x14ac:dyDescent="0.25">
      <c r="D275" s="10"/>
      <c r="E275" s="10"/>
      <c r="G275" s="10"/>
      <c r="H275" s="10"/>
      <c r="I275" s="10"/>
      <c r="J275" s="10"/>
      <c r="K275" s="10"/>
      <c r="L275" s="10"/>
      <c r="M275" s="10"/>
      <c r="N275" s="10"/>
      <c r="O275" s="10"/>
      <c r="P275" s="10"/>
    </row>
    <row r="276" spans="4:16" x14ac:dyDescent="0.25">
      <c r="D276" s="10"/>
    </row>
    <row r="277" spans="4:16" x14ac:dyDescent="0.25">
      <c r="D277" s="10"/>
    </row>
    <row r="278" spans="4:16" x14ac:dyDescent="0.25">
      <c r="D278" s="10"/>
    </row>
    <row r="279" spans="4:16" x14ac:dyDescent="0.25">
      <c r="D279" s="10"/>
    </row>
    <row r="280" spans="4:16" x14ac:dyDescent="0.25">
      <c r="D280" s="10"/>
    </row>
    <row r="281" spans="4:16" x14ac:dyDescent="0.25">
      <c r="D281" s="10"/>
    </row>
    <row r="282" spans="4:16" x14ac:dyDescent="0.25">
      <c r="D282" s="10"/>
    </row>
    <row r="283" spans="4:16" x14ac:dyDescent="0.25">
      <c r="D283" s="10"/>
    </row>
    <row r="284" spans="4:16" x14ac:dyDescent="0.25">
      <c r="D284" s="10"/>
    </row>
    <row r="285" spans="4:16" x14ac:dyDescent="0.25">
      <c r="D285" s="10"/>
    </row>
    <row r="286" spans="4:16" x14ac:dyDescent="0.25">
      <c r="D286" s="10"/>
    </row>
    <row r="287" spans="4:16" x14ac:dyDescent="0.25">
      <c r="D287" s="10"/>
    </row>
    <row r="288" spans="4:16"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sheetData>
  <sheetProtection algorithmName="SHA-512" hashValue="9rsXkhBWM8v0PKpQy5KUuacYtPYPz7oK/Gs9gJKeU+JbaNH1FhYFh2s+fGJs/veSEvmQyodww3sq/0a0oVpfFg==" saltValue="dFltSKcRBixfHtBmXqHYIQ==" spinCount="100000" sheet="1" objects="1" scenarios="1" insertRows="0"/>
  <mergeCells count="3">
    <mergeCell ref="N16:P16"/>
    <mergeCell ref="G16:I16"/>
    <mergeCell ref="B1:J1"/>
  </mergeCells>
  <dataValidations count="2">
    <dataValidation type="decimal" operator="greaterThanOrEqual" allowBlank="1" showInputMessage="1" showErrorMessage="1" errorTitle="Negatieve waarde" error="Gelieve positieve waarde in te geven" sqref="J19:K72 O19:O72 D19:D72" xr:uid="{00000000-0002-0000-0600-000000000000}">
      <formula1>0</formula1>
    </dataValidation>
    <dataValidation type="decimal" operator="lessThanOrEqual" allowBlank="1" showInputMessage="1" showErrorMessage="1" errorTitle="Positief bedrag" error="Gelieve een negatief bedrag in te geven" sqref="Q19:Q72 L19:N72 E19:E72" xr:uid="{00000000-0002-0000-0600-000001000000}">
      <formula1>0</formula1>
    </dataValidation>
  </dataValidations>
  <pageMargins left="0.74803149606299213" right="0.74803149606299213" top="0.98425196850393704" bottom="0.98425196850393704" header="0.51181102362204722" footer="0.51181102362204722"/>
  <pageSetup paperSize="8" scale="42" fitToWidth="4" fitToHeight="4"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B0DE93BD-8C6A-4778-BF8C-2C5F2D6052B2}">
            <xm:f>TITELBLAD!$D$10&lt;&gt;"elektriciteit"</xm:f>
            <x14:dxf>
              <fill>
                <patternFill patternType="lightUp"/>
              </fill>
            </x14:dxf>
          </x14:cfRule>
          <xm:sqref>A1:B1 K1:XFD1 A2:XFD1048576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X52"/>
  <sheetViews>
    <sheetView zoomScaleNormal="100" workbookViewId="0">
      <selection activeCell="B2" sqref="B2"/>
    </sheetView>
  </sheetViews>
  <sheetFormatPr defaultColWidth="9.109375" defaultRowHeight="13.2" x14ac:dyDescent="0.25"/>
  <cols>
    <col min="1" max="1" width="2.33203125" style="10" customWidth="1"/>
    <col min="2" max="2" width="47.5546875" style="10" customWidth="1"/>
    <col min="3" max="3" width="29.5546875" style="10" customWidth="1"/>
    <col min="4" max="16" width="31" style="10" customWidth="1"/>
    <col min="17" max="18" width="31.44140625" style="10" customWidth="1"/>
    <col min="19" max="35" width="9.109375" style="10" customWidth="1"/>
    <col min="36" max="16384" width="9.109375" style="10"/>
  </cols>
  <sheetData>
    <row r="1" spans="2:18" ht="26.4" customHeight="1" thickBot="1" x14ac:dyDescent="0.3">
      <c r="B1" s="689" t="s">
        <v>364</v>
      </c>
      <c r="C1" s="690"/>
      <c r="D1" s="690"/>
      <c r="E1" s="690"/>
      <c r="F1" s="690"/>
      <c r="G1" s="690"/>
      <c r="H1" s="690"/>
      <c r="I1" s="690"/>
      <c r="J1" s="691"/>
      <c r="K1" s="41"/>
    </row>
    <row r="3" spans="2:18" x14ac:dyDescent="0.25">
      <c r="B3" s="28" t="s">
        <v>49</v>
      </c>
      <c r="C3" s="576">
        <f>+TITELBLAD!F17</f>
        <v>2025</v>
      </c>
      <c r="D3" s="100">
        <f>-Q49</f>
        <v>0</v>
      </c>
      <c r="E3" s="33"/>
      <c r="F3" s="33"/>
    </row>
    <row r="4" spans="2:18" x14ac:dyDescent="0.25">
      <c r="E4" s="33"/>
      <c r="F4" s="33"/>
    </row>
    <row r="7" spans="2:18" x14ac:dyDescent="0.25">
      <c r="B7" s="28" t="s">
        <v>82</v>
      </c>
    </row>
    <row r="8" spans="2:18" x14ac:dyDescent="0.25">
      <c r="B8" s="31" t="s">
        <v>78</v>
      </c>
    </row>
    <row r="9" spans="2:18" x14ac:dyDescent="0.25">
      <c r="B9" s="577" t="s">
        <v>65</v>
      </c>
    </row>
    <row r="10" spans="2:18" x14ac:dyDescent="0.25">
      <c r="B10" s="577" t="s">
        <v>66</v>
      </c>
    </row>
    <row r="11" spans="2:18" x14ac:dyDescent="0.25">
      <c r="B11" s="577"/>
    </row>
    <row r="12" spans="2:18" x14ac:dyDescent="0.25">
      <c r="B12" s="612" t="s">
        <v>313</v>
      </c>
    </row>
    <row r="13" spans="2:18" x14ac:dyDescent="0.25">
      <c r="B13" s="613" t="s">
        <v>314</v>
      </c>
    </row>
    <row r="14" spans="2:18" x14ac:dyDescent="0.25">
      <c r="B14" s="577"/>
    </row>
    <row r="15" spans="2:18" ht="13.8" thickBot="1" x14ac:dyDescent="0.3"/>
    <row r="16" spans="2:18" ht="45" customHeight="1" thickBot="1" x14ac:dyDescent="0.3">
      <c r="B16" s="606" t="s">
        <v>67</v>
      </c>
      <c r="C16" s="607" t="s">
        <v>0</v>
      </c>
      <c r="D16" s="582" t="str">
        <f>"Historische aanschaffingswaarde activa einde boekjaar "&amp;C3-1</f>
        <v>Historische aanschaffingswaarde activa einde boekjaar 2024</v>
      </c>
      <c r="E16" s="582" t="str">
        <f>"Gecumuleerde afschrijvingen en waardeverminderingen activa einde boekjaar "&amp;C3-1</f>
        <v>Gecumuleerde afschrijvingen en waardeverminderingen activa einde boekjaar 2024</v>
      </c>
      <c r="F16" s="582" t="str">
        <f>"Nettoboekwaarde activa aan historische aanschaffingswaarde einde boekjaar "&amp;C3-1</f>
        <v>Nettoboekwaarde activa aan historische aanschaffingswaarde einde boekjaar 2024</v>
      </c>
      <c r="G16" s="752" t="str">
        <f>"Transfers boekjaar "&amp;C3</f>
        <v>Transfers boekjaar 2025</v>
      </c>
      <c r="H16" s="753"/>
      <c r="I16" s="754"/>
      <c r="J16" s="582" t="str">
        <f>"Vervangingsinvesteringen boekjaar "&amp;C3&amp;"  (aanschaffingswaarde)"</f>
        <v>Vervangingsinvesteringen boekjaar 2025  (aanschaffingswaarde)</v>
      </c>
      <c r="K16" s="582" t="str">
        <f>"Uitbreidingsinvesteringen boekjaar "&amp;C3&amp;"  (aanschaffingswaarde)"</f>
        <v>Uitbreidingsinvesteringen boekjaar 2025  (aanschaffingswaarde)</v>
      </c>
      <c r="L16" s="582" t="str">
        <f>"Tussenkomsten derden boekjaar "&amp;C3</f>
        <v>Tussenkomsten derden boekjaar 2025</v>
      </c>
      <c r="M16" s="582" t="str">
        <f>"Subsidies boekjaar "&amp;C3</f>
        <v>Subsidies boekjaar 2025</v>
      </c>
      <c r="N16" s="752" t="str">
        <f>"Desinvesteringen boekjaar "&amp;C3</f>
        <v>Desinvesteringen boekjaar 2025</v>
      </c>
      <c r="O16" s="753"/>
      <c r="P16" s="754"/>
      <c r="Q16" s="582" t="str">
        <f>"Afschrijvingen en waardeverminderingen boekjaar "&amp;C3</f>
        <v>Afschrijvingen en waardeverminderingen boekjaar 2025</v>
      </c>
      <c r="R16" s="582" t="str">
        <f>"Nettoboekwaarde activa aan historische aanschaffingswaarde einde boekjaar "&amp;C3</f>
        <v>Nettoboekwaarde activa aan historische aanschaffingswaarde einde boekjaar 2025</v>
      </c>
    </row>
    <row r="17" spans="2:18" ht="45" customHeight="1" x14ac:dyDescent="0.25">
      <c r="B17" s="583"/>
      <c r="C17" s="584"/>
      <c r="D17" s="585"/>
      <c r="E17" s="585"/>
      <c r="F17" s="585"/>
      <c r="G17" s="585" t="str">
        <f>"Historische aanschaffingswaarde transfers boekjaar "&amp;$C$3</f>
        <v>Historische aanschaffingswaarde transfers boekjaar 2025</v>
      </c>
      <c r="H17" s="585" t="str">
        <f>"Gecumuleerde afschrijvingen en waardeverminderingen transfers boekjaar "&amp;$C$3</f>
        <v>Gecumuleerde afschrijvingen en waardeverminderingen transfers boekjaar 2025</v>
      </c>
      <c r="I17" s="585" t="str">
        <f>"Nettoboekwaarde transfers boekjaar "&amp;$C$3</f>
        <v>Nettoboekwaarde transfers boekjaar 2025</v>
      </c>
      <c r="J17" s="585"/>
      <c r="K17" s="585"/>
      <c r="L17" s="585"/>
      <c r="M17" s="585"/>
      <c r="N17" s="585" t="str">
        <f>"Historische aanschaffingswaarde desinvesteringen boekjaar "&amp;$C$3</f>
        <v>Historische aanschaffingswaarde desinvesteringen boekjaar 2025</v>
      </c>
      <c r="O17" s="585" t="str">
        <f>"Gecumuleerde afschrijvingen en waardeverminderingen desinvesteringen boekjaar "&amp;$C$3</f>
        <v>Gecumuleerde afschrijvingen en waardeverminderingen desinvesteringen boekjaar 2025</v>
      </c>
      <c r="P17" s="582" t="str">
        <f>"Nettoboekwaarde desinvesteringen boekjaar "&amp;$C$3</f>
        <v>Nettoboekwaarde desinvesteringen boekjaar 2025</v>
      </c>
      <c r="Q17" s="585"/>
      <c r="R17" s="585"/>
    </row>
    <row r="18" spans="2:18" ht="13.8" thickBot="1" x14ac:dyDescent="0.3">
      <c r="B18" s="586"/>
      <c r="C18" s="587"/>
      <c r="D18" s="588" t="s">
        <v>3</v>
      </c>
      <c r="E18" s="588" t="s">
        <v>5</v>
      </c>
      <c r="F18" s="588"/>
      <c r="G18" s="589" t="s">
        <v>3</v>
      </c>
      <c r="H18" s="589" t="s">
        <v>5</v>
      </c>
      <c r="I18" s="588"/>
      <c r="J18" s="588" t="s">
        <v>3</v>
      </c>
      <c r="K18" s="588" t="s">
        <v>3</v>
      </c>
      <c r="L18" s="588" t="s">
        <v>5</v>
      </c>
      <c r="M18" s="588" t="s">
        <v>5</v>
      </c>
      <c r="N18" s="588" t="s">
        <v>5</v>
      </c>
      <c r="O18" s="588" t="s">
        <v>3</v>
      </c>
      <c r="P18" s="588"/>
      <c r="Q18" s="588" t="s">
        <v>5</v>
      </c>
      <c r="R18" s="590"/>
    </row>
    <row r="19" spans="2:18" x14ac:dyDescent="0.25">
      <c r="B19" s="371" t="s">
        <v>71</v>
      </c>
      <c r="C19" s="43">
        <v>0</v>
      </c>
      <c r="D19" s="44">
        <v>0</v>
      </c>
      <c r="E19" s="44">
        <v>0</v>
      </c>
      <c r="F19" s="45">
        <f t="shared" ref="F19:F38" si="0">+D19+E19</f>
        <v>0</v>
      </c>
      <c r="G19" s="44">
        <v>0</v>
      </c>
      <c r="H19" s="44">
        <v>0</v>
      </c>
      <c r="I19" s="45">
        <f t="shared" ref="I19:I38" si="1">+G19+H19</f>
        <v>0</v>
      </c>
      <c r="J19" s="44">
        <v>0</v>
      </c>
      <c r="K19" s="44">
        <v>0</v>
      </c>
      <c r="L19" s="44">
        <v>0</v>
      </c>
      <c r="M19" s="44">
        <v>0</v>
      </c>
      <c r="N19" s="44">
        <v>0</v>
      </c>
      <c r="O19" s="44">
        <v>0</v>
      </c>
      <c r="P19" s="45">
        <f t="shared" ref="P19:P38" si="2">+N19+O19</f>
        <v>0</v>
      </c>
      <c r="Q19" s="44">
        <v>0</v>
      </c>
      <c r="R19" s="46">
        <f>+F19+I19+J19+K19+L19+M19+P19+Q19</f>
        <v>0</v>
      </c>
    </row>
    <row r="20" spans="2:18" x14ac:dyDescent="0.25">
      <c r="B20" s="372" t="s">
        <v>37</v>
      </c>
      <c r="C20" s="47">
        <v>0.02</v>
      </c>
      <c r="D20" s="48">
        <v>0</v>
      </c>
      <c r="E20" s="48">
        <v>0</v>
      </c>
      <c r="F20" s="49">
        <f t="shared" si="0"/>
        <v>0</v>
      </c>
      <c r="G20" s="48">
        <v>0</v>
      </c>
      <c r="H20" s="48">
        <v>0</v>
      </c>
      <c r="I20" s="49">
        <f t="shared" si="1"/>
        <v>0</v>
      </c>
      <c r="J20" s="48">
        <v>0</v>
      </c>
      <c r="K20" s="48">
        <v>0</v>
      </c>
      <c r="L20" s="48">
        <v>0</v>
      </c>
      <c r="M20" s="48">
        <v>0</v>
      </c>
      <c r="N20" s="48">
        <v>0</v>
      </c>
      <c r="O20" s="48">
        <v>0</v>
      </c>
      <c r="P20" s="49">
        <f t="shared" si="2"/>
        <v>0</v>
      </c>
      <c r="Q20" s="48">
        <v>0</v>
      </c>
      <c r="R20" s="50">
        <f>+F20+I20+J20+K20+L20+M20+P20+Q20</f>
        <v>0</v>
      </c>
    </row>
    <row r="21" spans="2:18" x14ac:dyDescent="0.25">
      <c r="B21" s="372" t="s">
        <v>336</v>
      </c>
      <c r="C21" s="47">
        <v>0.02</v>
      </c>
      <c r="D21" s="48">
        <v>0</v>
      </c>
      <c r="E21" s="48">
        <v>0</v>
      </c>
      <c r="F21" s="49">
        <f t="shared" si="0"/>
        <v>0</v>
      </c>
      <c r="G21" s="48">
        <v>0</v>
      </c>
      <c r="H21" s="48">
        <v>0</v>
      </c>
      <c r="I21" s="49">
        <f t="shared" si="1"/>
        <v>0</v>
      </c>
      <c r="J21" s="48">
        <v>0</v>
      </c>
      <c r="K21" s="48">
        <v>0</v>
      </c>
      <c r="L21" s="48">
        <v>0</v>
      </c>
      <c r="M21" s="48">
        <v>0</v>
      </c>
      <c r="N21" s="48">
        <v>0</v>
      </c>
      <c r="O21" s="48">
        <v>0</v>
      </c>
      <c r="P21" s="49">
        <f t="shared" si="2"/>
        <v>0</v>
      </c>
      <c r="Q21" s="48">
        <v>0</v>
      </c>
      <c r="R21" s="50">
        <f t="shared" ref="R21:R47" si="3">+F21+I21+J21+K21+L21+M21+P21+Q21</f>
        <v>0</v>
      </c>
    </row>
    <row r="22" spans="2:18" x14ac:dyDescent="0.25">
      <c r="B22" s="373" t="s">
        <v>128</v>
      </c>
      <c r="C22" s="47">
        <v>0.02</v>
      </c>
      <c r="D22" s="48">
        <v>0</v>
      </c>
      <c r="E22" s="48">
        <v>0</v>
      </c>
      <c r="F22" s="49">
        <f t="shared" si="0"/>
        <v>0</v>
      </c>
      <c r="G22" s="48">
        <v>0</v>
      </c>
      <c r="H22" s="48">
        <v>0</v>
      </c>
      <c r="I22" s="49">
        <f>+G22+H22</f>
        <v>0</v>
      </c>
      <c r="J22" s="48">
        <v>0</v>
      </c>
      <c r="K22" s="48">
        <v>0</v>
      </c>
      <c r="L22" s="48">
        <v>0</v>
      </c>
      <c r="M22" s="48">
        <v>0</v>
      </c>
      <c r="N22" s="48">
        <v>0</v>
      </c>
      <c r="O22" s="48">
        <v>0</v>
      </c>
      <c r="P22" s="49">
        <f t="shared" si="2"/>
        <v>0</v>
      </c>
      <c r="Q22" s="48">
        <v>0</v>
      </c>
      <c r="R22" s="50">
        <f t="shared" si="3"/>
        <v>0</v>
      </c>
    </row>
    <row r="23" spans="2:18" x14ac:dyDescent="0.25">
      <c r="B23" s="373" t="s">
        <v>129</v>
      </c>
      <c r="C23" s="47">
        <v>0.02</v>
      </c>
      <c r="D23" s="48">
        <v>0</v>
      </c>
      <c r="E23" s="48">
        <v>0</v>
      </c>
      <c r="F23" s="49">
        <f t="shared" si="0"/>
        <v>0</v>
      </c>
      <c r="G23" s="48">
        <v>0</v>
      </c>
      <c r="H23" s="48">
        <v>0</v>
      </c>
      <c r="I23" s="49">
        <f t="shared" si="1"/>
        <v>0</v>
      </c>
      <c r="J23" s="48">
        <v>0</v>
      </c>
      <c r="K23" s="48">
        <v>0</v>
      </c>
      <c r="L23" s="48">
        <v>0</v>
      </c>
      <c r="M23" s="48">
        <v>0</v>
      </c>
      <c r="N23" s="48">
        <v>0</v>
      </c>
      <c r="O23" s="48">
        <v>0</v>
      </c>
      <c r="P23" s="49">
        <f t="shared" si="2"/>
        <v>0</v>
      </c>
      <c r="Q23" s="48">
        <v>0</v>
      </c>
      <c r="R23" s="50">
        <f t="shared" si="3"/>
        <v>0</v>
      </c>
    </row>
    <row r="24" spans="2:18" x14ac:dyDescent="0.25">
      <c r="B24" s="372" t="s">
        <v>337</v>
      </c>
      <c r="C24" s="47">
        <v>0.02</v>
      </c>
      <c r="D24" s="48">
        <v>0</v>
      </c>
      <c r="E24" s="48">
        <v>0</v>
      </c>
      <c r="F24" s="49">
        <f t="shared" si="0"/>
        <v>0</v>
      </c>
      <c r="G24" s="48">
        <v>0</v>
      </c>
      <c r="H24" s="48">
        <v>0</v>
      </c>
      <c r="I24" s="49">
        <f t="shared" si="1"/>
        <v>0</v>
      </c>
      <c r="J24" s="48">
        <v>0</v>
      </c>
      <c r="K24" s="48">
        <v>0</v>
      </c>
      <c r="L24" s="48">
        <v>0</v>
      </c>
      <c r="M24" s="48">
        <v>0</v>
      </c>
      <c r="N24" s="48">
        <v>0</v>
      </c>
      <c r="O24" s="48">
        <v>0</v>
      </c>
      <c r="P24" s="49">
        <f t="shared" si="2"/>
        <v>0</v>
      </c>
      <c r="Q24" s="48">
        <v>0</v>
      </c>
      <c r="R24" s="50">
        <f t="shared" si="3"/>
        <v>0</v>
      </c>
    </row>
    <row r="25" spans="2:18" x14ac:dyDescent="0.25">
      <c r="B25" s="373" t="s">
        <v>362</v>
      </c>
      <c r="C25" s="47">
        <v>0.03</v>
      </c>
      <c r="D25" s="48">
        <v>0</v>
      </c>
      <c r="E25" s="48">
        <v>0</v>
      </c>
      <c r="F25" s="49">
        <f t="shared" si="0"/>
        <v>0</v>
      </c>
      <c r="G25" s="48">
        <v>0</v>
      </c>
      <c r="H25" s="48">
        <v>0</v>
      </c>
      <c r="I25" s="49">
        <f t="shared" si="1"/>
        <v>0</v>
      </c>
      <c r="J25" s="48">
        <v>0</v>
      </c>
      <c r="K25" s="48">
        <v>0</v>
      </c>
      <c r="L25" s="48">
        <v>0</v>
      </c>
      <c r="M25" s="48">
        <v>0</v>
      </c>
      <c r="N25" s="48">
        <v>0</v>
      </c>
      <c r="O25" s="48">
        <v>0</v>
      </c>
      <c r="P25" s="49">
        <f t="shared" si="2"/>
        <v>0</v>
      </c>
      <c r="Q25" s="48">
        <v>0</v>
      </c>
      <c r="R25" s="50">
        <f t="shared" si="3"/>
        <v>0</v>
      </c>
    </row>
    <row r="26" spans="2:18" x14ac:dyDescent="0.25">
      <c r="B26" s="373" t="s">
        <v>363</v>
      </c>
      <c r="C26" s="47">
        <v>0.03</v>
      </c>
      <c r="D26" s="48">
        <v>0</v>
      </c>
      <c r="E26" s="48">
        <v>0</v>
      </c>
      <c r="F26" s="49">
        <f>+D26+E26</f>
        <v>0</v>
      </c>
      <c r="G26" s="48">
        <v>0</v>
      </c>
      <c r="H26" s="48">
        <v>0</v>
      </c>
      <c r="I26" s="49">
        <f>+G26+H26</f>
        <v>0</v>
      </c>
      <c r="J26" s="48">
        <v>0</v>
      </c>
      <c r="K26" s="48">
        <v>0</v>
      </c>
      <c r="L26" s="48">
        <v>0</v>
      </c>
      <c r="M26" s="48">
        <v>0</v>
      </c>
      <c r="N26" s="48">
        <v>0</v>
      </c>
      <c r="O26" s="48">
        <v>0</v>
      </c>
      <c r="P26" s="49">
        <f>+N26+O26</f>
        <v>0</v>
      </c>
      <c r="Q26" s="48">
        <v>0</v>
      </c>
      <c r="R26" s="50">
        <f t="shared" si="3"/>
        <v>0</v>
      </c>
    </row>
    <row r="27" spans="2:18" x14ac:dyDescent="0.25">
      <c r="B27" s="373" t="s">
        <v>130</v>
      </c>
      <c r="C27" s="47">
        <v>0.03</v>
      </c>
      <c r="D27" s="48">
        <v>0</v>
      </c>
      <c r="E27" s="48">
        <v>0</v>
      </c>
      <c r="F27" s="49">
        <f t="shared" si="0"/>
        <v>0</v>
      </c>
      <c r="G27" s="48">
        <v>0</v>
      </c>
      <c r="H27" s="48">
        <v>0</v>
      </c>
      <c r="I27" s="49">
        <f t="shared" si="1"/>
        <v>0</v>
      </c>
      <c r="J27" s="48">
        <v>0</v>
      </c>
      <c r="K27" s="48">
        <v>0</v>
      </c>
      <c r="L27" s="48">
        <v>0</v>
      </c>
      <c r="M27" s="48">
        <v>0</v>
      </c>
      <c r="N27" s="48">
        <v>0</v>
      </c>
      <c r="O27" s="48">
        <v>0</v>
      </c>
      <c r="P27" s="49">
        <f t="shared" si="2"/>
        <v>0</v>
      </c>
      <c r="Q27" s="48">
        <v>0</v>
      </c>
      <c r="R27" s="50">
        <f t="shared" si="3"/>
        <v>0</v>
      </c>
    </row>
    <row r="28" spans="2:18" x14ac:dyDescent="0.25">
      <c r="B28" s="373" t="s">
        <v>131</v>
      </c>
      <c r="C28" s="47">
        <v>0.03</v>
      </c>
      <c r="D28" s="48">
        <v>0</v>
      </c>
      <c r="E28" s="48">
        <v>0</v>
      </c>
      <c r="F28" s="49">
        <f t="shared" si="0"/>
        <v>0</v>
      </c>
      <c r="G28" s="48">
        <v>0</v>
      </c>
      <c r="H28" s="48">
        <v>0</v>
      </c>
      <c r="I28" s="49">
        <f t="shared" si="1"/>
        <v>0</v>
      </c>
      <c r="J28" s="48">
        <v>0</v>
      </c>
      <c r="K28" s="48">
        <v>0</v>
      </c>
      <c r="L28" s="48">
        <v>0</v>
      </c>
      <c r="M28" s="48">
        <v>0</v>
      </c>
      <c r="N28" s="48">
        <v>0</v>
      </c>
      <c r="O28" s="48">
        <v>0</v>
      </c>
      <c r="P28" s="49">
        <f t="shared" si="2"/>
        <v>0</v>
      </c>
      <c r="Q28" s="48">
        <v>0</v>
      </c>
      <c r="R28" s="50">
        <f t="shared" si="3"/>
        <v>0</v>
      </c>
    </row>
    <row r="29" spans="2:18" x14ac:dyDescent="0.25">
      <c r="B29" s="373" t="s">
        <v>132</v>
      </c>
      <c r="C29" s="47">
        <v>0.03</v>
      </c>
      <c r="D29" s="48">
        <v>0</v>
      </c>
      <c r="E29" s="48">
        <v>0</v>
      </c>
      <c r="F29" s="49">
        <f t="shared" si="0"/>
        <v>0</v>
      </c>
      <c r="G29" s="48">
        <v>0</v>
      </c>
      <c r="H29" s="48">
        <v>0</v>
      </c>
      <c r="I29" s="49">
        <f t="shared" si="1"/>
        <v>0</v>
      </c>
      <c r="J29" s="48">
        <v>0</v>
      </c>
      <c r="K29" s="48">
        <v>0</v>
      </c>
      <c r="L29" s="48">
        <v>0</v>
      </c>
      <c r="M29" s="48">
        <v>0</v>
      </c>
      <c r="N29" s="48">
        <v>0</v>
      </c>
      <c r="O29" s="48">
        <v>0</v>
      </c>
      <c r="P29" s="49">
        <f t="shared" si="2"/>
        <v>0</v>
      </c>
      <c r="Q29" s="48">
        <v>0</v>
      </c>
      <c r="R29" s="50">
        <f t="shared" si="3"/>
        <v>0</v>
      </c>
    </row>
    <row r="30" spans="2:18" x14ac:dyDescent="0.25">
      <c r="B30" s="373" t="s">
        <v>133</v>
      </c>
      <c r="C30" s="47">
        <v>0.03</v>
      </c>
      <c r="D30" s="48">
        <v>0</v>
      </c>
      <c r="E30" s="48">
        <v>0</v>
      </c>
      <c r="F30" s="49">
        <f t="shared" si="0"/>
        <v>0</v>
      </c>
      <c r="G30" s="48">
        <v>0</v>
      </c>
      <c r="H30" s="48">
        <v>0</v>
      </c>
      <c r="I30" s="49">
        <f t="shared" si="1"/>
        <v>0</v>
      </c>
      <c r="J30" s="48">
        <v>0</v>
      </c>
      <c r="K30" s="48">
        <v>0</v>
      </c>
      <c r="L30" s="48">
        <v>0</v>
      </c>
      <c r="M30" s="48">
        <v>0</v>
      </c>
      <c r="N30" s="48">
        <v>0</v>
      </c>
      <c r="O30" s="48">
        <v>0</v>
      </c>
      <c r="P30" s="49">
        <f t="shared" si="2"/>
        <v>0</v>
      </c>
      <c r="Q30" s="48">
        <v>0</v>
      </c>
      <c r="R30" s="50">
        <f t="shared" si="3"/>
        <v>0</v>
      </c>
    </row>
    <row r="31" spans="2:18" x14ac:dyDescent="0.25">
      <c r="B31" s="372" t="s">
        <v>342</v>
      </c>
      <c r="C31" s="47">
        <v>0.04</v>
      </c>
      <c r="D31" s="48">
        <v>0</v>
      </c>
      <c r="E31" s="48">
        <v>0</v>
      </c>
      <c r="F31" s="49">
        <f t="shared" si="0"/>
        <v>0</v>
      </c>
      <c r="G31" s="48">
        <v>0</v>
      </c>
      <c r="H31" s="48">
        <v>0</v>
      </c>
      <c r="I31" s="49">
        <f t="shared" si="1"/>
        <v>0</v>
      </c>
      <c r="J31" s="48">
        <v>0</v>
      </c>
      <c r="K31" s="48">
        <v>0</v>
      </c>
      <c r="L31" s="48">
        <v>0</v>
      </c>
      <c r="M31" s="48">
        <v>0</v>
      </c>
      <c r="N31" s="48">
        <v>0</v>
      </c>
      <c r="O31" s="48">
        <v>0</v>
      </c>
      <c r="P31" s="49">
        <f t="shared" si="2"/>
        <v>0</v>
      </c>
      <c r="Q31" s="48">
        <v>0</v>
      </c>
      <c r="R31" s="50">
        <f t="shared" si="3"/>
        <v>0</v>
      </c>
    </row>
    <row r="32" spans="2:18" x14ac:dyDescent="0.25">
      <c r="B32" s="372" t="s">
        <v>127</v>
      </c>
      <c r="C32" s="47">
        <v>6.6699999999999995E-2</v>
      </c>
      <c r="D32" s="48">
        <v>0</v>
      </c>
      <c r="E32" s="48">
        <v>0</v>
      </c>
      <c r="F32" s="49">
        <f>+D32+E32</f>
        <v>0</v>
      </c>
      <c r="G32" s="48">
        <v>0</v>
      </c>
      <c r="H32" s="48">
        <v>0</v>
      </c>
      <c r="I32" s="49">
        <f>+G32+H32</f>
        <v>0</v>
      </c>
      <c r="J32" s="48">
        <v>0</v>
      </c>
      <c r="K32" s="48">
        <v>0</v>
      </c>
      <c r="L32" s="48">
        <v>0</v>
      </c>
      <c r="M32" s="48">
        <v>0</v>
      </c>
      <c r="N32" s="48">
        <v>0</v>
      </c>
      <c r="O32" s="48">
        <v>0</v>
      </c>
      <c r="P32" s="49">
        <f>+N32+O32</f>
        <v>0</v>
      </c>
      <c r="Q32" s="48">
        <v>0</v>
      </c>
      <c r="R32" s="50">
        <f t="shared" si="3"/>
        <v>0</v>
      </c>
    </row>
    <row r="33" spans="1:18" x14ac:dyDescent="0.25">
      <c r="B33" s="372" t="s">
        <v>354</v>
      </c>
      <c r="C33" s="47">
        <v>6.6699999999999995E-2</v>
      </c>
      <c r="D33" s="48">
        <v>0</v>
      </c>
      <c r="E33" s="48">
        <v>0</v>
      </c>
      <c r="F33" s="49">
        <f t="shared" si="0"/>
        <v>0</v>
      </c>
      <c r="G33" s="48">
        <v>0</v>
      </c>
      <c r="H33" s="48">
        <v>0</v>
      </c>
      <c r="I33" s="49">
        <f t="shared" si="1"/>
        <v>0</v>
      </c>
      <c r="J33" s="48">
        <v>0</v>
      </c>
      <c r="K33" s="48">
        <v>0</v>
      </c>
      <c r="L33" s="48">
        <v>0</v>
      </c>
      <c r="M33" s="48">
        <v>0</v>
      </c>
      <c r="N33" s="48">
        <v>0</v>
      </c>
      <c r="O33" s="48">
        <v>0</v>
      </c>
      <c r="P33" s="49">
        <f t="shared" si="2"/>
        <v>0</v>
      </c>
      <c r="Q33" s="48">
        <v>0</v>
      </c>
      <c r="R33" s="50">
        <f t="shared" si="3"/>
        <v>0</v>
      </c>
    </row>
    <row r="34" spans="1:18" x14ac:dyDescent="0.25">
      <c r="B34" s="372" t="s">
        <v>165</v>
      </c>
      <c r="C34" s="47">
        <v>6.6699999999999995E-2</v>
      </c>
      <c r="D34" s="48">
        <v>0</v>
      </c>
      <c r="E34" s="48">
        <v>0</v>
      </c>
      <c r="F34" s="49">
        <f t="shared" si="0"/>
        <v>0</v>
      </c>
      <c r="G34" s="48">
        <v>0</v>
      </c>
      <c r="H34" s="48">
        <v>0</v>
      </c>
      <c r="I34" s="49">
        <f t="shared" si="1"/>
        <v>0</v>
      </c>
      <c r="J34" s="48">
        <v>0</v>
      </c>
      <c r="K34" s="48">
        <v>0</v>
      </c>
      <c r="L34" s="48">
        <v>0</v>
      </c>
      <c r="M34" s="48">
        <v>0</v>
      </c>
      <c r="N34" s="48">
        <v>0</v>
      </c>
      <c r="O34" s="48">
        <v>0</v>
      </c>
      <c r="P34" s="49">
        <f t="shared" si="2"/>
        <v>0</v>
      </c>
      <c r="Q34" s="48">
        <v>0</v>
      </c>
      <c r="R34" s="50">
        <f t="shared" si="3"/>
        <v>0</v>
      </c>
    </row>
    <row r="35" spans="1:18" x14ac:dyDescent="0.25">
      <c r="B35" s="372" t="s">
        <v>72</v>
      </c>
      <c r="C35" s="47">
        <v>0.1</v>
      </c>
      <c r="D35" s="48">
        <v>0</v>
      </c>
      <c r="E35" s="48">
        <v>0</v>
      </c>
      <c r="F35" s="49">
        <f t="shared" si="0"/>
        <v>0</v>
      </c>
      <c r="G35" s="48">
        <v>0</v>
      </c>
      <c r="H35" s="48">
        <v>0</v>
      </c>
      <c r="I35" s="49">
        <f t="shared" si="1"/>
        <v>0</v>
      </c>
      <c r="J35" s="48">
        <v>0</v>
      </c>
      <c r="K35" s="48">
        <v>0</v>
      </c>
      <c r="L35" s="48">
        <v>0</v>
      </c>
      <c r="M35" s="48">
        <v>0</v>
      </c>
      <c r="N35" s="48">
        <v>0</v>
      </c>
      <c r="O35" s="48">
        <v>0</v>
      </c>
      <c r="P35" s="49">
        <f t="shared" si="2"/>
        <v>0</v>
      </c>
      <c r="Q35" s="48">
        <v>0</v>
      </c>
      <c r="R35" s="50">
        <f t="shared" si="3"/>
        <v>0</v>
      </c>
    </row>
    <row r="36" spans="1:18" x14ac:dyDescent="0.25">
      <c r="B36" s="372" t="s">
        <v>47</v>
      </c>
      <c r="C36" s="47">
        <v>0.1</v>
      </c>
      <c r="D36" s="48">
        <v>0</v>
      </c>
      <c r="E36" s="48">
        <v>0</v>
      </c>
      <c r="F36" s="49">
        <f t="shared" si="0"/>
        <v>0</v>
      </c>
      <c r="G36" s="48">
        <v>0</v>
      </c>
      <c r="H36" s="48">
        <v>0</v>
      </c>
      <c r="I36" s="49">
        <f t="shared" si="1"/>
        <v>0</v>
      </c>
      <c r="J36" s="48">
        <v>0</v>
      </c>
      <c r="K36" s="48">
        <v>0</v>
      </c>
      <c r="L36" s="48">
        <v>0</v>
      </c>
      <c r="M36" s="48">
        <v>0</v>
      </c>
      <c r="N36" s="48">
        <v>0</v>
      </c>
      <c r="O36" s="48">
        <v>0</v>
      </c>
      <c r="P36" s="49">
        <f t="shared" si="2"/>
        <v>0</v>
      </c>
      <c r="Q36" s="48">
        <v>0</v>
      </c>
      <c r="R36" s="50">
        <f t="shared" si="3"/>
        <v>0</v>
      </c>
    </row>
    <row r="37" spans="1:18" x14ac:dyDescent="0.25">
      <c r="B37" s="372" t="s">
        <v>345</v>
      </c>
      <c r="C37" s="47">
        <v>0.1</v>
      </c>
      <c r="D37" s="48">
        <v>0</v>
      </c>
      <c r="E37" s="48">
        <v>0</v>
      </c>
      <c r="F37" s="49">
        <f t="shared" si="0"/>
        <v>0</v>
      </c>
      <c r="G37" s="48">
        <v>0</v>
      </c>
      <c r="H37" s="48">
        <v>0</v>
      </c>
      <c r="I37" s="49">
        <f t="shared" si="1"/>
        <v>0</v>
      </c>
      <c r="J37" s="48">
        <v>0</v>
      </c>
      <c r="K37" s="48">
        <v>0</v>
      </c>
      <c r="L37" s="48">
        <v>0</v>
      </c>
      <c r="M37" s="48">
        <v>0</v>
      </c>
      <c r="N37" s="48">
        <v>0</v>
      </c>
      <c r="O37" s="48">
        <v>0</v>
      </c>
      <c r="P37" s="49">
        <f t="shared" si="2"/>
        <v>0</v>
      </c>
      <c r="Q37" s="48">
        <v>0</v>
      </c>
      <c r="R37" s="50">
        <f t="shared" si="3"/>
        <v>0</v>
      </c>
    </row>
    <row r="38" spans="1:18" x14ac:dyDescent="0.25">
      <c r="B38" s="372" t="s">
        <v>1</v>
      </c>
      <c r="C38" s="47">
        <v>0.1</v>
      </c>
      <c r="D38" s="48">
        <v>0</v>
      </c>
      <c r="E38" s="48">
        <v>0</v>
      </c>
      <c r="F38" s="49">
        <f t="shared" si="0"/>
        <v>0</v>
      </c>
      <c r="G38" s="48">
        <v>0</v>
      </c>
      <c r="H38" s="48">
        <v>0</v>
      </c>
      <c r="I38" s="49">
        <f t="shared" si="1"/>
        <v>0</v>
      </c>
      <c r="J38" s="48">
        <v>0</v>
      </c>
      <c r="K38" s="48">
        <v>0</v>
      </c>
      <c r="L38" s="48">
        <v>0</v>
      </c>
      <c r="M38" s="48">
        <v>0</v>
      </c>
      <c r="N38" s="48">
        <v>0</v>
      </c>
      <c r="O38" s="48">
        <v>0</v>
      </c>
      <c r="P38" s="49">
        <f t="shared" si="2"/>
        <v>0</v>
      </c>
      <c r="Q38" s="48">
        <v>0</v>
      </c>
      <c r="R38" s="50">
        <f t="shared" si="3"/>
        <v>0</v>
      </c>
    </row>
    <row r="39" spans="1:18" x14ac:dyDescent="0.25">
      <c r="B39" s="372" t="s">
        <v>43</v>
      </c>
      <c r="C39" s="47">
        <v>0.1</v>
      </c>
      <c r="D39" s="55">
        <v>0</v>
      </c>
      <c r="E39" s="55">
        <v>0</v>
      </c>
      <c r="F39" s="56">
        <f>+D39+E39</f>
        <v>0</v>
      </c>
      <c r="G39" s="55">
        <v>0</v>
      </c>
      <c r="H39" s="55">
        <v>0</v>
      </c>
      <c r="I39" s="56">
        <f>+G39+H39</f>
        <v>0</v>
      </c>
      <c r="J39" s="55">
        <v>0</v>
      </c>
      <c r="K39" s="55">
        <v>0</v>
      </c>
      <c r="L39" s="55">
        <v>0</v>
      </c>
      <c r="M39" s="55">
        <v>0</v>
      </c>
      <c r="N39" s="55">
        <v>0</v>
      </c>
      <c r="O39" s="55">
        <v>0</v>
      </c>
      <c r="P39" s="56">
        <f>+N39+O39</f>
        <v>0</v>
      </c>
      <c r="Q39" s="55">
        <v>0</v>
      </c>
      <c r="R39" s="50">
        <f t="shared" si="3"/>
        <v>0</v>
      </c>
    </row>
    <row r="40" spans="1:18" x14ac:dyDescent="0.25">
      <c r="B40" s="372" t="s">
        <v>346</v>
      </c>
      <c r="C40" s="47">
        <v>0.1</v>
      </c>
      <c r="D40" s="55">
        <v>0</v>
      </c>
      <c r="E40" s="55">
        <v>0</v>
      </c>
      <c r="F40" s="56">
        <f>+D40+E40</f>
        <v>0</v>
      </c>
      <c r="G40" s="55">
        <v>0</v>
      </c>
      <c r="H40" s="55">
        <v>0</v>
      </c>
      <c r="I40" s="56">
        <f>+G40+H40</f>
        <v>0</v>
      </c>
      <c r="J40" s="55">
        <v>0</v>
      </c>
      <c r="K40" s="55">
        <v>0</v>
      </c>
      <c r="L40" s="55">
        <v>0</v>
      </c>
      <c r="M40" s="55">
        <v>0</v>
      </c>
      <c r="N40" s="55">
        <v>0</v>
      </c>
      <c r="O40" s="55">
        <v>0</v>
      </c>
      <c r="P40" s="56">
        <f>+N40+O40</f>
        <v>0</v>
      </c>
      <c r="Q40" s="55">
        <v>0</v>
      </c>
      <c r="R40" s="50">
        <f t="shared" si="3"/>
        <v>0</v>
      </c>
    </row>
    <row r="41" spans="1:18" x14ac:dyDescent="0.25">
      <c r="B41" s="372" t="s">
        <v>347</v>
      </c>
      <c r="C41" s="47">
        <v>0.1111</v>
      </c>
      <c r="D41" s="55">
        <v>0</v>
      </c>
      <c r="E41" s="55">
        <v>0</v>
      </c>
      <c r="F41" s="56">
        <f>+D41+E41</f>
        <v>0</v>
      </c>
      <c r="G41" s="55">
        <v>0</v>
      </c>
      <c r="H41" s="55">
        <v>0</v>
      </c>
      <c r="I41" s="56">
        <f>+G41+H41</f>
        <v>0</v>
      </c>
      <c r="J41" s="55">
        <v>0</v>
      </c>
      <c r="K41" s="55">
        <v>0</v>
      </c>
      <c r="L41" s="55">
        <v>0</v>
      </c>
      <c r="M41" s="55">
        <v>0</v>
      </c>
      <c r="N41" s="55">
        <v>0</v>
      </c>
      <c r="O41" s="55">
        <v>0</v>
      </c>
      <c r="P41" s="56">
        <f>+N41+O41</f>
        <v>0</v>
      </c>
      <c r="Q41" s="55">
        <v>0</v>
      </c>
      <c r="R41" s="50">
        <f t="shared" si="3"/>
        <v>0</v>
      </c>
    </row>
    <row r="42" spans="1:18" x14ac:dyDescent="0.25">
      <c r="B42" s="372" t="s">
        <v>45</v>
      </c>
      <c r="C42" s="47">
        <v>0.1</v>
      </c>
      <c r="D42" s="55">
        <v>0</v>
      </c>
      <c r="E42" s="55">
        <v>0</v>
      </c>
      <c r="F42" s="56">
        <f t="shared" ref="F42:F47" si="4">+D42+E42</f>
        <v>0</v>
      </c>
      <c r="G42" s="55">
        <v>0</v>
      </c>
      <c r="H42" s="55">
        <v>0</v>
      </c>
      <c r="I42" s="56">
        <f t="shared" ref="I42:I47" si="5">+G42+H42</f>
        <v>0</v>
      </c>
      <c r="J42" s="55">
        <v>0</v>
      </c>
      <c r="K42" s="55">
        <v>0</v>
      </c>
      <c r="L42" s="55">
        <v>0</v>
      </c>
      <c r="M42" s="55">
        <v>0</v>
      </c>
      <c r="N42" s="55">
        <v>0</v>
      </c>
      <c r="O42" s="55">
        <v>0</v>
      </c>
      <c r="P42" s="56">
        <f t="shared" ref="P42:P47" si="6">+N42+O42</f>
        <v>0</v>
      </c>
      <c r="Q42" s="55">
        <v>0</v>
      </c>
      <c r="R42" s="50">
        <f t="shared" si="3"/>
        <v>0</v>
      </c>
    </row>
    <row r="43" spans="1:18" x14ac:dyDescent="0.25">
      <c r="B43" s="372" t="s">
        <v>166</v>
      </c>
      <c r="C43" s="54">
        <v>0.1</v>
      </c>
      <c r="D43" s="55">
        <v>0</v>
      </c>
      <c r="E43" s="55">
        <v>0</v>
      </c>
      <c r="F43" s="56">
        <f t="shared" si="4"/>
        <v>0</v>
      </c>
      <c r="G43" s="55">
        <v>0</v>
      </c>
      <c r="H43" s="55">
        <v>0</v>
      </c>
      <c r="I43" s="56">
        <f t="shared" si="5"/>
        <v>0</v>
      </c>
      <c r="J43" s="55">
        <v>0</v>
      </c>
      <c r="K43" s="55">
        <v>0</v>
      </c>
      <c r="L43" s="55">
        <v>0</v>
      </c>
      <c r="M43" s="55">
        <v>0</v>
      </c>
      <c r="N43" s="55">
        <v>0</v>
      </c>
      <c r="O43" s="55">
        <v>0</v>
      </c>
      <c r="P43" s="56">
        <f t="shared" si="6"/>
        <v>0</v>
      </c>
      <c r="Q43" s="55">
        <v>0</v>
      </c>
      <c r="R43" s="50">
        <f t="shared" si="3"/>
        <v>0</v>
      </c>
    </row>
    <row r="44" spans="1:18" x14ac:dyDescent="0.25">
      <c r="B44" s="372" t="s">
        <v>44</v>
      </c>
      <c r="C44" s="54">
        <v>0.2</v>
      </c>
      <c r="D44" s="55">
        <v>0</v>
      </c>
      <c r="E44" s="55">
        <v>0</v>
      </c>
      <c r="F44" s="56">
        <f t="shared" si="4"/>
        <v>0</v>
      </c>
      <c r="G44" s="55">
        <v>0</v>
      </c>
      <c r="H44" s="55">
        <v>0</v>
      </c>
      <c r="I44" s="56">
        <f t="shared" si="5"/>
        <v>0</v>
      </c>
      <c r="J44" s="55">
        <v>0</v>
      </c>
      <c r="K44" s="55">
        <v>0</v>
      </c>
      <c r="L44" s="55">
        <v>0</v>
      </c>
      <c r="M44" s="55">
        <v>0</v>
      </c>
      <c r="N44" s="55">
        <v>0</v>
      </c>
      <c r="O44" s="55">
        <v>0</v>
      </c>
      <c r="P44" s="56">
        <f t="shared" si="6"/>
        <v>0</v>
      </c>
      <c r="Q44" s="55">
        <v>0</v>
      </c>
      <c r="R44" s="50">
        <f t="shared" si="3"/>
        <v>0</v>
      </c>
    </row>
    <row r="45" spans="1:18" x14ac:dyDescent="0.25">
      <c r="B45" s="372" t="s">
        <v>350</v>
      </c>
      <c r="C45" s="54">
        <v>0.2</v>
      </c>
      <c r="D45" s="55">
        <v>0</v>
      </c>
      <c r="E45" s="55">
        <v>0</v>
      </c>
      <c r="F45" s="56">
        <f t="shared" si="4"/>
        <v>0</v>
      </c>
      <c r="G45" s="55">
        <v>0</v>
      </c>
      <c r="H45" s="55">
        <v>0</v>
      </c>
      <c r="I45" s="56">
        <f t="shared" si="5"/>
        <v>0</v>
      </c>
      <c r="J45" s="55">
        <v>0</v>
      </c>
      <c r="K45" s="55">
        <v>0</v>
      </c>
      <c r="L45" s="55">
        <v>0</v>
      </c>
      <c r="M45" s="55">
        <v>0</v>
      </c>
      <c r="N45" s="55">
        <v>0</v>
      </c>
      <c r="O45" s="55">
        <v>0</v>
      </c>
      <c r="P45" s="56">
        <f t="shared" si="6"/>
        <v>0</v>
      </c>
      <c r="Q45" s="55">
        <v>0</v>
      </c>
      <c r="R45" s="50">
        <f t="shared" si="3"/>
        <v>0</v>
      </c>
    </row>
    <row r="46" spans="1:18" x14ac:dyDescent="0.25">
      <c r="B46" s="372" t="s">
        <v>46</v>
      </c>
      <c r="C46" s="54">
        <v>0.33</v>
      </c>
      <c r="D46" s="55">
        <v>0</v>
      </c>
      <c r="E46" s="55">
        <v>0</v>
      </c>
      <c r="F46" s="56">
        <f t="shared" si="4"/>
        <v>0</v>
      </c>
      <c r="G46" s="55">
        <v>0</v>
      </c>
      <c r="H46" s="55">
        <v>0</v>
      </c>
      <c r="I46" s="56">
        <f t="shared" si="5"/>
        <v>0</v>
      </c>
      <c r="J46" s="55">
        <v>0</v>
      </c>
      <c r="K46" s="55">
        <v>0</v>
      </c>
      <c r="L46" s="55">
        <v>0</v>
      </c>
      <c r="M46" s="55">
        <v>0</v>
      </c>
      <c r="N46" s="55">
        <v>0</v>
      </c>
      <c r="O46" s="55">
        <v>0</v>
      </c>
      <c r="P46" s="56">
        <f t="shared" si="6"/>
        <v>0</v>
      </c>
      <c r="Q46" s="55">
        <v>0</v>
      </c>
      <c r="R46" s="50">
        <f>+F46+I46+J46+K46+L46+M46+P46+Q46</f>
        <v>0</v>
      </c>
    </row>
    <row r="47" spans="1:18" ht="13.8" thickBot="1" x14ac:dyDescent="0.3">
      <c r="B47" s="374" t="s">
        <v>137</v>
      </c>
      <c r="C47" s="54">
        <v>0</v>
      </c>
      <c r="D47" s="55">
        <v>0</v>
      </c>
      <c r="E47" s="55">
        <v>0</v>
      </c>
      <c r="F47" s="56">
        <f t="shared" si="4"/>
        <v>0</v>
      </c>
      <c r="G47" s="55">
        <v>0</v>
      </c>
      <c r="H47" s="55">
        <v>0</v>
      </c>
      <c r="I47" s="56">
        <f t="shared" si="5"/>
        <v>0</v>
      </c>
      <c r="J47" s="55">
        <v>0</v>
      </c>
      <c r="K47" s="55">
        <v>0</v>
      </c>
      <c r="L47" s="55">
        <v>0</v>
      </c>
      <c r="M47" s="55">
        <v>0</v>
      </c>
      <c r="N47" s="55">
        <v>0</v>
      </c>
      <c r="O47" s="55">
        <v>0</v>
      </c>
      <c r="P47" s="56">
        <f t="shared" si="6"/>
        <v>0</v>
      </c>
      <c r="Q47" s="55">
        <v>0</v>
      </c>
      <c r="R47" s="221">
        <f t="shared" si="3"/>
        <v>0</v>
      </c>
    </row>
    <row r="48" spans="1:18" x14ac:dyDescent="0.25">
      <c r="A48" s="357"/>
      <c r="B48" s="597"/>
      <c r="C48" s="595"/>
      <c r="D48" s="608"/>
      <c r="E48" s="608"/>
      <c r="F48" s="608"/>
      <c r="G48" s="608"/>
      <c r="H48" s="608"/>
      <c r="I48" s="608"/>
      <c r="J48" s="608"/>
      <c r="K48" s="608"/>
      <c r="L48" s="608"/>
      <c r="M48" s="608"/>
      <c r="N48" s="608"/>
      <c r="O48" s="608"/>
      <c r="P48" s="608"/>
      <c r="Q48" s="608"/>
      <c r="R48" s="608"/>
    </row>
    <row r="49" spans="2:24" s="610" customFormat="1" x14ac:dyDescent="0.25">
      <c r="B49" s="597" t="s">
        <v>2</v>
      </c>
      <c r="C49" s="598"/>
      <c r="D49" s="609">
        <f t="shared" ref="D49:R49" si="7">SUM(D19:D47)</f>
        <v>0</v>
      </c>
      <c r="E49" s="609">
        <f t="shared" si="7"/>
        <v>0</v>
      </c>
      <c r="F49" s="609">
        <f t="shared" si="7"/>
        <v>0</v>
      </c>
      <c r="G49" s="609">
        <f t="shared" si="7"/>
        <v>0</v>
      </c>
      <c r="H49" s="609">
        <f t="shared" si="7"/>
        <v>0</v>
      </c>
      <c r="I49" s="609">
        <f t="shared" si="7"/>
        <v>0</v>
      </c>
      <c r="J49" s="609">
        <f t="shared" si="7"/>
        <v>0</v>
      </c>
      <c r="K49" s="609">
        <f t="shared" si="7"/>
        <v>0</v>
      </c>
      <c r="L49" s="609">
        <f t="shared" si="7"/>
        <v>0</v>
      </c>
      <c r="M49" s="609">
        <f t="shared" si="7"/>
        <v>0</v>
      </c>
      <c r="N49" s="609">
        <f t="shared" si="7"/>
        <v>0</v>
      </c>
      <c r="O49" s="609">
        <f t="shared" si="7"/>
        <v>0</v>
      </c>
      <c r="P49" s="609">
        <f t="shared" si="7"/>
        <v>0</v>
      </c>
      <c r="Q49" s="609">
        <f t="shared" si="7"/>
        <v>0</v>
      </c>
      <c r="R49" s="609">
        <f t="shared" si="7"/>
        <v>0</v>
      </c>
      <c r="T49" s="10"/>
      <c r="U49" s="10"/>
      <c r="V49" s="10"/>
      <c r="W49" s="10"/>
      <c r="X49" s="10"/>
    </row>
    <row r="50" spans="2:24" ht="13.8" thickBot="1" x14ac:dyDescent="0.3">
      <c r="B50" s="600"/>
      <c r="C50" s="601"/>
      <c r="D50" s="611"/>
      <c r="E50" s="611"/>
      <c r="F50" s="611"/>
      <c r="G50" s="611"/>
      <c r="H50" s="611"/>
      <c r="I50" s="611"/>
      <c r="J50" s="611"/>
      <c r="K50" s="611"/>
      <c r="L50" s="611"/>
      <c r="M50" s="611"/>
      <c r="N50" s="611"/>
      <c r="O50" s="611"/>
      <c r="P50" s="611"/>
      <c r="Q50" s="611"/>
      <c r="R50" s="611"/>
    </row>
    <row r="51" spans="2:24" s="604" customFormat="1" x14ac:dyDescent="0.25">
      <c r="B51" s="603"/>
      <c r="C51" s="603"/>
      <c r="T51" s="10"/>
      <c r="U51" s="10"/>
      <c r="V51" s="10"/>
      <c r="W51" s="10"/>
      <c r="X51" s="10"/>
    </row>
    <row r="52" spans="2:24" s="604" customFormat="1" x14ac:dyDescent="0.25">
      <c r="T52" s="10"/>
      <c r="U52" s="10"/>
      <c r="V52" s="10"/>
      <c r="W52" s="10"/>
      <c r="X52" s="10"/>
    </row>
  </sheetData>
  <sheetProtection algorithmName="SHA-512" hashValue="K9xmljSik+l6oOI/6OY+t9MsYWhCIqBlIpQf1s+uytsL0b6+Plt5HtoB1pL7U8WG4z/36PGXfLvArVGDtSoGZw==" saltValue="BthqKpDpbyuMu+puTQLUNg==" spinCount="100000" sheet="1" objects="1" scenarios="1" insertRows="0"/>
  <mergeCells count="3">
    <mergeCell ref="N16:P16"/>
    <mergeCell ref="G16:I16"/>
    <mergeCell ref="B1:J1"/>
  </mergeCells>
  <dataValidations count="2">
    <dataValidation type="decimal" operator="greaterThanOrEqual" allowBlank="1" showInputMessage="1" showErrorMessage="1" errorTitle="Negatieve waarde" error="Gelieve positieve waarde in te geven" sqref="D19:D47 J19:K47 O19:O47" xr:uid="{00000000-0002-0000-0A00-000000000000}">
      <formula1>0</formula1>
    </dataValidation>
    <dataValidation type="decimal" operator="lessThanOrEqual" allowBlank="1" showInputMessage="1" showErrorMessage="1" errorTitle="Positief bedrag" error="Gelieve een negatief bedrag in te geven" sqref="E19:E47 L19:N47 Q19:Q47" xr:uid="{00000000-0002-0000-0A00-00000100000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stopIfTrue="1" id="{00000000-000E-0000-0700-000001000000}">
            <xm:f>TITELBLAD!$D$10&lt;&gt;"aardgas"</xm:f>
            <x14:dxf>
              <fill>
                <patternFill patternType="lightUp"/>
              </fill>
            </x14:dxf>
          </x14:cfRule>
          <xm:sqref>A1:XFD1048576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pageSetUpPr fitToPage="1"/>
  </sheetPr>
  <dimension ref="B1:O46"/>
  <sheetViews>
    <sheetView zoomScale="130" zoomScaleNormal="130" workbookViewId="0">
      <selection activeCell="B2" sqref="B2"/>
    </sheetView>
  </sheetViews>
  <sheetFormatPr defaultColWidth="9.109375" defaultRowHeight="13.2" x14ac:dyDescent="0.25"/>
  <cols>
    <col min="1" max="1" width="3" style="10" customWidth="1"/>
    <col min="2" max="2" width="50.44140625" style="10" customWidth="1"/>
    <col min="3" max="3" width="27.88671875" style="10" customWidth="1"/>
    <col min="4" max="8" width="23.44140625" style="10" customWidth="1"/>
    <col min="9" max="40" width="9.109375" style="10" customWidth="1"/>
    <col min="41" max="16384" width="9.109375" style="10"/>
  </cols>
  <sheetData>
    <row r="1" spans="2:15" ht="21.9" customHeight="1" thickBot="1" x14ac:dyDescent="0.3">
      <c r="B1" s="689" t="s">
        <v>385</v>
      </c>
      <c r="C1" s="690"/>
      <c r="D1" s="690"/>
      <c r="E1" s="690"/>
      <c r="F1" s="690"/>
      <c r="G1" s="690"/>
      <c r="H1" s="691"/>
    </row>
    <row r="2" spans="2:15" x14ac:dyDescent="0.25">
      <c r="B2" s="610"/>
    </row>
    <row r="3" spans="2:15" x14ac:dyDescent="0.25">
      <c r="B3" s="28" t="s">
        <v>285</v>
      </c>
      <c r="C3" s="614">
        <f>DATE(TITELBLAD!F17-1,12,31)</f>
        <v>45657</v>
      </c>
      <c r="D3" s="57">
        <v>0</v>
      </c>
      <c r="E3" s="58"/>
      <c r="F3" s="58"/>
    </row>
    <row r="4" spans="2:15" x14ac:dyDescent="0.25">
      <c r="C4" s="615">
        <f>DATE(TITELBLAD!F17,12,31)</f>
        <v>46022</v>
      </c>
      <c r="D4" s="42">
        <f>('T9'!F13+'T9'!F19-'T9'!F60-'T9'!F63)*(1/14)</f>
        <v>0</v>
      </c>
      <c r="E4" s="58"/>
      <c r="F4" s="58"/>
    </row>
    <row r="5" spans="2:15" x14ac:dyDescent="0.25">
      <c r="B5" s="610"/>
      <c r="C5" s="53"/>
      <c r="D5" s="53"/>
      <c r="E5" s="53"/>
      <c r="F5" s="53"/>
      <c r="G5" s="53"/>
      <c r="H5" s="53"/>
      <c r="I5" s="53"/>
      <c r="J5" s="53"/>
      <c r="K5" s="53"/>
      <c r="L5" s="53"/>
      <c r="M5" s="53"/>
      <c r="N5" s="53"/>
      <c r="O5" s="53"/>
    </row>
    <row r="6" spans="2:15" x14ac:dyDescent="0.25">
      <c r="B6" s="610"/>
      <c r="C6" s="53"/>
      <c r="D6" s="53"/>
      <c r="E6" s="53"/>
      <c r="F6" s="53"/>
      <c r="G6" s="53"/>
      <c r="H6" s="53"/>
      <c r="I6" s="53"/>
      <c r="J6" s="53"/>
      <c r="K6" s="53"/>
      <c r="L6" s="53"/>
      <c r="M6" s="53"/>
      <c r="N6" s="53"/>
      <c r="O6" s="53"/>
    </row>
    <row r="7" spans="2:15" x14ac:dyDescent="0.25">
      <c r="B7" s="28" t="s">
        <v>224</v>
      </c>
      <c r="C7" s="615">
        <f>DATE(TITELBLAD!F17-1,12,31)</f>
        <v>45657</v>
      </c>
      <c r="D7" s="42">
        <f>MAX(0,IF(E42&gt;D3,D3,E42))</f>
        <v>0</v>
      </c>
      <c r="E7" s="58"/>
      <c r="F7" s="58"/>
    </row>
    <row r="8" spans="2:15" ht="12" customHeight="1" x14ac:dyDescent="0.25">
      <c r="C8" s="615">
        <f>DATE(TITELBLAD!F17,12,31)</f>
        <v>46022</v>
      </c>
      <c r="D8" s="42">
        <f>MAX(0,IF(H42&gt;D4,D4,H42))</f>
        <v>0</v>
      </c>
      <c r="E8" s="58"/>
      <c r="F8" s="58"/>
    </row>
    <row r="9" spans="2:15" x14ac:dyDescent="0.25">
      <c r="E9" s="58"/>
      <c r="F9" s="58"/>
    </row>
    <row r="10" spans="2:15" x14ac:dyDescent="0.25">
      <c r="B10" s="610"/>
      <c r="H10" s="616"/>
    </row>
    <row r="11" spans="2:15" x14ac:dyDescent="0.25">
      <c r="B11" s="28" t="s">
        <v>225</v>
      </c>
      <c r="C11" s="576">
        <f>+TITELBLAD!F17</f>
        <v>2025</v>
      </c>
      <c r="D11" s="100">
        <f>+AVERAGE(D7:D8)</f>
        <v>0</v>
      </c>
      <c r="E11" s="58"/>
      <c r="F11" s="58"/>
    </row>
    <row r="12" spans="2:15" x14ac:dyDescent="0.25">
      <c r="B12" s="610"/>
    </row>
    <row r="13" spans="2:15" x14ac:dyDescent="0.25">
      <c r="B13" s="28" t="s">
        <v>68</v>
      </c>
    </row>
    <row r="14" spans="2:15" x14ac:dyDescent="0.25">
      <c r="B14" s="31" t="s">
        <v>390</v>
      </c>
      <c r="F14" s="53"/>
    </row>
    <row r="15" spans="2:15" x14ac:dyDescent="0.25">
      <c r="B15" s="294" t="str">
        <f>"De waarden in de kolommen 'Balanscijfers' dienen overeen te stemmen met de waarden die in 'tabel 1' werden gerapporteerd. Eventuele afwijkingen of waarden in de kolom 'Correcties' dienen in een afzonderlijke nota worden gemotiveerd."</f>
        <v>De waarden in de kolommen 'Balanscijfers' dienen overeen te stemmen met de waarden die in 'tabel 1' werden gerapporteerd. Eventuele afwijkingen of waarden in de kolom 'Correcties' dienen in een afzonderlijke nota worden gemotiveerd.</v>
      </c>
      <c r="F15" s="53"/>
    </row>
    <row r="16" spans="2:15" ht="12" customHeight="1" x14ac:dyDescent="0.25">
      <c r="B16" s="610"/>
      <c r="C16" s="617"/>
      <c r="D16" s="617"/>
      <c r="E16" s="617"/>
      <c r="F16" s="617"/>
      <c r="G16" s="617"/>
      <c r="H16" s="617"/>
    </row>
    <row r="17" spans="2:13" ht="13.8" thickBot="1" x14ac:dyDescent="0.3">
      <c r="B17" s="610"/>
    </row>
    <row r="18" spans="2:13" ht="13.8" thickBot="1" x14ac:dyDescent="0.3">
      <c r="B18" s="618"/>
      <c r="C18" s="619"/>
      <c r="D18" s="620">
        <f>DATE(TITELBLAD!F17-1,12,31)</f>
        <v>45657</v>
      </c>
      <c r="E18" s="621"/>
      <c r="F18" s="619"/>
      <c r="G18" s="620">
        <f>DATE(TITELBLAD!F17,12,31)</f>
        <v>46022</v>
      </c>
      <c r="H18" s="621"/>
    </row>
    <row r="19" spans="2:13" x14ac:dyDescent="0.25">
      <c r="B19" s="66"/>
      <c r="C19" s="622"/>
      <c r="D19" s="623" t="str">
        <f>+TITELBLAD!$D$7</f>
        <v>DNB</v>
      </c>
      <c r="E19" s="624"/>
      <c r="F19" s="622"/>
      <c r="G19" s="623" t="str">
        <f>+TITELBLAD!$D$7</f>
        <v>DNB</v>
      </c>
      <c r="H19" s="624"/>
    </row>
    <row r="20" spans="2:13" ht="27" customHeight="1" thickBot="1" x14ac:dyDescent="0.3">
      <c r="B20" s="625" t="s">
        <v>10</v>
      </c>
      <c r="C20" s="626"/>
      <c r="D20" s="627" t="str">
        <f>TITELBLAD!$D$10</f>
        <v>elektriciteit</v>
      </c>
      <c r="E20" s="628"/>
      <c r="F20" s="626"/>
      <c r="G20" s="627" t="str">
        <f>TITELBLAD!$D$10</f>
        <v>elektriciteit</v>
      </c>
      <c r="H20" s="628"/>
    </row>
    <row r="21" spans="2:13" x14ac:dyDescent="0.25">
      <c r="B21" s="625"/>
      <c r="C21" s="755" t="s">
        <v>122</v>
      </c>
      <c r="D21" s="755" t="s">
        <v>123</v>
      </c>
      <c r="E21" s="755" t="s">
        <v>7</v>
      </c>
      <c r="F21" s="757" t="s">
        <v>122</v>
      </c>
      <c r="G21" s="757" t="s">
        <v>123</v>
      </c>
      <c r="H21" s="757" t="s">
        <v>7</v>
      </c>
    </row>
    <row r="22" spans="2:13" ht="13.8" thickBot="1" x14ac:dyDescent="0.3">
      <c r="B22" s="59"/>
      <c r="C22" s="756"/>
      <c r="D22" s="756"/>
      <c r="E22" s="756"/>
      <c r="F22" s="756"/>
      <c r="G22" s="756"/>
      <c r="H22" s="756"/>
    </row>
    <row r="23" spans="2:13" x14ac:dyDescent="0.25">
      <c r="B23" s="629"/>
      <c r="C23" s="630"/>
      <c r="D23" s="630"/>
      <c r="E23" s="631"/>
      <c r="F23" s="630"/>
      <c r="G23" s="630"/>
      <c r="H23" s="631"/>
    </row>
    <row r="24" spans="2:13" x14ac:dyDescent="0.25">
      <c r="B24" s="632" t="s">
        <v>11</v>
      </c>
      <c r="C24" s="630"/>
      <c r="D24" s="630"/>
      <c r="E24" s="630"/>
      <c r="F24" s="630"/>
      <c r="G24" s="630"/>
      <c r="H24" s="630"/>
    </row>
    <row r="25" spans="2:13" x14ac:dyDescent="0.25">
      <c r="B25" s="633"/>
      <c r="C25" s="630"/>
      <c r="D25" s="630"/>
      <c r="E25" s="630"/>
      <c r="F25" s="630"/>
      <c r="G25" s="630"/>
      <c r="H25" s="630"/>
    </row>
    <row r="26" spans="2:13" ht="16.5" customHeight="1" x14ac:dyDescent="0.25">
      <c r="B26" s="634" t="s">
        <v>12</v>
      </c>
      <c r="C26" s="216">
        <v>0</v>
      </c>
      <c r="D26" s="60">
        <v>0</v>
      </c>
      <c r="E26" s="61">
        <f>+SUM(C26:D26)</f>
        <v>0</v>
      </c>
      <c r="F26" s="216">
        <v>0</v>
      </c>
      <c r="G26" s="60">
        <v>0</v>
      </c>
      <c r="H26" s="61">
        <f>+SUM(F26:G26)</f>
        <v>0</v>
      </c>
    </row>
    <row r="27" spans="2:13" ht="16.5" customHeight="1" x14ac:dyDescent="0.25">
      <c r="B27" s="634" t="s">
        <v>13</v>
      </c>
      <c r="C27" s="216">
        <v>0</v>
      </c>
      <c r="D27" s="61"/>
      <c r="E27" s="61">
        <f>+C27</f>
        <v>0</v>
      </c>
      <c r="F27" s="216">
        <v>0</v>
      </c>
      <c r="G27" s="61"/>
      <c r="H27" s="61">
        <f>+F27</f>
        <v>0</v>
      </c>
    </row>
    <row r="28" spans="2:13" s="31" customFormat="1" ht="16.5" customHeight="1" x14ac:dyDescent="0.25">
      <c r="B28" s="635" t="s">
        <v>148</v>
      </c>
      <c r="C28" s="216">
        <v>0</v>
      </c>
      <c r="D28" s="61"/>
      <c r="E28" s="61">
        <f t="shared" ref="E28:E30" si="0">+C28</f>
        <v>0</v>
      </c>
      <c r="F28" s="216">
        <v>0</v>
      </c>
      <c r="G28" s="61"/>
      <c r="H28" s="61">
        <f t="shared" ref="H28:H30" si="1">+F28</f>
        <v>0</v>
      </c>
      <c r="J28" s="10"/>
      <c r="K28" s="10"/>
      <c r="L28" s="10"/>
      <c r="M28" s="10"/>
    </row>
    <row r="29" spans="2:13" ht="16.5" customHeight="1" x14ac:dyDescent="0.25">
      <c r="B29" s="634" t="s">
        <v>221</v>
      </c>
      <c r="C29" s="216">
        <v>0</v>
      </c>
      <c r="D29" s="61"/>
      <c r="E29" s="61">
        <f t="shared" si="0"/>
        <v>0</v>
      </c>
      <c r="F29" s="216">
        <v>0</v>
      </c>
      <c r="G29" s="61"/>
      <c r="H29" s="61">
        <f t="shared" si="1"/>
        <v>0</v>
      </c>
    </row>
    <row r="30" spans="2:13" ht="16.5" customHeight="1" x14ac:dyDescent="0.25">
      <c r="B30" s="634" t="s">
        <v>222</v>
      </c>
      <c r="C30" s="219">
        <v>0</v>
      </c>
      <c r="D30" s="61"/>
      <c r="E30" s="61">
        <f t="shared" si="0"/>
        <v>0</v>
      </c>
      <c r="F30" s="219">
        <v>0</v>
      </c>
      <c r="G30" s="61"/>
      <c r="H30" s="61">
        <f t="shared" si="1"/>
        <v>0</v>
      </c>
    </row>
    <row r="31" spans="2:13" x14ac:dyDescent="0.25">
      <c r="B31" s="636"/>
      <c r="C31" s="62"/>
      <c r="D31" s="61"/>
      <c r="E31" s="62"/>
      <c r="F31" s="62"/>
      <c r="G31" s="62"/>
      <c r="H31" s="62"/>
    </row>
    <row r="32" spans="2:13" ht="16.5" customHeight="1" x14ac:dyDescent="0.25">
      <c r="B32" s="637" t="s">
        <v>51</v>
      </c>
      <c r="C32" s="216">
        <v>0</v>
      </c>
      <c r="D32" s="217"/>
      <c r="E32" s="218">
        <f>+C32</f>
        <v>0</v>
      </c>
      <c r="F32" s="216">
        <v>0</v>
      </c>
      <c r="G32" s="217"/>
      <c r="H32" s="218">
        <f>+F32</f>
        <v>0</v>
      </c>
    </row>
    <row r="33" spans="2:8" ht="16.5" customHeight="1" x14ac:dyDescent="0.25">
      <c r="B33" s="638" t="s">
        <v>153</v>
      </c>
      <c r="C33" s="219">
        <v>0</v>
      </c>
      <c r="D33" s="217"/>
      <c r="E33" s="217">
        <f>+C33</f>
        <v>0</v>
      </c>
      <c r="F33" s="219">
        <v>0</v>
      </c>
      <c r="G33" s="217"/>
      <c r="H33" s="217">
        <f>+F33</f>
        <v>0</v>
      </c>
    </row>
    <row r="34" spans="2:8" x14ac:dyDescent="0.25">
      <c r="B34" s="633"/>
      <c r="C34" s="215"/>
      <c r="D34" s="52"/>
      <c r="E34" s="52"/>
      <c r="F34" s="215"/>
      <c r="G34" s="52"/>
      <c r="H34" s="52"/>
    </row>
    <row r="35" spans="2:8" x14ac:dyDescent="0.25">
      <c r="B35" s="633"/>
      <c r="C35" s="63"/>
      <c r="D35" s="63"/>
      <c r="E35" s="63"/>
      <c r="F35" s="63"/>
      <c r="G35" s="63"/>
      <c r="H35" s="63"/>
    </row>
    <row r="36" spans="2:8" x14ac:dyDescent="0.25">
      <c r="B36" s="639" t="s">
        <v>14</v>
      </c>
      <c r="C36" s="63"/>
      <c r="D36" s="63"/>
      <c r="E36" s="63"/>
      <c r="F36" s="63"/>
      <c r="G36" s="63"/>
      <c r="H36" s="63"/>
    </row>
    <row r="37" spans="2:8" x14ac:dyDescent="0.25">
      <c r="B37" s="633"/>
      <c r="C37" s="63"/>
      <c r="D37" s="63"/>
      <c r="E37" s="63"/>
      <c r="F37" s="63"/>
      <c r="G37" s="63"/>
      <c r="H37" s="63"/>
    </row>
    <row r="38" spans="2:8" ht="16.5" customHeight="1" x14ac:dyDescent="0.25">
      <c r="B38" s="640" t="s">
        <v>223</v>
      </c>
      <c r="C38" s="216">
        <v>0</v>
      </c>
      <c r="D38" s="61"/>
      <c r="E38" s="61">
        <f t="shared" ref="E38:E39" si="2">+C38</f>
        <v>0</v>
      </c>
      <c r="F38" s="216">
        <v>0</v>
      </c>
      <c r="G38" s="61"/>
      <c r="H38" s="61">
        <f t="shared" ref="H38:H39" si="3">+F38</f>
        <v>0</v>
      </c>
    </row>
    <row r="39" spans="2:8" ht="16.5" customHeight="1" x14ac:dyDescent="0.25">
      <c r="B39" s="634" t="s">
        <v>15</v>
      </c>
      <c r="C39" s="219">
        <v>0</v>
      </c>
      <c r="D39" s="61"/>
      <c r="E39" s="61">
        <f t="shared" si="2"/>
        <v>0</v>
      </c>
      <c r="F39" s="219">
        <v>0</v>
      </c>
      <c r="G39" s="61"/>
      <c r="H39" s="61">
        <f t="shared" si="3"/>
        <v>0</v>
      </c>
    </row>
    <row r="40" spans="2:8" ht="13.8" thickBot="1" x14ac:dyDescent="0.3">
      <c r="B40" s="641"/>
      <c r="C40" s="64"/>
      <c r="D40" s="64"/>
      <c r="E40" s="64"/>
      <c r="F40" s="64"/>
      <c r="G40" s="64"/>
      <c r="H40" s="64"/>
    </row>
    <row r="41" spans="2:8" x14ac:dyDescent="0.25">
      <c r="B41" s="642"/>
      <c r="C41" s="63"/>
      <c r="D41" s="63"/>
      <c r="E41" s="63"/>
      <c r="F41" s="63"/>
      <c r="G41" s="63"/>
      <c r="H41" s="63"/>
    </row>
    <row r="42" spans="2:8" x14ac:dyDescent="0.25">
      <c r="B42" s="643" t="s">
        <v>16</v>
      </c>
      <c r="C42" s="65">
        <f>SUM(C26:C30)-SUM(C32:C33)-SUM(C38:C39)</f>
        <v>0</v>
      </c>
      <c r="D42" s="65"/>
      <c r="E42" s="65">
        <f>SUM(E26:E30)-SUM(E32:E33)-SUM(E38:E39)</f>
        <v>0</v>
      </c>
      <c r="F42" s="65">
        <f>SUM(F26:F30)-SUM(F32:F33)-SUM(F38:F39)</f>
        <v>0</v>
      </c>
      <c r="G42" s="65"/>
      <c r="H42" s="65">
        <f>SUM(H26:H30)-SUM(H32:H33)-SUM(H38:H39)</f>
        <v>0</v>
      </c>
    </row>
    <row r="43" spans="2:8" ht="13.8" thickBot="1" x14ac:dyDescent="0.3">
      <c r="B43" s="644"/>
      <c r="C43" s="645"/>
      <c r="D43" s="645"/>
      <c r="E43" s="645"/>
      <c r="F43" s="645"/>
      <c r="G43" s="645"/>
      <c r="H43" s="645"/>
    </row>
    <row r="44" spans="2:8" s="290" customFormat="1" x14ac:dyDescent="0.25">
      <c r="C44" s="646"/>
      <c r="D44" s="646"/>
      <c r="E44" s="646"/>
      <c r="F44" s="646"/>
      <c r="G44" s="646"/>
      <c r="H44" s="646"/>
    </row>
    <row r="45" spans="2:8" x14ac:dyDescent="0.25">
      <c r="B45" s="326" t="s">
        <v>401</v>
      </c>
      <c r="C45" s="212">
        <f>IF($D$20="elektriciteit",C42+SUM(C32:C33)-SUM('T1'!G118:G126)+'T1'!G171+'T1'!G179,IF($D$20="aardgas",C42+SUM(C32:C33)-SUM('T1'!H118:H126)+'T1'!H171+'T1'!H179,"FALSE"))</f>
        <v>0</v>
      </c>
      <c r="D45" s="328"/>
      <c r="E45" s="212"/>
      <c r="F45" s="212">
        <f>IF($G$20="elektriciteit",F42+SUM(F32:F33)-SUM('T1'!G25:G33)+'T1'!G78+'T1'!G86,IF($G$20="aardgas",F42+SUM(F32:F33)-SUM('T1'!H25:H33)+'T1'!H78+'T1'!H86,"FALSE"))</f>
        <v>0</v>
      </c>
      <c r="G45" s="647"/>
      <c r="H45" s="647"/>
    </row>
    <row r="46" spans="2:8" x14ac:dyDescent="0.25">
      <c r="B46" s="290"/>
    </row>
  </sheetData>
  <sheetProtection algorithmName="SHA-512" hashValue="oiT3RjPN+QJ/vtUgTgxglv8HqFRzRcFfZtf8YcV/evC7pETTurfWyVoCtIA1dQm+2a7gMP5/NXLMpFT2eJgs5w==" saltValue="nZsYXMUSHWtnlMXqCCFmPw==" spinCount="100000" sheet="1" objects="1" scenarios="1"/>
  <mergeCells count="7">
    <mergeCell ref="B1:H1"/>
    <mergeCell ref="E21:E22"/>
    <mergeCell ref="D21:D22"/>
    <mergeCell ref="C21:C22"/>
    <mergeCell ref="F21:F22"/>
    <mergeCell ref="G21:G22"/>
    <mergeCell ref="H21:H22"/>
  </mergeCells>
  <conditionalFormatting sqref="B32:H32">
    <cfRule type="expression" dxfId="6" priority="3">
      <formula>$D$20&lt;&gt;"elektriciteit"</formula>
    </cfRule>
  </conditionalFormatting>
  <pageMargins left="0.70866141732283472" right="0.70866141732283472" top="0.74803149606299213" bottom="0.74803149606299213" header="0.31496062992125984" footer="0.31496062992125984"/>
  <pageSetup paperSize="8"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aabf7fb0be0efa736609aefc912e377d">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ff94e258df4ab531b6825425a8be82e0"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F14F58-8030-4C46-9C92-59289AAA49D6}">
  <ds:schemaRefs>
    <ds:schemaRef ds:uri="http://purl.org/dc/elements/1.1/"/>
    <ds:schemaRef ds:uri="http://schemas.microsoft.com/office/2006/metadata/properties"/>
    <ds:schemaRef ds:uri="dc27eef4-d356-41e1-bcf3-2711032fb09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3f81be05-3666-4a6d-a1ba-3aeea25578fa"/>
    <ds:schemaRef ds:uri="http://www.w3.org/XML/1998/namespace"/>
    <ds:schemaRef ds:uri="http://purl.org/dc/dcmitype/"/>
  </ds:schemaRefs>
</ds:datastoreItem>
</file>

<file path=customXml/itemProps2.xml><?xml version="1.0" encoding="utf-8"?>
<ds:datastoreItem xmlns:ds="http://schemas.openxmlformats.org/officeDocument/2006/customXml" ds:itemID="{00491BF5-3C36-4B47-8AE3-EBA4D8E4B90B}"/>
</file>

<file path=customXml/itemProps3.xml><?xml version="1.0" encoding="utf-8"?>
<ds:datastoreItem xmlns:ds="http://schemas.openxmlformats.org/officeDocument/2006/customXml" ds:itemID="{D4BEDE54-BB5B-4579-B878-3C7E6FD719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15</vt:i4>
      </vt:variant>
    </vt:vector>
  </HeadingPairs>
  <TitlesOfParts>
    <vt:vector size="15" baseType="lpstr">
      <vt:lpstr>TITELBLAD</vt:lpstr>
      <vt:lpstr>ASSUMPTIES</vt:lpstr>
      <vt:lpstr>T1</vt:lpstr>
      <vt:lpstr>T2</vt:lpstr>
      <vt:lpstr>T3 - Overzicht</vt:lpstr>
      <vt:lpstr>T4</vt:lpstr>
      <vt:lpstr>T5A</vt:lpstr>
      <vt:lpstr>T5B</vt:lpstr>
      <vt:lpstr>T6</vt:lpstr>
      <vt:lpstr>T7</vt:lpstr>
      <vt:lpstr>T8</vt:lpstr>
      <vt:lpstr>T9</vt:lpstr>
      <vt:lpstr>T10A</vt:lpstr>
      <vt:lpstr>T10B</vt: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Vranken</dc:creator>
  <cp:lastModifiedBy>Niels Govaerts</cp:lastModifiedBy>
  <cp:lastPrinted>2014-10-07T13:33:46Z</cp:lastPrinted>
  <dcterms:created xsi:type="dcterms:W3CDTF">2010-08-23T12:30:26Z</dcterms:created>
  <dcterms:modified xsi:type="dcterms:W3CDTF">2024-03-27T15:34:09Z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ies>
</file>