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o365vreg.sharepoint.com/sites/KT_Tariefregulering/Gedeelde  documenten/Consultaties/2021 Q3b ODV aardgas exo/4 consultatieverslag/"/>
    </mc:Choice>
  </mc:AlternateContent>
  <xr:revisionPtr revIDLastSave="2913" documentId="13_ncr:1_{F49BF1A2-1D2C-4545-98DB-33764C8B2749}" xr6:coauthVersionLast="47" xr6:coauthVersionMax="47" xr10:uidLastSave="{169C9F4F-45B4-45E7-8252-B79F4DD0B2B3}"/>
  <bookViews>
    <workbookView xWindow="1080" yWindow="1305" windowWidth="14400" windowHeight="9000" tabRatio="781" activeTab="4" xr2:uid="{00000000-000D-0000-FFFF-FFFF00000000}"/>
  </bookViews>
  <sheets>
    <sheet name="TITELBLAD" sheetId="1" r:id="rId1"/>
    <sheet name="--&gt; EXO" sheetId="31" r:id="rId2"/>
    <sheet name="T1" sheetId="2" r:id="rId3"/>
    <sheet name="T2 - Overzicht" sheetId="4" r:id="rId4"/>
    <sheet name="T3" sheetId="5" r:id="rId5"/>
    <sheet name="T4A" sheetId="7" r:id="rId6"/>
    <sheet name="T4B" sheetId="19" r:id="rId7"/>
    <sheet name="T5A" sheetId="8" r:id="rId8"/>
    <sheet name="T5B" sheetId="26" r:id="rId9"/>
    <sheet name="T5C" sheetId="13" r:id="rId10"/>
    <sheet name="T5D" sheetId="15" r:id="rId11"/>
    <sheet name="T5E" sheetId="16" r:id="rId12"/>
    <sheet name="T5F" sheetId="28" r:id="rId13"/>
    <sheet name="T6A" sheetId="22" r:id="rId14"/>
    <sheet name="T6B" sheetId="29" r:id="rId15"/>
    <sheet name="T7" sheetId="25" r:id="rId16"/>
    <sheet name="T8" sheetId="30" r:id="rId17"/>
    <sheet name="--&gt; ENDO" sheetId="32" r:id="rId18"/>
    <sheet name="T9 - Overzicht" sheetId="33" r:id="rId19"/>
    <sheet name="T10" sheetId="34" r:id="rId20"/>
    <sheet name="T11" sheetId="42" r:id="rId21"/>
    <sheet name="T12" sheetId="35" r:id="rId22"/>
    <sheet name="T13A" sheetId="36" r:id="rId23"/>
    <sheet name="T13B" sheetId="37" r:id="rId24"/>
    <sheet name="T13C" sheetId="38" r:id="rId25"/>
    <sheet name="T13D" sheetId="39" r:id="rId26"/>
    <sheet name="T14" sheetId="40" r:id="rId27"/>
    <sheet name="Werkblad" sheetId="43" r:id="rId28"/>
  </sheets>
  <externalReferences>
    <externalReference r:id="rId29"/>
    <externalReference r:id="rId30"/>
    <externalReference r:id="rId31"/>
    <externalReference r:id="rId32"/>
    <externalReference r:id="rId33"/>
  </externalReferences>
  <definedNames>
    <definedName name="_ftn2" localSheetId="0">TITELBLAD!#REF!</definedName>
    <definedName name="_ftn3" localSheetId="0">TITELBLAD!#REF!</definedName>
    <definedName name="_ftnref2" localSheetId="0">TITELBLAD!#REF!</definedName>
    <definedName name="_ftnref3" localSheetId="0">TITELBLAD!#REF!</definedName>
    <definedName name="a" localSheetId="22">#REF!</definedName>
    <definedName name="a" localSheetId="23">#REF!</definedName>
    <definedName name="a" localSheetId="24">#REF!</definedName>
    <definedName name="a" localSheetId="25">#REF!</definedName>
    <definedName name="a" localSheetId="26">#REF!</definedName>
    <definedName name="a">#REF!</definedName>
    <definedName name="_xlnm.Print_Area" localSheetId="2">'T1'!$B$1:$R$81</definedName>
    <definedName name="_xlnm.Print_Area" localSheetId="19">'T10'!$A$1:$K$17</definedName>
    <definedName name="_xlnm.Print_Area" localSheetId="20">'T11'!$A$1:$K$16</definedName>
    <definedName name="_xlnm.Print_Area" localSheetId="21">'T12'!$A$1:$N$23</definedName>
    <definedName name="_xlnm.Print_Area" localSheetId="22">T13A!$A$1:$J$66</definedName>
    <definedName name="_xlnm.Print_Area" localSheetId="23">T13B!$A$1:$J$66</definedName>
    <definedName name="_xlnm.Print_Area" localSheetId="24">T13C!$A$1:$Q$14</definedName>
    <definedName name="_xlnm.Print_Area" localSheetId="25">T13D!$A$1:$Q$14</definedName>
    <definedName name="_xlnm.Print_Area" localSheetId="3">'T2 - Overzicht'!$A$1:$F$29</definedName>
    <definedName name="_xlnm.Print_Area" localSheetId="4">'T3'!$A$1:$O$229</definedName>
    <definedName name="_xlnm.Print_Area" localSheetId="5">T4A!$A$1:$Q$69</definedName>
    <definedName name="_xlnm.Print_Area" localSheetId="6">T4B!$A$1:$R$821</definedName>
    <definedName name="_xlnm.Print_Area" localSheetId="7">T5A!$A$1:$Q$105</definedName>
    <definedName name="_xlnm.Print_Area" localSheetId="8">T5B!$A$1:$R$718</definedName>
    <definedName name="_xlnm.Print_Area" localSheetId="9">T5C!$A$1:$Q$40</definedName>
    <definedName name="_xlnm.Print_Area" localSheetId="10">T5D!$A$1:$O$27</definedName>
    <definedName name="_xlnm.Print_Area" localSheetId="11">T5E!$A$1:$Q$37</definedName>
    <definedName name="_xlnm.Print_Area" localSheetId="12">T5F!$A$1:$J$28</definedName>
    <definedName name="_xlnm.Print_Area" localSheetId="13">T6A!$A$1:$O$128</definedName>
    <definedName name="_xlnm.Print_Area" localSheetId="14">T6B!$A$1:$P$647</definedName>
    <definedName name="_xlnm.Print_Area" localSheetId="15">'T7'!$A$1:$O$61</definedName>
    <definedName name="_xlnm.Print_Area" localSheetId="16">'T8'!$A$1:$K$49</definedName>
    <definedName name="_xlnm.Print_Area" localSheetId="0">TITELBLAD!$A$1:$Q$39</definedName>
    <definedName name="_xlnm.Print_Titles" localSheetId="5">T4A!$2:$2</definedName>
    <definedName name="_xlnm.Print_Titles" localSheetId="7">T5A!$2:$2</definedName>
    <definedName name="_xlnm.Print_Titles" localSheetId="13">T6A!$2:$2</definedName>
    <definedName name="_xlnm.Print_Titles" localSheetId="15">'T7'!$2:$2</definedName>
    <definedName name="_xlnm.Print_Titles" localSheetId="16">'T8'!$2:$2</definedName>
    <definedName name="Aftakklem_LS" localSheetId="5">'[1]BASISPRIJZEN MATERIAAL'!$I$188</definedName>
    <definedName name="Aftakklem_LS" localSheetId="7">'[1]BASISPRIJZEN MATERIAAL'!$I$188</definedName>
    <definedName name="Aftakklem_LS" localSheetId="10">'[2]BASISPRIJZEN MATERIAAL'!$I$188</definedName>
    <definedName name="Aftakklem_LS" localSheetId="13">'[1]BASISPRIJZEN MATERIAAL'!$I$188</definedName>
    <definedName name="Aftakklem_LS" localSheetId="15">'[1]BASISPRIJZEN MATERIAAL'!$I$188</definedName>
    <definedName name="Aftakklem_LS" localSheetId="16">'[1]BASISPRIJZEN MATERIAAL'!$I$188</definedName>
    <definedName name="Aftakklem_LS" localSheetId="0">'[3]BASISPRIJZEN MATERIAAL'!$I$188</definedName>
    <definedName name="Aftakklem_LS">'[1]BASISPRIJZEN MATERIAAL'!$I$188</definedName>
    <definedName name="Codes" localSheetId="5">'[4]Codes des IM'!$B$2:$D$23</definedName>
    <definedName name="Codes" localSheetId="7">'[4]Codes des IM'!$B$2:$D$23</definedName>
    <definedName name="Codes" localSheetId="10">'[5]Codes des IM'!$B$2:$D$23</definedName>
    <definedName name="Codes" localSheetId="13">'[4]Codes des IM'!$B$2:$D$23</definedName>
    <definedName name="Codes" localSheetId="15">'[4]Codes des IM'!$B$2:$D$23</definedName>
    <definedName name="Codes" localSheetId="16">'[4]Codes des IM'!$B$2:$D$23</definedName>
    <definedName name="Codes" localSheetId="0">'[5]Codes des IM'!$B$2:$D$23</definedName>
    <definedName name="Codes">'[4]Codes des IM'!$B$2:$D$23</definedName>
    <definedName name="Forfaitair_feeder">75000</definedName>
    <definedName name="Hangslot" localSheetId="5">'[1]BASISPRIJZEN MATERIAAL'!$I$138</definedName>
    <definedName name="Hangslot" localSheetId="7">'[1]BASISPRIJZEN MATERIAAL'!$I$138</definedName>
    <definedName name="Hangslot" localSheetId="10">'[2]BASISPRIJZEN MATERIAAL'!$I$138</definedName>
    <definedName name="Hangslot" localSheetId="13">'[1]BASISPRIJZEN MATERIAAL'!$I$138</definedName>
    <definedName name="Hangslot" localSheetId="15">'[1]BASISPRIJZEN MATERIAAL'!$I$138</definedName>
    <definedName name="Hangslot" localSheetId="16">'[1]BASISPRIJZEN MATERIAAL'!$I$138</definedName>
    <definedName name="Hangslot" localSheetId="0">'[3]BASISPRIJZEN MATERIAAL'!$I$138</definedName>
    <definedName name="Hangslot">'[1]BASISPRIJZEN MATERIAAL'!$I$138</definedName>
    <definedName name="Kabelschoen_HS" localSheetId="5">'[1]BASISPRIJZEN MATERIAAL'!$I$201</definedName>
    <definedName name="Kabelschoen_HS" localSheetId="7">'[1]BASISPRIJZEN MATERIAAL'!$I$201</definedName>
    <definedName name="Kabelschoen_HS" localSheetId="10">'[2]BASISPRIJZEN MATERIAAL'!$I$201</definedName>
    <definedName name="Kabelschoen_HS" localSheetId="13">'[1]BASISPRIJZEN MATERIAAL'!$I$201</definedName>
    <definedName name="Kabelschoen_HS" localSheetId="15">'[1]BASISPRIJZEN MATERIAAL'!$I$201</definedName>
    <definedName name="Kabelschoen_HS" localSheetId="16">'[1]BASISPRIJZEN MATERIAAL'!$I$201</definedName>
    <definedName name="Kabelschoen_HS" localSheetId="0">'[3]BASISPRIJZEN MATERIAAL'!$I$201</definedName>
    <definedName name="Kabelschoen_HS">'[1]BASISPRIJZEN MATERIAAL'!$I$201</definedName>
    <definedName name="Kabelschoen_LS" localSheetId="5">'[1]BASISPRIJZEN MATERIAAL'!$I$198</definedName>
    <definedName name="Kabelschoen_LS" localSheetId="7">'[1]BASISPRIJZEN MATERIAAL'!$I$198</definedName>
    <definedName name="Kabelschoen_LS" localSheetId="10">'[2]BASISPRIJZEN MATERIAAL'!$I$198</definedName>
    <definedName name="Kabelschoen_LS" localSheetId="13">'[1]BASISPRIJZEN MATERIAAL'!$I$198</definedName>
    <definedName name="Kabelschoen_LS" localSheetId="15">'[1]BASISPRIJZEN MATERIAAL'!$I$198</definedName>
    <definedName name="Kabelschoen_LS" localSheetId="16">'[1]BASISPRIJZEN MATERIAAL'!$I$198</definedName>
    <definedName name="Kabelschoen_LS" localSheetId="0">'[3]BASISPRIJZEN MATERIAAL'!$I$198</definedName>
    <definedName name="Kabelschoen_LS">'[1]BASISPRIJZEN MATERIAAL'!$I$198</definedName>
    <definedName name="Kit_kunststof_AL" localSheetId="5">'[1]BASISPRIJZEN MATERIAAL'!$I$190</definedName>
    <definedName name="Kit_kunststof_AL" localSheetId="7">'[1]BASISPRIJZEN MATERIAAL'!$I$190</definedName>
    <definedName name="Kit_kunststof_AL" localSheetId="10">'[2]BASISPRIJZEN MATERIAAL'!$I$190</definedName>
    <definedName name="Kit_kunststof_AL" localSheetId="13">'[1]BASISPRIJZEN MATERIAAL'!$I$190</definedName>
    <definedName name="Kit_kunststof_AL" localSheetId="15">'[1]BASISPRIJZEN MATERIAAL'!$I$190</definedName>
    <definedName name="Kit_kunststof_AL" localSheetId="16">'[1]BASISPRIJZEN MATERIAAL'!$I$190</definedName>
    <definedName name="Kit_kunststof_AL" localSheetId="0">'[3]BASISPRIJZEN MATERIAAL'!$I$190</definedName>
    <definedName name="Kit_kunststof_AL">'[1]BASISPRIJZEN MATERIAAL'!$I$190</definedName>
    <definedName name="Kit_kunststof_papierlood" localSheetId="5">'[1]BASISPRIJZEN MATERIAAL'!$I$191</definedName>
    <definedName name="Kit_kunststof_papierlood" localSheetId="7">'[1]BASISPRIJZEN MATERIAAL'!$I$191</definedName>
    <definedName name="Kit_kunststof_papierlood" localSheetId="10">'[2]BASISPRIJZEN MATERIAAL'!$I$191</definedName>
    <definedName name="Kit_kunststof_papierlood" localSheetId="13">'[1]BASISPRIJZEN MATERIAAL'!$I$191</definedName>
    <definedName name="Kit_kunststof_papierlood" localSheetId="15">'[1]BASISPRIJZEN MATERIAAL'!$I$191</definedName>
    <definedName name="Kit_kunststof_papierlood" localSheetId="16">'[1]BASISPRIJZEN MATERIAAL'!$I$191</definedName>
    <definedName name="Kit_kunststof_papierlood" localSheetId="0">'[3]BASISPRIJZEN MATERIAAL'!$I$191</definedName>
    <definedName name="Kit_kunststof_papierlood">'[1]BASISPRIJZEN MATERIAAL'!$I$191</definedName>
    <definedName name="Kit_papierlood" localSheetId="5">'[1]BASISPRIJZEN MATERIAAL'!$I$189</definedName>
    <definedName name="Kit_papierlood" localSheetId="7">'[1]BASISPRIJZEN MATERIAAL'!$I$189</definedName>
    <definedName name="Kit_papierlood" localSheetId="10">'[2]BASISPRIJZEN MATERIAAL'!$I$189</definedName>
    <definedName name="Kit_papierlood" localSheetId="13">'[1]BASISPRIJZEN MATERIAAL'!$I$189</definedName>
    <definedName name="Kit_papierlood" localSheetId="15">'[1]BASISPRIJZEN MATERIAAL'!$I$189</definedName>
    <definedName name="Kit_papierlood" localSheetId="16">'[1]BASISPRIJZEN MATERIAAL'!$I$189</definedName>
    <definedName name="Kit_papierlood" localSheetId="0">'[3]BASISPRIJZEN MATERIAAL'!$I$189</definedName>
    <definedName name="Kit_papierlood">'[1]BASISPRIJZEN MATERIAAL'!$I$189</definedName>
    <definedName name="Klein_materiaal_10">10</definedName>
    <definedName name="Klein_materiaal_100">100</definedName>
    <definedName name="Klein_materiaal_25">25</definedName>
    <definedName name="Plaat_postnummer_telefoon" localSheetId="5">'[1]BASISPRIJZEN MATERIAAL'!$I$160</definedName>
    <definedName name="Plaat_postnummer_telefoon" localSheetId="7">'[1]BASISPRIJZEN MATERIAAL'!$I$160</definedName>
    <definedName name="Plaat_postnummer_telefoon" localSheetId="10">'[2]BASISPRIJZEN MATERIAAL'!$I$160</definedName>
    <definedName name="Plaat_postnummer_telefoon" localSheetId="13">'[1]BASISPRIJZEN MATERIAAL'!$I$160</definedName>
    <definedName name="Plaat_postnummer_telefoon" localSheetId="15">'[1]BASISPRIJZEN MATERIAAL'!$I$160</definedName>
    <definedName name="Plaat_postnummer_telefoon" localSheetId="16">'[1]BASISPRIJZEN MATERIAAL'!$I$160</definedName>
    <definedName name="Plaat_postnummer_telefoon" localSheetId="0">'[3]BASISPRIJZEN MATERIAAL'!$I$160</definedName>
    <definedName name="Plaat_postnummer_telefoon">'[1]BASISPRIJZEN MATERIAAL'!$I$160</definedName>
    <definedName name="SAPBEXrevision" localSheetId="11" hidden="1">23</definedName>
    <definedName name="SAPBEXrevision" localSheetId="12" hidden="1">23</definedName>
    <definedName name="SAPBEXrevision" hidden="1">10</definedName>
    <definedName name="SAPBEXsysID" hidden="1">"BP1"</definedName>
    <definedName name="SAPBEXwbID" localSheetId="11" hidden="1">"3OXN00JDSWKKLN5ZRDB3JJU3L"</definedName>
    <definedName name="SAPBEXwbID" localSheetId="12" hidden="1">"3OXN00JDSWKKLN5ZRDB3JJU3L"</definedName>
    <definedName name="SAPBEXwbID" hidden="1">"4751QXOCD67AJ09JC6QHJDZY6"</definedName>
    <definedName name="Sleutelkastje" localSheetId="5">'[1]BASISPRIJZEN MATERIAAL'!$I$159</definedName>
    <definedName name="Sleutelkastje" localSheetId="7">'[1]BASISPRIJZEN MATERIAAL'!$I$159</definedName>
    <definedName name="Sleutelkastje" localSheetId="10">'[2]BASISPRIJZEN MATERIAAL'!$I$159</definedName>
    <definedName name="Sleutelkastje" localSheetId="13">'[1]BASISPRIJZEN MATERIAAL'!$I$159</definedName>
    <definedName name="Sleutelkastje" localSheetId="15">'[1]BASISPRIJZEN MATERIAAL'!$I$159</definedName>
    <definedName name="Sleutelkastje" localSheetId="16">'[1]BASISPRIJZEN MATERIAAL'!$I$159</definedName>
    <definedName name="Sleutelkastje" localSheetId="0">'[3]BASISPRIJZEN MATERIAAL'!$I$159</definedName>
    <definedName name="Sleutelkastje">'[1]BASISPRIJZEN MATERIAAL'!$I$159</definedName>
    <definedName name="Slot_voor_sleutelkastje" localSheetId="5">'[1]BASISPRIJZEN MATERIAAL'!$I$158</definedName>
    <definedName name="Slot_voor_sleutelkastje" localSheetId="7">'[1]BASISPRIJZEN MATERIAAL'!$I$158</definedName>
    <definedName name="Slot_voor_sleutelkastje" localSheetId="10">'[2]BASISPRIJZEN MATERIAAL'!$I$158</definedName>
    <definedName name="Slot_voor_sleutelkastje" localSheetId="13">'[1]BASISPRIJZEN MATERIAAL'!$I$158</definedName>
    <definedName name="Slot_voor_sleutelkastje" localSheetId="15">'[1]BASISPRIJZEN MATERIAAL'!$I$158</definedName>
    <definedName name="Slot_voor_sleutelkastje" localSheetId="16">'[1]BASISPRIJZEN MATERIAAL'!$I$158</definedName>
    <definedName name="Slot_voor_sleutelkastje" localSheetId="0">'[3]BASISPRIJZEN MATERIAAL'!$I$158</definedName>
    <definedName name="Slot_voor_sleutelkastje">'[1]BASISPRIJZEN MATERIAAL'!$I$158</definedName>
    <definedName name="Terminal_kunststof" localSheetId="5">'[1]BASISPRIJZEN MATERIAAL'!$I$195</definedName>
    <definedName name="Terminal_kunststof" localSheetId="7">'[1]BASISPRIJZEN MATERIAAL'!$I$195</definedName>
    <definedName name="Terminal_kunststof" localSheetId="10">'[2]BASISPRIJZEN MATERIAAL'!$I$195</definedName>
    <definedName name="Terminal_kunststof" localSheetId="13">'[1]BASISPRIJZEN MATERIAAL'!$I$195</definedName>
    <definedName name="Terminal_kunststof" localSheetId="15">'[1]BASISPRIJZEN MATERIAAL'!$I$195</definedName>
    <definedName name="Terminal_kunststof" localSheetId="16">'[1]BASISPRIJZEN MATERIAAL'!$I$195</definedName>
    <definedName name="Terminal_kunststof" localSheetId="0">'[3]BASISPRIJZEN MATERIAAL'!$I$195</definedName>
    <definedName name="Terminal_kunststof">'[1]BASISPRIJZEN MATERIAAL'!$I$195</definedName>
    <definedName name="Terminal_LS" localSheetId="5">'[1]BASISPRIJZEN MATERIAAL'!$I$200</definedName>
    <definedName name="Terminal_LS" localSheetId="7">'[1]BASISPRIJZEN MATERIAAL'!$I$200</definedName>
    <definedName name="Terminal_LS" localSheetId="10">'[2]BASISPRIJZEN MATERIAAL'!$I$200</definedName>
    <definedName name="Terminal_LS" localSheetId="13">'[1]BASISPRIJZEN MATERIAAL'!$I$200</definedName>
    <definedName name="Terminal_LS" localSheetId="15">'[1]BASISPRIJZEN MATERIAAL'!$I$200</definedName>
    <definedName name="Terminal_LS" localSheetId="16">'[1]BASISPRIJZEN MATERIAAL'!$I$200</definedName>
    <definedName name="Terminal_LS" localSheetId="0">'[3]BASISPRIJZEN MATERIAAL'!$I$200</definedName>
    <definedName name="Terminal_LS">'[1]BASISPRIJZEN MATERIAAL'!$I$200</definedName>
    <definedName name="Traduction1" localSheetId="5">'[4]Codes des IM'!$A$28:$D$1853</definedName>
    <definedName name="Traduction1" localSheetId="7">'[4]Codes des IM'!$A$28:$D$1853</definedName>
    <definedName name="Traduction1" localSheetId="10">'[5]Codes des IM'!$A$28:$D$1853</definedName>
    <definedName name="Traduction1" localSheetId="13">'[4]Codes des IM'!$A$28:$D$1853</definedName>
    <definedName name="Traduction1" localSheetId="15">'[4]Codes des IM'!$A$28:$D$1853</definedName>
    <definedName name="Traduction1" localSheetId="16">'[4]Codes des IM'!$A$28:$D$1853</definedName>
    <definedName name="Traduction1" localSheetId="0">'[5]Codes des IM'!$A$28:$D$1853</definedName>
    <definedName name="Traduction1">'[4]Codes des IM'!$A$28:$D$1853</definedName>
    <definedName name="Verbinder_kunststof_M4" localSheetId="5">'[1]BASISPRIJZEN MATERIAAL'!$I$192</definedName>
    <definedName name="Verbinder_kunststof_M4" localSheetId="7">'[1]BASISPRIJZEN MATERIAAL'!$I$192</definedName>
    <definedName name="Verbinder_kunststof_M4" localSheetId="10">'[2]BASISPRIJZEN MATERIAAL'!$I$192</definedName>
    <definedName name="Verbinder_kunststof_M4" localSheetId="13">'[1]BASISPRIJZEN MATERIAAL'!$I$192</definedName>
    <definedName name="Verbinder_kunststof_M4" localSheetId="15">'[1]BASISPRIJZEN MATERIAAL'!$I$192</definedName>
    <definedName name="Verbinder_kunststof_M4" localSheetId="16">'[1]BASISPRIJZEN MATERIAAL'!$I$192</definedName>
    <definedName name="Verbinder_kunststof_M4" localSheetId="0">'[3]BASISPRIJZEN MATERIAAL'!$I$192</definedName>
    <definedName name="Verbinder_kunststof_M4">'[1]BASISPRIJZEN MATERIAAL'!$I$192</definedName>
    <definedName name="Verbinder_kunststof_papierlood_M3" localSheetId="5">'[1]BASISPRIJZEN MATERIAAL'!$I$192</definedName>
    <definedName name="Verbinder_kunststof_papierlood_M3" localSheetId="7">'[1]BASISPRIJZEN MATERIAAL'!$I$192</definedName>
    <definedName name="Verbinder_kunststof_papierlood_M3" localSheetId="10">'[2]BASISPRIJZEN MATERIAAL'!$I$192</definedName>
    <definedName name="Verbinder_kunststof_papierlood_M3" localSheetId="13">'[1]BASISPRIJZEN MATERIAAL'!$I$192</definedName>
    <definedName name="Verbinder_kunststof_papierlood_M3" localSheetId="15">'[1]BASISPRIJZEN MATERIAAL'!$I$192</definedName>
    <definedName name="Verbinder_kunststof_papierlood_M3" localSheetId="16">'[1]BASISPRIJZEN MATERIAAL'!$I$192</definedName>
    <definedName name="Verbinder_kunststof_papierlood_M3" localSheetId="0">'[3]BASISPRIJZEN MATERIAAL'!$I$192</definedName>
    <definedName name="Verbinder_kunststof_papierlood_M3">'[1]BASISPRIJZEN MATERIAAL'!$I$192</definedName>
    <definedName name="Verbinder_papierlood_M3" localSheetId="5">'[1]BASISPRIJZEN MATERIAAL'!$I$192</definedName>
    <definedName name="Verbinder_papierlood_M3" localSheetId="7">'[1]BASISPRIJZEN MATERIAAL'!$I$192</definedName>
    <definedName name="Verbinder_papierlood_M3" localSheetId="10">'[2]BASISPRIJZEN MATERIAAL'!$I$192</definedName>
    <definedName name="Verbinder_papierlood_M3" localSheetId="13">'[1]BASISPRIJZEN MATERIAAL'!$I$192</definedName>
    <definedName name="Verbinder_papierlood_M3" localSheetId="15">'[1]BASISPRIJZEN MATERIAAL'!$I$192</definedName>
    <definedName name="Verbinder_papierlood_M3" localSheetId="16">'[1]BASISPRIJZEN MATERIAAL'!$I$192</definedName>
    <definedName name="Verbinder_papierlood_M3" localSheetId="0">'[3]BASISPRIJZEN MATERIAAL'!$I$192</definedName>
    <definedName name="Verbinder_papierlood_M3">'[1]BASISPRIJZEN MATERIAAL'!$I$192</definedName>
    <definedName name="Wikkeldoos_LS" localSheetId="5">'[1]BASISPRIJZEN MATERIAAL'!$I$199</definedName>
    <definedName name="Wikkeldoos_LS" localSheetId="7">'[1]BASISPRIJZEN MATERIAAL'!$I$199</definedName>
    <definedName name="Wikkeldoos_LS" localSheetId="10">'[2]BASISPRIJZEN MATERIAAL'!$I$199</definedName>
    <definedName name="Wikkeldoos_LS" localSheetId="13">'[1]BASISPRIJZEN MATERIAAL'!$I$199</definedName>
    <definedName name="Wikkeldoos_LS" localSheetId="15">'[1]BASISPRIJZEN MATERIAAL'!$I$199</definedName>
    <definedName name="Wikkeldoos_LS" localSheetId="16">'[1]BASISPRIJZEN MATERIAAL'!$I$199</definedName>
    <definedName name="Wikkeldoos_LS" localSheetId="0">'[3]BASISPRIJZEN MATERIAAL'!$I$199</definedName>
    <definedName name="Wikkeldoos_LS">'[1]BASISPRIJZEN MATERIAAL'!$I$199</definedName>
    <definedName name="Z_C8C7977F_B6BF_432B_A1A7_559450D521AF_.wvu.PrintArea" localSheetId="5" hidden="1">T4A!$A$1:$Q$69</definedName>
    <definedName name="Z_C8C7977F_B6BF_432B_A1A7_559450D521AF_.wvu.PrintArea" localSheetId="7" hidden="1">T5A!$A$1:$Q$105</definedName>
    <definedName name="Z_C8C7977F_B6BF_432B_A1A7_559450D521AF_.wvu.PrintArea" localSheetId="13" hidden="1">T6A!$A$1:$O$128</definedName>
    <definedName name="Z_C8C7977F_B6BF_432B_A1A7_559450D521AF_.wvu.PrintArea" localSheetId="15" hidden="1">'T7'!$A$1:$O$61</definedName>
    <definedName name="Z_C8C7977F_B6BF_432B_A1A7_559450D521AF_.wvu.PrintArea" localSheetId="16" hidden="1">'T8'!$A$1:$K$49</definedName>
    <definedName name="Z_C8C7977F_B6BF_432B_A1A7_559450D521AF_.wvu.PrintArea" localSheetId="0" hidden="1">TITELBLAD!$A$1:$Q$39</definedName>
    <definedName name="Z_C8C7977F_B6BF_432B_A1A7_559450D521AF_.wvu.PrintTitles" localSheetId="5" hidden="1">T4A!$2:$2</definedName>
    <definedName name="Z_C8C7977F_B6BF_432B_A1A7_559450D521AF_.wvu.PrintTitles" localSheetId="7" hidden="1">T5A!$2:$2</definedName>
    <definedName name="Z_C8C7977F_B6BF_432B_A1A7_559450D521AF_.wvu.PrintTitles" localSheetId="13" hidden="1">T6A!$2:$2</definedName>
    <definedName name="Z_C8C7977F_B6BF_432B_A1A7_559450D521AF_.wvu.PrintTitles" localSheetId="15" hidden="1">'T7'!$2:$2</definedName>
    <definedName name="Z_C8C7977F_B6BF_432B_A1A7_559450D521AF_.wvu.PrintTitles" localSheetId="16" hidden="1">'T8'!$2:$2</definedName>
  </definedNames>
  <calcPr calcId="191029"/>
  <customWorkbookViews>
    <customWorkbookView name="Marc Michiels - Persoonlijke weergave" guid="{C8C7977F-B6BF-432B-A1A7-559450D521AF}" mergeInterval="0" personalView="1" maximized="1" windowWidth="1280" windowHeight="798" tabRatio="791" activeSheetId="8"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2" i="5" l="1"/>
  <c r="A167" i="5"/>
  <c r="A165" i="5"/>
  <c r="J73" i="39"/>
  <c r="J72" i="39"/>
  <c r="J71" i="39"/>
  <c r="J70" i="39"/>
  <c r="J69" i="39"/>
  <c r="J68" i="39"/>
  <c r="J67" i="39"/>
  <c r="J66" i="39"/>
  <c r="J65" i="39"/>
  <c r="J64" i="39"/>
  <c r="J63" i="39"/>
  <c r="J62" i="39"/>
  <c r="J61" i="39"/>
  <c r="J60" i="39"/>
  <c r="J59" i="39"/>
  <c r="J58" i="39"/>
  <c r="J57" i="39"/>
  <c r="J56" i="39"/>
  <c r="J55" i="39"/>
  <c r="J54" i="39"/>
  <c r="J53" i="39"/>
  <c r="J52" i="39"/>
  <c r="J51" i="39"/>
  <c r="J50" i="39"/>
  <c r="I48" i="39"/>
  <c r="H48" i="39"/>
  <c r="J40" i="39"/>
  <c r="J39" i="39"/>
  <c r="J38" i="39"/>
  <c r="J37" i="39"/>
  <c r="J36" i="39"/>
  <c r="J35" i="39"/>
  <c r="J34" i="39"/>
  <c r="J33" i="39"/>
  <c r="J32" i="39"/>
  <c r="J31" i="39"/>
  <c r="J30" i="39"/>
  <c r="J29" i="39"/>
  <c r="J28" i="39"/>
  <c r="J27" i="39"/>
  <c r="J26" i="39"/>
  <c r="J25" i="39"/>
  <c r="J24" i="39"/>
  <c r="J23" i="39"/>
  <c r="J22" i="39"/>
  <c r="J21" i="39"/>
  <c r="J20" i="39"/>
  <c r="J19" i="39"/>
  <c r="J18" i="39"/>
  <c r="J17" i="39"/>
  <c r="I15" i="39"/>
  <c r="H15" i="39"/>
  <c r="I75" i="39"/>
  <c r="I42" i="39"/>
  <c r="I48" i="38"/>
  <c r="J73" i="38"/>
  <c r="J72" i="38"/>
  <c r="J71" i="38"/>
  <c r="J70" i="38"/>
  <c r="J69" i="38"/>
  <c r="J68" i="38"/>
  <c r="J67" i="38"/>
  <c r="J66" i="38"/>
  <c r="J65" i="38"/>
  <c r="J64" i="38"/>
  <c r="J63" i="38"/>
  <c r="J62" i="38"/>
  <c r="J61" i="38"/>
  <c r="J60" i="38"/>
  <c r="J59" i="38"/>
  <c r="J58" i="38"/>
  <c r="J57" i="38"/>
  <c r="J56" i="38"/>
  <c r="J55" i="38"/>
  <c r="J54" i="38"/>
  <c r="J53" i="38"/>
  <c r="J52" i="38"/>
  <c r="J51" i="38"/>
  <c r="J50" i="38"/>
  <c r="H48" i="38"/>
  <c r="J40" i="38"/>
  <c r="J39" i="38"/>
  <c r="J38" i="38"/>
  <c r="J37" i="38"/>
  <c r="J36" i="38"/>
  <c r="J35" i="38"/>
  <c r="J34" i="38"/>
  <c r="J33" i="38"/>
  <c r="J32" i="38"/>
  <c r="J31" i="38"/>
  <c r="J30" i="38"/>
  <c r="J29" i="38"/>
  <c r="J28" i="38"/>
  <c r="J27" i="38"/>
  <c r="J26" i="38"/>
  <c r="J25" i="38"/>
  <c r="J24" i="38"/>
  <c r="J23" i="38"/>
  <c r="J22" i="38"/>
  <c r="J21" i="38"/>
  <c r="J20" i="38"/>
  <c r="J19" i="38"/>
  <c r="J18" i="38"/>
  <c r="J17" i="38"/>
  <c r="I15" i="38"/>
  <c r="H15" i="38"/>
  <c r="I75" i="38"/>
  <c r="I42" i="38"/>
  <c r="J115" i="37"/>
  <c r="J114" i="37"/>
  <c r="J113" i="37"/>
  <c r="J112" i="37"/>
  <c r="J111" i="37"/>
  <c r="J110" i="37"/>
  <c r="J109" i="37"/>
  <c r="J108" i="37"/>
  <c r="J107" i="37"/>
  <c r="J106" i="37"/>
  <c r="J105" i="37"/>
  <c r="J104" i="37"/>
  <c r="J103" i="37"/>
  <c r="J102" i="37"/>
  <c r="J101" i="37"/>
  <c r="J100" i="37"/>
  <c r="J99" i="37"/>
  <c r="J98" i="37"/>
  <c r="J97" i="37"/>
  <c r="J96" i="37"/>
  <c r="J95" i="37"/>
  <c r="J94" i="37"/>
  <c r="J93" i="37"/>
  <c r="J92" i="37"/>
  <c r="J91" i="37"/>
  <c r="J90" i="37"/>
  <c r="J89" i="37"/>
  <c r="J88" i="37"/>
  <c r="J87" i="37"/>
  <c r="J86" i="37"/>
  <c r="J85" i="37"/>
  <c r="J84" i="37"/>
  <c r="J83" i="37"/>
  <c r="J82" i="37"/>
  <c r="J81" i="37"/>
  <c r="J80" i="37"/>
  <c r="J79" i="37"/>
  <c r="J78" i="37"/>
  <c r="J77" i="37"/>
  <c r="J76" i="37"/>
  <c r="J75" i="37"/>
  <c r="J74" i="37"/>
  <c r="J73" i="37"/>
  <c r="J72" i="37"/>
  <c r="J71" i="37"/>
  <c r="I69" i="37"/>
  <c r="H69" i="37"/>
  <c r="J19" i="37"/>
  <c r="J61" i="37"/>
  <c r="J60" i="37"/>
  <c r="J59" i="37"/>
  <c r="J58" i="37"/>
  <c r="J57" i="37"/>
  <c r="J56" i="37"/>
  <c r="J55" i="37"/>
  <c r="J54" i="37"/>
  <c r="J53" i="37"/>
  <c r="J52" i="37"/>
  <c r="J51" i="37"/>
  <c r="J50" i="37"/>
  <c r="J49" i="37"/>
  <c r="J48" i="37"/>
  <c r="J47" i="37"/>
  <c r="J46" i="37"/>
  <c r="J45" i="37"/>
  <c r="J44" i="37"/>
  <c r="J43" i="37"/>
  <c r="J42" i="37"/>
  <c r="J41" i="37"/>
  <c r="J40" i="37"/>
  <c r="J39" i="37"/>
  <c r="J38" i="37"/>
  <c r="J37" i="37"/>
  <c r="J36" i="37"/>
  <c r="J35" i="37"/>
  <c r="J34" i="37"/>
  <c r="J33" i="37"/>
  <c r="J32" i="37"/>
  <c r="J31" i="37"/>
  <c r="J30" i="37"/>
  <c r="J29" i="37"/>
  <c r="J28" i="37"/>
  <c r="J27" i="37"/>
  <c r="J26" i="37"/>
  <c r="J25" i="37"/>
  <c r="J24" i="37"/>
  <c r="J23" i="37"/>
  <c r="J22" i="37"/>
  <c r="J21" i="37"/>
  <c r="J20" i="37"/>
  <c r="J18" i="37"/>
  <c r="J17" i="37"/>
  <c r="I15" i="37"/>
  <c r="H15" i="37"/>
  <c r="I117" i="37"/>
  <c r="I63" i="37"/>
  <c r="J115" i="36"/>
  <c r="J114" i="36"/>
  <c r="J113" i="36"/>
  <c r="J112" i="36"/>
  <c r="J111" i="36"/>
  <c r="J110" i="36"/>
  <c r="J109" i="36"/>
  <c r="J108" i="36"/>
  <c r="J107" i="36"/>
  <c r="J106" i="36"/>
  <c r="J105" i="36"/>
  <c r="J104" i="36"/>
  <c r="J103" i="36"/>
  <c r="J102" i="36"/>
  <c r="J101" i="36"/>
  <c r="J100" i="36"/>
  <c r="J99" i="36"/>
  <c r="J98" i="36"/>
  <c r="J97" i="36"/>
  <c r="J96" i="36"/>
  <c r="J95" i="36"/>
  <c r="J94" i="36"/>
  <c r="J93" i="36"/>
  <c r="J92" i="36"/>
  <c r="J91" i="36"/>
  <c r="J90" i="36"/>
  <c r="J89" i="36"/>
  <c r="J88" i="36"/>
  <c r="J87" i="36"/>
  <c r="J86" i="36"/>
  <c r="J85" i="36"/>
  <c r="J84" i="36"/>
  <c r="J83" i="36"/>
  <c r="J82" i="36"/>
  <c r="J81" i="36"/>
  <c r="J80" i="36"/>
  <c r="J79" i="36"/>
  <c r="J78" i="36"/>
  <c r="J77" i="36"/>
  <c r="J76" i="36"/>
  <c r="J75" i="36"/>
  <c r="J74" i="36"/>
  <c r="J73" i="36"/>
  <c r="J72" i="36"/>
  <c r="J71" i="36"/>
  <c r="I69" i="36"/>
  <c r="H69" i="36"/>
  <c r="J61" i="36"/>
  <c r="J60" i="36"/>
  <c r="J59" i="36"/>
  <c r="J58" i="36"/>
  <c r="J57" i="36"/>
  <c r="J56" i="36"/>
  <c r="J55" i="36"/>
  <c r="J54" i="36"/>
  <c r="J53" i="36"/>
  <c r="J52" i="36"/>
  <c r="J51" i="36"/>
  <c r="J50" i="36"/>
  <c r="J49" i="36"/>
  <c r="J48" i="36"/>
  <c r="J47" i="36"/>
  <c r="J46" i="36"/>
  <c r="J45" i="36"/>
  <c r="J44" i="36"/>
  <c r="J43" i="36"/>
  <c r="J42" i="36"/>
  <c r="J41" i="36"/>
  <c r="J40" i="36"/>
  <c r="J39" i="36"/>
  <c r="J38" i="36"/>
  <c r="J37" i="36"/>
  <c r="J36" i="36"/>
  <c r="J35" i="36"/>
  <c r="J34" i="36"/>
  <c r="J33" i="36"/>
  <c r="J32" i="36"/>
  <c r="J31" i="36"/>
  <c r="J30" i="36"/>
  <c r="J29" i="36"/>
  <c r="J27" i="36"/>
  <c r="J26" i="36"/>
  <c r="J25" i="36"/>
  <c r="J24" i="36"/>
  <c r="J23" i="36"/>
  <c r="J22" i="36"/>
  <c r="J21" i="36"/>
  <c r="J20" i="36"/>
  <c r="J19" i="36"/>
  <c r="J18" i="36"/>
  <c r="J17" i="36"/>
  <c r="I15" i="36"/>
  <c r="H15" i="36"/>
  <c r="I117" i="36"/>
  <c r="I63" i="36"/>
  <c r="Q62" i="2"/>
  <c r="P62" i="2"/>
  <c r="O62" i="2"/>
  <c r="N62" i="2"/>
  <c r="M62" i="2"/>
  <c r="L62" i="2"/>
  <c r="K62" i="2"/>
  <c r="J62" i="2"/>
  <c r="I62" i="2"/>
  <c r="H62" i="2"/>
  <c r="G62" i="2"/>
  <c r="R64" i="2"/>
  <c r="R63" i="2"/>
  <c r="Q45" i="2"/>
  <c r="Q74" i="2" s="1"/>
  <c r="P45" i="2"/>
  <c r="P74" i="2" s="1"/>
  <c r="O45" i="2"/>
  <c r="N45" i="2"/>
  <c r="M45" i="2"/>
  <c r="M74" i="2" s="1"/>
  <c r="L45" i="2"/>
  <c r="L74" i="2" s="1"/>
  <c r="K45" i="2"/>
  <c r="K78" i="2" s="1"/>
  <c r="J45" i="2"/>
  <c r="I45" i="2"/>
  <c r="I74" i="2" s="1"/>
  <c r="H45" i="2"/>
  <c r="H74" i="2" s="1"/>
  <c r="G45" i="2"/>
  <c r="R60" i="2"/>
  <c r="Q22" i="2"/>
  <c r="P22" i="2"/>
  <c r="O22" i="2"/>
  <c r="N22" i="2"/>
  <c r="M22" i="2"/>
  <c r="L22" i="2"/>
  <c r="K22" i="2"/>
  <c r="J22" i="2"/>
  <c r="I22" i="2"/>
  <c r="H22" i="2"/>
  <c r="G22" i="2"/>
  <c r="R24" i="2"/>
  <c r="R23" i="2"/>
  <c r="Q12" i="2"/>
  <c r="P12" i="2"/>
  <c r="O12" i="2"/>
  <c r="N12" i="2"/>
  <c r="M12" i="2"/>
  <c r="M35" i="2" s="1"/>
  <c r="L12" i="2"/>
  <c r="K12" i="2"/>
  <c r="J12" i="2"/>
  <c r="I12" i="2"/>
  <c r="I35" i="2" s="1"/>
  <c r="H12" i="2"/>
  <c r="G12" i="2"/>
  <c r="R20" i="2"/>
  <c r="Q35" i="2" l="1"/>
  <c r="G35" i="2"/>
  <c r="K35" i="2"/>
  <c r="O35" i="2"/>
  <c r="J78" i="2"/>
  <c r="N78" i="2"/>
  <c r="R62" i="2"/>
  <c r="M77" i="2"/>
  <c r="J77" i="2"/>
  <c r="N77" i="2"/>
  <c r="Q77" i="2"/>
  <c r="H35" i="2"/>
  <c r="L35" i="2"/>
  <c r="P35" i="2"/>
  <c r="G78" i="2"/>
  <c r="K74" i="2"/>
  <c r="O74" i="2"/>
  <c r="I77" i="2"/>
  <c r="O78" i="2"/>
  <c r="N74" i="2"/>
  <c r="G74" i="2"/>
  <c r="G77" i="2"/>
  <c r="H78" i="2"/>
  <c r="L78" i="2"/>
  <c r="P78" i="2"/>
  <c r="J74" i="2"/>
  <c r="K77" i="2"/>
  <c r="O77" i="2"/>
  <c r="I78" i="2"/>
  <c r="M78" i="2"/>
  <c r="Q78" i="2"/>
  <c r="J35" i="2"/>
  <c r="N35" i="2"/>
  <c r="R22" i="2"/>
  <c r="H77" i="2"/>
  <c r="L77" i="2"/>
  <c r="P77" i="2"/>
  <c r="F75" i="39" l="1"/>
  <c r="F42" i="39"/>
  <c r="F75" i="38"/>
  <c r="F42" i="38"/>
  <c r="F117" i="37"/>
  <c r="F63" i="37"/>
  <c r="F117" i="36"/>
  <c r="F63" i="36"/>
  <c r="A57" i="1" l="1"/>
  <c r="D12" i="42"/>
  <c r="C12" i="42"/>
  <c r="D13" i="42"/>
  <c r="C13" i="42"/>
  <c r="B2" i="42"/>
  <c r="D14" i="42" l="1"/>
  <c r="C21" i="33" s="1"/>
  <c r="C14" i="42"/>
  <c r="B21" i="33" s="1"/>
  <c r="I29" i="8"/>
  <c r="R19" i="19"/>
  <c r="E16" i="22" l="1"/>
  <c r="D16" i="22"/>
  <c r="E15" i="22"/>
  <c r="D15" i="22"/>
  <c r="E14" i="22"/>
  <c r="D14" i="22"/>
  <c r="E12" i="22"/>
  <c r="D12" i="22"/>
  <c r="E11" i="22"/>
  <c r="D11" i="22"/>
  <c r="E9" i="22"/>
  <c r="D9" i="22"/>
  <c r="C16" i="22"/>
  <c r="C15" i="22"/>
  <c r="C14" i="22"/>
  <c r="C12" i="22"/>
  <c r="C11" i="22"/>
  <c r="C9" i="22"/>
  <c r="E87" i="5" l="1"/>
  <c r="D87" i="5"/>
  <c r="E81" i="5"/>
  <c r="D81" i="5"/>
  <c r="E75" i="5"/>
  <c r="D75" i="5"/>
  <c r="E69" i="5"/>
  <c r="D69" i="5"/>
  <c r="E38" i="5"/>
  <c r="D38" i="5"/>
  <c r="E181" i="5" l="1"/>
  <c r="D181" i="5"/>
  <c r="E20" i="35" l="1"/>
  <c r="D20" i="35"/>
  <c r="A50" i="22"/>
  <c r="E21" i="4"/>
  <c r="D16" i="4"/>
  <c r="H572" i="29" l="1"/>
  <c r="H562" i="29"/>
  <c r="H553" i="29"/>
  <c r="H516" i="29"/>
  <c r="H509" i="29"/>
  <c r="H499" i="29"/>
  <c r="H490" i="29"/>
  <c r="H451" i="29"/>
  <c r="H442" i="29"/>
  <c r="H403" i="29"/>
  <c r="H394" i="29"/>
  <c r="H356" i="29"/>
  <c r="H349" i="29"/>
  <c r="H339" i="29"/>
  <c r="H330" i="29"/>
  <c r="H293" i="29"/>
  <c r="H287" i="29"/>
  <c r="H269" i="29"/>
  <c r="H262" i="29"/>
  <c r="H252" i="29"/>
  <c r="H243" i="29"/>
  <c r="H635" i="29"/>
  <c r="H628" i="29"/>
  <c r="H618" i="29"/>
  <c r="H609" i="29"/>
  <c r="H298" i="26" l="1"/>
  <c r="H288" i="26"/>
  <c r="H707" i="26"/>
  <c r="H700" i="26"/>
  <c r="H689" i="26"/>
  <c r="H679" i="26"/>
  <c r="H633" i="26"/>
  <c r="H626" i="26"/>
  <c r="H615" i="26"/>
  <c r="H605" i="26"/>
  <c r="H558" i="26"/>
  <c r="H551" i="26"/>
  <c r="H540" i="26"/>
  <c r="H530" i="26"/>
  <c r="H474" i="26"/>
  <c r="H463" i="26"/>
  <c r="H453" i="26"/>
  <c r="H406" i="26"/>
  <c r="H399" i="26"/>
  <c r="H388" i="26"/>
  <c r="H378" i="26"/>
  <c r="H333" i="26"/>
  <c r="H316" i="26"/>
  <c r="H309" i="26"/>
  <c r="H902" i="19"/>
  <c r="H885" i="19"/>
  <c r="H878" i="19"/>
  <c r="H867" i="19"/>
  <c r="H857" i="19"/>
  <c r="H810" i="19"/>
  <c r="H803" i="19"/>
  <c r="H792" i="19"/>
  <c r="H782" i="19"/>
  <c r="H736" i="19"/>
  <c r="H729" i="19"/>
  <c r="H718" i="19"/>
  <c r="H708" i="19"/>
  <c r="H661" i="19"/>
  <c r="H654" i="19"/>
  <c r="H643" i="19"/>
  <c r="H633" i="19"/>
  <c r="H587" i="19"/>
  <c r="H576" i="19"/>
  <c r="H566" i="19"/>
  <c r="H521" i="19"/>
  <c r="H510" i="19"/>
  <c r="H500" i="19"/>
  <c r="H453" i="19"/>
  <c r="H446" i="19"/>
  <c r="H435" i="19"/>
  <c r="H425" i="19"/>
  <c r="H380" i="19"/>
  <c r="H363" i="19"/>
  <c r="H356" i="19"/>
  <c r="H345" i="19"/>
  <c r="H335" i="19"/>
  <c r="G60" i="30"/>
  <c r="G54" i="30"/>
  <c r="G24" i="25" l="1"/>
  <c r="H25" i="25"/>
  <c r="G26" i="7"/>
  <c r="H27" i="7"/>
  <c r="I28" i="7"/>
  <c r="J29" i="7"/>
  <c r="K30" i="7"/>
  <c r="G594" i="29"/>
  <c r="I293" i="29"/>
  <c r="G293" i="29"/>
  <c r="I287" i="29"/>
  <c r="G287" i="29"/>
  <c r="B131" i="29"/>
  <c r="B41" i="29"/>
  <c r="J17" i="28" l="1"/>
  <c r="H17" i="28"/>
  <c r="E17" i="28"/>
  <c r="A1" i="28"/>
  <c r="Q17" i="16"/>
  <c r="O17" i="16"/>
  <c r="E17" i="16"/>
  <c r="A1" i="16"/>
  <c r="I26" i="15"/>
  <c r="H26" i="15"/>
  <c r="G26" i="15"/>
  <c r="F26" i="15"/>
  <c r="E26" i="15"/>
  <c r="O16" i="15"/>
  <c r="M16" i="15"/>
  <c r="E16" i="15"/>
  <c r="A1" i="15"/>
  <c r="J38" i="13"/>
  <c r="I38" i="13"/>
  <c r="H38" i="13"/>
  <c r="G38" i="13"/>
  <c r="F38" i="13"/>
  <c r="K29" i="13"/>
  <c r="K23" i="13"/>
  <c r="K20" i="13"/>
  <c r="K17" i="13"/>
  <c r="P15" i="13"/>
  <c r="N15" i="13"/>
  <c r="F15" i="13"/>
  <c r="A1" i="13"/>
  <c r="C29" i="8"/>
  <c r="G15" i="26" s="1"/>
  <c r="D29" i="8"/>
  <c r="H15" i="26" s="1"/>
  <c r="E29" i="8"/>
  <c r="I15" i="26" s="1"/>
  <c r="F29" i="8"/>
  <c r="J15" i="26" s="1"/>
  <c r="I474" i="26"/>
  <c r="G474" i="26"/>
  <c r="I463" i="26"/>
  <c r="G463" i="26"/>
  <c r="I453" i="26"/>
  <c r="G453" i="26"/>
  <c r="M444" i="26"/>
  <c r="L444" i="26"/>
  <c r="I444" i="26"/>
  <c r="H444" i="26"/>
  <c r="G444" i="26"/>
  <c r="M436" i="26"/>
  <c r="L436" i="26"/>
  <c r="I436" i="26"/>
  <c r="H436" i="26"/>
  <c r="G436" i="26"/>
  <c r="M429" i="26"/>
  <c r="L429" i="26"/>
  <c r="I429" i="26"/>
  <c r="H429" i="26"/>
  <c r="G429" i="26"/>
  <c r="K424" i="26"/>
  <c r="I424" i="26"/>
  <c r="H424" i="26"/>
  <c r="G424" i="26"/>
  <c r="I333" i="26"/>
  <c r="G333" i="26"/>
  <c r="B151" i="26"/>
  <c r="B43" i="26"/>
  <c r="N29" i="13" l="1"/>
  <c r="P29" i="13" s="1"/>
  <c r="N23" i="13"/>
  <c r="P23" i="13" s="1"/>
  <c r="N20" i="13"/>
  <c r="P20" i="13" s="1"/>
  <c r="N17" i="13"/>
  <c r="C22" i="7"/>
  <c r="D23" i="7"/>
  <c r="E24" i="7"/>
  <c r="F25" i="7"/>
  <c r="I902" i="19"/>
  <c r="G902" i="19"/>
  <c r="I885" i="19"/>
  <c r="G885" i="19"/>
  <c r="I878" i="19"/>
  <c r="G878" i="19"/>
  <c r="I867" i="19"/>
  <c r="G867" i="19"/>
  <c r="I857" i="19"/>
  <c r="G857" i="19"/>
  <c r="M848" i="19"/>
  <c r="L848" i="19"/>
  <c r="K848" i="19"/>
  <c r="J848" i="19"/>
  <c r="I848" i="19"/>
  <c r="H848" i="19"/>
  <c r="G848" i="19"/>
  <c r="M840" i="19"/>
  <c r="L840" i="19"/>
  <c r="K840" i="19"/>
  <c r="J840" i="19"/>
  <c r="I840" i="19"/>
  <c r="H840" i="19"/>
  <c r="G840" i="19"/>
  <c r="M833" i="19"/>
  <c r="L833" i="19"/>
  <c r="K833" i="19"/>
  <c r="J833" i="19"/>
  <c r="I833" i="19"/>
  <c r="H833" i="19"/>
  <c r="G833" i="19"/>
  <c r="K828" i="19"/>
  <c r="J828" i="19"/>
  <c r="I828" i="19"/>
  <c r="H828" i="19"/>
  <c r="G828" i="19"/>
  <c r="I380" i="19"/>
  <c r="G380" i="19"/>
  <c r="O271" i="19"/>
  <c r="O272" i="19" s="1"/>
  <c r="P272" i="19"/>
  <c r="N270" i="19"/>
  <c r="N271" i="19" s="1"/>
  <c r="G903" i="19" s="1"/>
  <c r="G904" i="19" s="1"/>
  <c r="B263" i="19"/>
  <c r="M258" i="19"/>
  <c r="M259" i="19" s="1"/>
  <c r="G880" i="19" s="1"/>
  <c r="L257" i="19"/>
  <c r="L258" i="19" s="1"/>
  <c r="G873" i="19" s="1"/>
  <c r="K256" i="19"/>
  <c r="K257" i="19" s="1"/>
  <c r="G862" i="19" s="1"/>
  <c r="J255" i="19"/>
  <c r="J256" i="19" s="1"/>
  <c r="G852" i="19" s="1"/>
  <c r="I254" i="19"/>
  <c r="I255" i="19" s="1"/>
  <c r="G843" i="19" s="1"/>
  <c r="H253" i="19"/>
  <c r="H254" i="19" s="1"/>
  <c r="G835" i="19" s="1"/>
  <c r="G252" i="19"/>
  <c r="G253" i="19" s="1"/>
  <c r="G829" i="19" s="1"/>
  <c r="I829" i="19" s="1"/>
  <c r="J829" i="19" s="1"/>
  <c r="K829" i="19" s="1"/>
  <c r="B252" i="19"/>
  <c r="P250" i="19"/>
  <c r="O249" i="19"/>
  <c r="N248" i="19"/>
  <c r="M247" i="19"/>
  <c r="L246" i="19"/>
  <c r="K245" i="19"/>
  <c r="K246" i="19" s="1"/>
  <c r="J244" i="19"/>
  <c r="J245" i="19" s="1"/>
  <c r="I243" i="19"/>
  <c r="I244" i="19" s="1"/>
  <c r="H242" i="19"/>
  <c r="H243" i="19" s="1"/>
  <c r="O250" i="19"/>
  <c r="N249" i="19"/>
  <c r="M248" i="19"/>
  <c r="L247" i="19"/>
  <c r="G241" i="19"/>
  <c r="P184" i="19"/>
  <c r="O183" i="19"/>
  <c r="O184" i="19" s="1"/>
  <c r="N182" i="19"/>
  <c r="B175" i="19"/>
  <c r="R123" i="19"/>
  <c r="R122" i="19"/>
  <c r="B122" i="19"/>
  <c r="R23" i="19"/>
  <c r="B133" i="19"/>
  <c r="B45" i="19"/>
  <c r="R24" i="19"/>
  <c r="R21" i="19"/>
  <c r="R18" i="19"/>
  <c r="R16" i="19"/>
  <c r="R22" i="19"/>
  <c r="G124" i="19" l="1"/>
  <c r="H903" i="19"/>
  <c r="P17" i="13"/>
  <c r="H872" i="19"/>
  <c r="K129" i="19" s="1"/>
  <c r="H862" i="19"/>
  <c r="H886" i="19"/>
  <c r="M131" i="19" s="1"/>
  <c r="H880" i="19"/>
  <c r="H879" i="19"/>
  <c r="L130" i="19" s="1"/>
  <c r="H873" i="19"/>
  <c r="H834" i="19"/>
  <c r="H835" i="19"/>
  <c r="I835" i="19" s="1"/>
  <c r="G834" i="19"/>
  <c r="R252" i="19"/>
  <c r="R253" i="19"/>
  <c r="N183" i="19"/>
  <c r="R271" i="19"/>
  <c r="H836" i="19" l="1"/>
  <c r="I873" i="19"/>
  <c r="G879" i="19" s="1"/>
  <c r="L129" i="19"/>
  <c r="I862" i="19"/>
  <c r="G872" i="19" s="1"/>
  <c r="I872" i="19" s="1"/>
  <c r="K128" i="19"/>
  <c r="H904" i="19"/>
  <c r="C911" i="19" s="1"/>
  <c r="N142" i="19"/>
  <c r="H887" i="19"/>
  <c r="C895" i="19" s="1"/>
  <c r="I880" i="19"/>
  <c r="G886" i="19" s="1"/>
  <c r="G887" i="19" s="1"/>
  <c r="M130" i="19"/>
  <c r="I903" i="19"/>
  <c r="I904" i="19" s="1"/>
  <c r="H881" i="19"/>
  <c r="C894" i="19" s="1"/>
  <c r="I834" i="19"/>
  <c r="G836" i="19"/>
  <c r="G381" i="19"/>
  <c r="H381" i="19" s="1"/>
  <c r="H382" i="19" s="1"/>
  <c r="R183" i="19"/>
  <c r="R142" i="19" l="1"/>
  <c r="N272" i="19"/>
  <c r="R272" i="19" s="1"/>
  <c r="C389" i="19"/>
  <c r="N54" i="19"/>
  <c r="I886" i="19"/>
  <c r="I887" i="19" s="1"/>
  <c r="G382" i="19"/>
  <c r="G881" i="19"/>
  <c r="I879" i="19"/>
  <c r="I881" i="19" s="1"/>
  <c r="I836" i="19"/>
  <c r="J836" i="19" s="1"/>
  <c r="K834" i="19" s="1"/>
  <c r="I381" i="19"/>
  <c r="I382" i="19" s="1"/>
  <c r="R54" i="19" l="1"/>
  <c r="N184" i="19"/>
  <c r="R184" i="19" s="1"/>
  <c r="L834" i="19"/>
  <c r="G125" i="19" s="1"/>
  <c r="M834" i="19"/>
  <c r="K835" i="19"/>
  <c r="G841" i="19" l="1"/>
  <c r="L835" i="19"/>
  <c r="H125" i="19" s="1"/>
  <c r="M835" i="19"/>
  <c r="G842" i="19" s="1"/>
  <c r="K836" i="19"/>
  <c r="R182" i="19"/>
  <c r="M836" i="19" l="1"/>
  <c r="G844" i="19"/>
  <c r="R270" i="19"/>
  <c r="H842" i="19" l="1"/>
  <c r="I842" i="19" s="1"/>
  <c r="H843" i="19"/>
  <c r="I843" i="19" s="1"/>
  <c r="H841" i="19"/>
  <c r="H844" i="19" l="1"/>
  <c r="I841" i="19"/>
  <c r="I844" i="19" l="1"/>
  <c r="J844" i="19" s="1"/>
  <c r="K841" i="19"/>
  <c r="L841" i="19" l="1"/>
  <c r="G126" i="19" s="1"/>
  <c r="K842" i="19"/>
  <c r="K843" i="19" s="1"/>
  <c r="M841" i="19"/>
  <c r="L843" i="19" l="1"/>
  <c r="I126" i="19" s="1"/>
  <c r="M843" i="19"/>
  <c r="G851" i="19" s="1"/>
  <c r="L842" i="19"/>
  <c r="H126" i="19" s="1"/>
  <c r="M842" i="19"/>
  <c r="G850" i="19" s="1"/>
  <c r="K844" i="19"/>
  <c r="G849" i="19"/>
  <c r="M844" i="19" l="1"/>
  <c r="G853" i="19"/>
  <c r="H851" i="19" l="1"/>
  <c r="I851" i="19" s="1"/>
  <c r="H849" i="19"/>
  <c r="H852" i="19"/>
  <c r="I852" i="19" s="1"/>
  <c r="H850" i="19"/>
  <c r="I850" i="19" s="1"/>
  <c r="H853" i="19" l="1"/>
  <c r="I849" i="19"/>
  <c r="I853" i="19" l="1"/>
  <c r="J853" i="19" s="1"/>
  <c r="K849" i="19" s="1"/>
  <c r="L849" i="19" l="1"/>
  <c r="G127" i="19" s="1"/>
  <c r="M849" i="19"/>
  <c r="K850" i="19"/>
  <c r="L850" i="19" l="1"/>
  <c r="H127" i="19" s="1"/>
  <c r="M850" i="19"/>
  <c r="G859" i="19" s="1"/>
  <c r="G858" i="19"/>
  <c r="K851" i="19"/>
  <c r="K852" i="19" l="1"/>
  <c r="L852" i="19" s="1"/>
  <c r="J127" i="19" s="1"/>
  <c r="H858" i="19"/>
  <c r="G128" i="19" s="1"/>
  <c r="H868" i="19"/>
  <c r="G129" i="19" s="1"/>
  <c r="H869" i="19"/>
  <c r="H129" i="19" s="1"/>
  <c r="H859" i="19"/>
  <c r="L851" i="19"/>
  <c r="I127" i="19" s="1"/>
  <c r="M851" i="19"/>
  <c r="I859" i="19" l="1"/>
  <c r="G869" i="19" s="1"/>
  <c r="I869" i="19" s="1"/>
  <c r="H128" i="19"/>
  <c r="K853" i="19"/>
  <c r="M852" i="19"/>
  <c r="G861" i="19" s="1"/>
  <c r="H861" i="19" s="1"/>
  <c r="G860" i="19"/>
  <c r="I858" i="19"/>
  <c r="I861" i="19" l="1"/>
  <c r="G871" i="19" s="1"/>
  <c r="J128" i="19"/>
  <c r="M853" i="19"/>
  <c r="H871" i="19"/>
  <c r="J129" i="19" s="1"/>
  <c r="G863" i="19"/>
  <c r="H870" i="19"/>
  <c r="H860" i="19"/>
  <c r="I128" i="19" s="1"/>
  <c r="G868" i="19"/>
  <c r="I871" i="19" l="1"/>
  <c r="H874" i="19"/>
  <c r="C893" i="19" s="1"/>
  <c r="I129" i="19"/>
  <c r="I860" i="19"/>
  <c r="H863" i="19"/>
  <c r="C892" i="19" s="1"/>
  <c r="I868" i="19"/>
  <c r="G870" i="19" l="1"/>
  <c r="I863" i="19"/>
  <c r="I870" i="19" l="1"/>
  <c r="I874" i="19" s="1"/>
  <c r="G874" i="19"/>
  <c r="A26" i="5" l="1"/>
  <c r="E53" i="5" l="1"/>
  <c r="E56" i="5"/>
  <c r="D56" i="5"/>
  <c r="D53" i="5"/>
  <c r="E52" i="5" l="1"/>
  <c r="D52" i="5"/>
  <c r="B1" i="2"/>
  <c r="A63" i="1"/>
  <c r="A62" i="1"/>
  <c r="A61" i="1"/>
  <c r="A60" i="1"/>
  <c r="A59" i="1"/>
  <c r="A58" i="1"/>
  <c r="A56" i="1"/>
  <c r="A55" i="1"/>
  <c r="A51" i="1"/>
  <c r="A50" i="1"/>
  <c r="A49" i="1"/>
  <c r="A48" i="1"/>
  <c r="A46" i="1"/>
  <c r="A45" i="1"/>
  <c r="A44" i="1"/>
  <c r="A43" i="1"/>
  <c r="A42" i="1"/>
  <c r="A41" i="1"/>
  <c r="A40" i="1"/>
  <c r="A39" i="1"/>
  <c r="A38" i="1"/>
  <c r="K2" i="40"/>
  <c r="K1" i="40"/>
  <c r="H75" i="39"/>
  <c r="G75" i="39"/>
  <c r="D4" i="39" s="1"/>
  <c r="D75" i="39"/>
  <c r="C75" i="39"/>
  <c r="E73" i="39"/>
  <c r="E72" i="39"/>
  <c r="E71" i="39"/>
  <c r="E70" i="39"/>
  <c r="E69" i="39"/>
  <c r="E68" i="39"/>
  <c r="E67" i="39"/>
  <c r="E66" i="39"/>
  <c r="E65" i="39"/>
  <c r="E64" i="39"/>
  <c r="E63" i="39"/>
  <c r="E62" i="39"/>
  <c r="E61" i="39"/>
  <c r="E60" i="39"/>
  <c r="E59" i="39"/>
  <c r="E58" i="39"/>
  <c r="E57" i="39"/>
  <c r="E56" i="39"/>
  <c r="E55" i="39"/>
  <c r="E54" i="39"/>
  <c r="E53" i="39"/>
  <c r="E52" i="39"/>
  <c r="E51" i="39"/>
  <c r="E50" i="39"/>
  <c r="H42" i="39"/>
  <c r="G42" i="39"/>
  <c r="C4" i="39" s="1"/>
  <c r="D42" i="39"/>
  <c r="C42" i="39"/>
  <c r="E40" i="39"/>
  <c r="E39" i="39"/>
  <c r="E38" i="39"/>
  <c r="E37" i="39"/>
  <c r="E36" i="39"/>
  <c r="E35" i="39"/>
  <c r="E34" i="39"/>
  <c r="E33" i="39"/>
  <c r="E32" i="39"/>
  <c r="E31" i="39"/>
  <c r="E30" i="39"/>
  <c r="E29" i="39"/>
  <c r="E28" i="39"/>
  <c r="E27" i="39"/>
  <c r="E26" i="39"/>
  <c r="E25" i="39"/>
  <c r="E24" i="39"/>
  <c r="E23" i="39"/>
  <c r="E22" i="39"/>
  <c r="E21" i="39"/>
  <c r="E20" i="39"/>
  <c r="E19" i="39"/>
  <c r="E18" i="39"/>
  <c r="E17" i="39"/>
  <c r="B4" i="39"/>
  <c r="K1" i="39"/>
  <c r="H75" i="38"/>
  <c r="G75" i="38"/>
  <c r="D4" i="38" s="1"/>
  <c r="D75" i="38"/>
  <c r="C75" i="38"/>
  <c r="E73" i="38"/>
  <c r="E72" i="38"/>
  <c r="E71" i="38"/>
  <c r="E70" i="38"/>
  <c r="E69" i="38"/>
  <c r="E68" i="38"/>
  <c r="E67" i="38"/>
  <c r="E66" i="38"/>
  <c r="E65" i="38"/>
  <c r="E64" i="38"/>
  <c r="E63" i="38"/>
  <c r="E62" i="38"/>
  <c r="E61" i="38"/>
  <c r="E60" i="38"/>
  <c r="E59" i="38"/>
  <c r="E58" i="38"/>
  <c r="E57" i="38"/>
  <c r="E56" i="38"/>
  <c r="E55" i="38"/>
  <c r="E54" i="38"/>
  <c r="E53" i="38"/>
  <c r="E52" i="38"/>
  <c r="E51" i="38"/>
  <c r="E50" i="38"/>
  <c r="E30" i="38"/>
  <c r="H42" i="38"/>
  <c r="K1" i="38"/>
  <c r="G42" i="38"/>
  <c r="C4" i="38" s="1"/>
  <c r="D42" i="38"/>
  <c r="C42" i="38"/>
  <c r="E40" i="38"/>
  <c r="E39" i="38"/>
  <c r="E38" i="38"/>
  <c r="E37" i="38"/>
  <c r="E36" i="38"/>
  <c r="E35" i="38"/>
  <c r="E34" i="38"/>
  <c r="E33" i="38"/>
  <c r="E32" i="38"/>
  <c r="E31" i="38"/>
  <c r="E29" i="38"/>
  <c r="E28" i="38"/>
  <c r="E27" i="38"/>
  <c r="E26" i="38"/>
  <c r="E25" i="38"/>
  <c r="E24" i="38"/>
  <c r="E23" i="38"/>
  <c r="E22" i="38"/>
  <c r="E21" i="38"/>
  <c r="E20" i="38"/>
  <c r="E19" i="38"/>
  <c r="E18" i="38"/>
  <c r="E17" i="38"/>
  <c r="B4" i="38"/>
  <c r="B4" i="37"/>
  <c r="H117" i="36"/>
  <c r="G117" i="36"/>
  <c r="D4" i="36" s="1"/>
  <c r="D117" i="36"/>
  <c r="C117" i="36"/>
  <c r="E115" i="36"/>
  <c r="E114" i="36"/>
  <c r="E113" i="36"/>
  <c r="E112" i="36"/>
  <c r="E111" i="36"/>
  <c r="E110" i="36"/>
  <c r="E109" i="36"/>
  <c r="E108" i="36"/>
  <c r="E107" i="36"/>
  <c r="E106" i="36"/>
  <c r="E105" i="36"/>
  <c r="E104" i="36"/>
  <c r="E103" i="36"/>
  <c r="E102" i="36"/>
  <c r="E101" i="36"/>
  <c r="E100" i="36"/>
  <c r="E99" i="36"/>
  <c r="E98" i="36"/>
  <c r="E97" i="36"/>
  <c r="E96" i="36"/>
  <c r="E95" i="36"/>
  <c r="E94" i="36"/>
  <c r="E93" i="36"/>
  <c r="E92" i="36"/>
  <c r="E91" i="36"/>
  <c r="E90" i="36"/>
  <c r="E89" i="36"/>
  <c r="E88" i="36"/>
  <c r="E87" i="36"/>
  <c r="E86" i="36"/>
  <c r="E85" i="36"/>
  <c r="E84" i="36"/>
  <c r="E83" i="36"/>
  <c r="E82" i="36"/>
  <c r="E81" i="36"/>
  <c r="E80" i="36"/>
  <c r="E79" i="36"/>
  <c r="E78" i="36"/>
  <c r="E77" i="36"/>
  <c r="E76" i="36"/>
  <c r="E75" i="36"/>
  <c r="E74" i="36"/>
  <c r="E73" i="36"/>
  <c r="E72" i="36"/>
  <c r="E71" i="36"/>
  <c r="H117" i="37"/>
  <c r="G117" i="37"/>
  <c r="D4" i="37" s="1"/>
  <c r="D117" i="37"/>
  <c r="C117" i="37"/>
  <c r="E115" i="37"/>
  <c r="E114" i="37"/>
  <c r="E113" i="37"/>
  <c r="E112" i="37"/>
  <c r="E111" i="37"/>
  <c r="E110" i="37"/>
  <c r="E109" i="37"/>
  <c r="E108" i="37"/>
  <c r="E107" i="37"/>
  <c r="E106" i="37"/>
  <c r="E105" i="37"/>
  <c r="E104" i="37"/>
  <c r="E103" i="37"/>
  <c r="E102" i="37"/>
  <c r="E101" i="37"/>
  <c r="E100" i="37"/>
  <c r="E99" i="37"/>
  <c r="E98" i="37"/>
  <c r="E97" i="37"/>
  <c r="E96" i="37"/>
  <c r="E95" i="37"/>
  <c r="E94" i="37"/>
  <c r="E93" i="37"/>
  <c r="E92" i="37"/>
  <c r="E91" i="37"/>
  <c r="E90" i="37"/>
  <c r="E89" i="37"/>
  <c r="E88" i="37"/>
  <c r="E87" i="37"/>
  <c r="E86" i="37"/>
  <c r="E85" i="37"/>
  <c r="E84" i="37"/>
  <c r="E83" i="37"/>
  <c r="E82" i="37"/>
  <c r="E81" i="37"/>
  <c r="E80" i="37"/>
  <c r="E79" i="37"/>
  <c r="E78" i="37"/>
  <c r="E77" i="37"/>
  <c r="E76" i="37"/>
  <c r="E75" i="37"/>
  <c r="E74" i="37"/>
  <c r="E73" i="37"/>
  <c r="E72" i="37"/>
  <c r="E71" i="37"/>
  <c r="H63" i="37"/>
  <c r="G63" i="37"/>
  <c r="C4" i="37" s="1"/>
  <c r="D63" i="37"/>
  <c r="C63" i="37"/>
  <c r="E61" i="37"/>
  <c r="E60" i="37"/>
  <c r="E59" i="37"/>
  <c r="E58" i="37"/>
  <c r="E57" i="37"/>
  <c r="E56" i="37"/>
  <c r="E55" i="37"/>
  <c r="E54" i="37"/>
  <c r="E53" i="37"/>
  <c r="E52" i="37"/>
  <c r="E51" i="37"/>
  <c r="E50" i="37"/>
  <c r="E49" i="37"/>
  <c r="E48" i="37"/>
  <c r="E47" i="37"/>
  <c r="E46" i="37"/>
  <c r="E45" i="37"/>
  <c r="E44" i="37"/>
  <c r="E43" i="37"/>
  <c r="E42" i="37"/>
  <c r="E41" i="37"/>
  <c r="E40" i="37"/>
  <c r="E39" i="37"/>
  <c r="E38" i="37"/>
  <c r="E37" i="37"/>
  <c r="E36" i="37"/>
  <c r="E35" i="37"/>
  <c r="E34" i="37"/>
  <c r="E33" i="37"/>
  <c r="E32" i="37"/>
  <c r="E31" i="37"/>
  <c r="E30" i="37"/>
  <c r="E29" i="37"/>
  <c r="E28" i="37"/>
  <c r="E27" i="37"/>
  <c r="E26" i="37"/>
  <c r="E25" i="37"/>
  <c r="E24" i="37"/>
  <c r="E23" i="37"/>
  <c r="E22" i="37"/>
  <c r="E21" i="37"/>
  <c r="E20" i="37"/>
  <c r="E19" i="37"/>
  <c r="E18" i="37"/>
  <c r="E17" i="37"/>
  <c r="L1" i="37"/>
  <c r="L1" i="36"/>
  <c r="E60" i="36"/>
  <c r="E53" i="36"/>
  <c r="G63" i="36"/>
  <c r="B4" i="36"/>
  <c r="H63" i="36"/>
  <c r="D63" i="36"/>
  <c r="C63" i="36"/>
  <c r="E61" i="36"/>
  <c r="E59" i="36"/>
  <c r="E58" i="36"/>
  <c r="E57" i="36"/>
  <c r="E56" i="36"/>
  <c r="E55" i="36"/>
  <c r="E54" i="36"/>
  <c r="E52" i="36"/>
  <c r="E51" i="36"/>
  <c r="E50" i="36"/>
  <c r="E49" i="36"/>
  <c r="E48" i="36"/>
  <c r="E47" i="36"/>
  <c r="E46" i="36"/>
  <c r="E45" i="36"/>
  <c r="E44" i="36"/>
  <c r="E43" i="36"/>
  <c r="E42" i="36"/>
  <c r="E41" i="36"/>
  <c r="E40" i="36"/>
  <c r="E39" i="36"/>
  <c r="E38" i="36"/>
  <c r="E37" i="36"/>
  <c r="E36" i="36"/>
  <c r="E35" i="36"/>
  <c r="E34" i="36"/>
  <c r="E33" i="36"/>
  <c r="E32" i="36"/>
  <c r="E31" i="36"/>
  <c r="E30" i="36"/>
  <c r="E29" i="36"/>
  <c r="E28" i="36"/>
  <c r="J28" i="36" s="1"/>
  <c r="E27" i="36"/>
  <c r="E26" i="36"/>
  <c r="E25" i="36"/>
  <c r="E24" i="36"/>
  <c r="E23" i="36"/>
  <c r="E22" i="36"/>
  <c r="E21" i="36"/>
  <c r="E20" i="36"/>
  <c r="E19" i="36"/>
  <c r="E18" i="36"/>
  <c r="E17" i="36"/>
  <c r="D19" i="40" l="1"/>
  <c r="E18" i="40"/>
  <c r="E19" i="40"/>
  <c r="D18" i="40"/>
  <c r="C4" i="36"/>
  <c r="F69" i="36"/>
  <c r="F15" i="36"/>
  <c r="F48" i="39"/>
  <c r="F15" i="39"/>
  <c r="F48" i="38"/>
  <c r="F15" i="38"/>
  <c r="F69" i="37"/>
  <c r="F15" i="37"/>
  <c r="E32" i="40"/>
  <c r="D32" i="40"/>
  <c r="G48" i="39"/>
  <c r="J15" i="37"/>
  <c r="E117" i="36"/>
  <c r="E42" i="39"/>
  <c r="J75" i="39"/>
  <c r="B11" i="40"/>
  <c r="B32" i="40"/>
  <c r="E7" i="40"/>
  <c r="J48" i="38"/>
  <c r="G15" i="38"/>
  <c r="D48" i="38"/>
  <c r="E69" i="36"/>
  <c r="A14" i="38"/>
  <c r="J48" i="39"/>
  <c r="E15" i="39"/>
  <c r="E48" i="38"/>
  <c r="G15" i="39"/>
  <c r="A47" i="38"/>
  <c r="G48" i="38"/>
  <c r="D48" i="39"/>
  <c r="J15" i="39"/>
  <c r="C48" i="38"/>
  <c r="A14" i="39"/>
  <c r="C48" i="39"/>
  <c r="D15" i="39"/>
  <c r="C15" i="39"/>
  <c r="E48" i="39"/>
  <c r="B26" i="40"/>
  <c r="D14" i="40"/>
  <c r="E14" i="40"/>
  <c r="B7" i="40"/>
  <c r="D15" i="40"/>
  <c r="E15" i="40"/>
  <c r="D4" i="40"/>
  <c r="E4" i="40"/>
  <c r="B22" i="40"/>
  <c r="E75" i="39"/>
  <c r="J42" i="39"/>
  <c r="A47" i="39"/>
  <c r="J75" i="38"/>
  <c r="E75" i="38"/>
  <c r="J42" i="38"/>
  <c r="C15" i="38"/>
  <c r="E15" i="38"/>
  <c r="J15" i="38"/>
  <c r="D15" i="38"/>
  <c r="E42" i="38"/>
  <c r="E69" i="37"/>
  <c r="A68" i="37"/>
  <c r="G69" i="37"/>
  <c r="C69" i="37"/>
  <c r="A14" i="37"/>
  <c r="D69" i="37"/>
  <c r="J69" i="37"/>
  <c r="A68" i="36"/>
  <c r="G69" i="36"/>
  <c r="C69" i="36"/>
  <c r="A14" i="36"/>
  <c r="D69" i="36"/>
  <c r="J69" i="36"/>
  <c r="J117" i="36"/>
  <c r="J117" i="37"/>
  <c r="E117" i="37"/>
  <c r="E8" i="40" s="1"/>
  <c r="C15" i="37"/>
  <c r="E15" i="37"/>
  <c r="J63" i="37"/>
  <c r="E63" i="37"/>
  <c r="D8" i="40" s="1"/>
  <c r="G15" i="37"/>
  <c r="D15" i="37"/>
  <c r="J63" i="36"/>
  <c r="G15" i="36"/>
  <c r="D15" i="36"/>
  <c r="E15" i="36"/>
  <c r="E63" i="36"/>
  <c r="D7" i="40" s="1"/>
  <c r="C15" i="36"/>
  <c r="J15" i="36"/>
  <c r="E12" i="35"/>
  <c r="D12" i="35"/>
  <c r="E11" i="35"/>
  <c r="D11" i="35"/>
  <c r="E10" i="35"/>
  <c r="D10" i="35"/>
  <c r="C2" i="35"/>
  <c r="B2" i="35"/>
  <c r="B2" i="34"/>
  <c r="C4" i="33"/>
  <c r="A13" i="33"/>
  <c r="A10" i="33"/>
  <c r="C6" i="33"/>
  <c r="B6" i="33"/>
  <c r="C3" i="33"/>
  <c r="E19" i="35"/>
  <c r="E21" i="35" s="1"/>
  <c r="C22" i="33" s="1"/>
  <c r="D19" i="35"/>
  <c r="D21" i="35" s="1"/>
  <c r="B22" i="33" s="1"/>
  <c r="C7" i="42" l="1"/>
  <c r="D7" i="42"/>
  <c r="D8" i="34"/>
  <c r="D8" i="42"/>
  <c r="C8" i="42"/>
  <c r="D9" i="42"/>
  <c r="C9" i="42"/>
  <c r="C7" i="34"/>
  <c r="B28" i="40"/>
  <c r="D7" i="34"/>
  <c r="C9" i="34"/>
  <c r="C33" i="33"/>
  <c r="B33" i="33"/>
  <c r="C8" i="34"/>
  <c r="D23" i="40"/>
  <c r="D11" i="40"/>
  <c r="E22" i="40"/>
  <c r="E11" i="40"/>
  <c r="E23" i="40"/>
  <c r="D22" i="40"/>
  <c r="D9" i="34"/>
  <c r="B19" i="33"/>
  <c r="B32" i="33" s="1"/>
  <c r="C19" i="33"/>
  <c r="D13" i="34" l="1"/>
  <c r="D12" i="34"/>
  <c r="C13" i="34"/>
  <c r="C12" i="34"/>
  <c r="C32" i="33"/>
  <c r="E10" i="30" s="1"/>
  <c r="I10" i="25"/>
  <c r="D26" i="40"/>
  <c r="D29" i="40" s="1"/>
  <c r="D34" i="40" s="1"/>
  <c r="B34" i="33" s="1"/>
  <c r="B36" i="33" s="1"/>
  <c r="E26" i="40"/>
  <c r="E29" i="40" s="1"/>
  <c r="E34" i="40" s="1"/>
  <c r="C34" i="33" s="1"/>
  <c r="C36" i="33" s="1"/>
  <c r="D15" i="34" l="1"/>
  <c r="C20" i="33" s="1"/>
  <c r="C24" i="33" s="1"/>
  <c r="C15" i="34"/>
  <c r="B20" i="33" s="1"/>
  <c r="B24" i="33" s="1"/>
  <c r="C38" i="33"/>
  <c r="F10" i="30" s="1"/>
  <c r="L24" i="16"/>
  <c r="C20" i="30"/>
  <c r="D21" i="30"/>
  <c r="F23" i="25"/>
  <c r="C26" i="33" l="1"/>
  <c r="J10" i="25" s="1"/>
  <c r="O24" i="16"/>
  <c r="Q24" i="16" s="1"/>
  <c r="F121" i="22"/>
  <c r="G122" i="22"/>
  <c r="H123" i="22"/>
  <c r="I124" i="22"/>
  <c r="G97" i="8"/>
  <c r="H98" i="8"/>
  <c r="I99" i="8"/>
  <c r="J100" i="8"/>
  <c r="K101" i="8"/>
  <c r="L102" i="8"/>
  <c r="F96" i="8"/>
  <c r="H63" i="7"/>
  <c r="R1" i="5"/>
  <c r="B63" i="5" s="1"/>
  <c r="B69" i="5" s="1"/>
  <c r="B75" i="5" s="1"/>
  <c r="B81" i="5" s="1"/>
  <c r="B87" i="5" s="1"/>
  <c r="B62" i="5" l="1"/>
  <c r="F62" i="30"/>
  <c r="G62" i="30" s="1"/>
  <c r="D33" i="30" s="1"/>
  <c r="F55" i="30"/>
  <c r="G55" i="30" s="1"/>
  <c r="C32" i="30" s="1"/>
  <c r="H60" i="30"/>
  <c r="F60" i="30"/>
  <c r="H54" i="30"/>
  <c r="F54" i="30"/>
  <c r="F46" i="30"/>
  <c r="E45" i="30"/>
  <c r="D44" i="30"/>
  <c r="C43" i="30"/>
  <c r="H43" i="30" s="1"/>
  <c r="F34" i="30"/>
  <c r="E34" i="30"/>
  <c r="F23" i="30"/>
  <c r="E22" i="30"/>
  <c r="E23" i="30" s="1"/>
  <c r="D23" i="30"/>
  <c r="H20" i="30"/>
  <c r="C20" i="25"/>
  <c r="L20" i="25" s="1"/>
  <c r="D21" i="25"/>
  <c r="L21" i="25" s="1"/>
  <c r="F103" i="25"/>
  <c r="G103" i="25" s="1"/>
  <c r="H41" i="25" s="1"/>
  <c r="F96" i="25"/>
  <c r="G96" i="25" s="1"/>
  <c r="F89" i="25"/>
  <c r="G89" i="25" s="1"/>
  <c r="H89" i="25" s="1"/>
  <c r="F95" i="25" s="1"/>
  <c r="H101" i="25"/>
  <c r="G101" i="25"/>
  <c r="F101" i="25"/>
  <c r="H94" i="25"/>
  <c r="G94" i="25"/>
  <c r="F94" i="25"/>
  <c r="H85" i="25"/>
  <c r="G85" i="25"/>
  <c r="F85" i="25"/>
  <c r="H77" i="25"/>
  <c r="G77" i="25"/>
  <c r="F77" i="25"/>
  <c r="J58" i="25"/>
  <c r="I57" i="25"/>
  <c r="H56" i="25"/>
  <c r="G55" i="25"/>
  <c r="F54" i="25"/>
  <c r="I42" i="25"/>
  <c r="L35" i="25"/>
  <c r="J27" i="25"/>
  <c r="I26" i="25"/>
  <c r="L26" i="25" s="1"/>
  <c r="L25" i="25"/>
  <c r="G27" i="25"/>
  <c r="F27" i="25"/>
  <c r="E22" i="25"/>
  <c r="L22" i="25" s="1"/>
  <c r="F24" i="30" l="1"/>
  <c r="H96" i="25"/>
  <c r="F102" i="25" s="1"/>
  <c r="G40" i="25"/>
  <c r="H103" i="25"/>
  <c r="H42" i="25"/>
  <c r="F39" i="25"/>
  <c r="G56" i="30"/>
  <c r="B70" i="30" s="1"/>
  <c r="H55" i="30"/>
  <c r="F61" i="30" s="1"/>
  <c r="G61" i="30"/>
  <c r="H62" i="30"/>
  <c r="E46" i="30"/>
  <c r="H22" i="30"/>
  <c r="D45" i="30"/>
  <c r="D46" i="30" s="1"/>
  <c r="E24" i="30"/>
  <c r="C44" i="30"/>
  <c r="D34" i="30"/>
  <c r="D24" i="30" s="1"/>
  <c r="H19" i="30"/>
  <c r="H21" i="30"/>
  <c r="C23" i="30"/>
  <c r="L23" i="25"/>
  <c r="N35" i="25"/>
  <c r="H27" i="25"/>
  <c r="F80" i="25"/>
  <c r="G80" i="25" s="1"/>
  <c r="G56" i="25"/>
  <c r="H57" i="25"/>
  <c r="D27" i="25"/>
  <c r="I58" i="25"/>
  <c r="F55" i="25"/>
  <c r="F66" i="25"/>
  <c r="L24" i="25"/>
  <c r="E27" i="25"/>
  <c r="I27" i="25"/>
  <c r="I28" i="25" s="1"/>
  <c r="G95" i="25"/>
  <c r="G102" i="25"/>
  <c r="F97" i="25"/>
  <c r="F104" i="25"/>
  <c r="C58" i="22"/>
  <c r="G15" i="29" s="1"/>
  <c r="C60" i="22"/>
  <c r="G17" i="29" s="1"/>
  <c r="G140" i="29" s="1"/>
  <c r="C62" i="22"/>
  <c r="G19" i="29" s="1"/>
  <c r="C63" i="22"/>
  <c r="G20" i="29" s="1"/>
  <c r="G167" i="29" s="1"/>
  <c r="C61" i="22"/>
  <c r="G18" i="29" s="1"/>
  <c r="G149" i="29" s="1"/>
  <c r="P149" i="29" s="1"/>
  <c r="C64" i="22"/>
  <c r="G21" i="29" s="1"/>
  <c r="C65" i="22"/>
  <c r="G22" i="29" s="1"/>
  <c r="G185" i="29" s="1"/>
  <c r="P3" i="22"/>
  <c r="P95" i="29"/>
  <c r="P86" i="29"/>
  <c r="P59" i="29"/>
  <c r="P77" i="29"/>
  <c r="P68" i="29"/>
  <c r="P50" i="29"/>
  <c r="B642" i="29"/>
  <c r="I635" i="29"/>
  <c r="G635" i="29"/>
  <c r="I628" i="29"/>
  <c r="G628" i="29"/>
  <c r="I618" i="29"/>
  <c r="G618" i="29"/>
  <c r="I609" i="29"/>
  <c r="G609" i="29"/>
  <c r="M601" i="29"/>
  <c r="L601" i="29"/>
  <c r="K601" i="29"/>
  <c r="J601" i="29"/>
  <c r="I601" i="29"/>
  <c r="H601" i="29"/>
  <c r="G601" i="29"/>
  <c r="M594" i="29"/>
  <c r="L594" i="29"/>
  <c r="K594" i="29"/>
  <c r="J594" i="29"/>
  <c r="I594" i="29"/>
  <c r="H594" i="29"/>
  <c r="K589" i="29"/>
  <c r="J589" i="29"/>
  <c r="I589" i="29"/>
  <c r="H589" i="29"/>
  <c r="G589" i="29"/>
  <c r="B579" i="29"/>
  <c r="I572" i="29"/>
  <c r="G572" i="29"/>
  <c r="I562" i="29"/>
  <c r="G562" i="29"/>
  <c r="I553" i="29"/>
  <c r="G553" i="29"/>
  <c r="M545" i="29"/>
  <c r="L545" i="29"/>
  <c r="K545" i="29"/>
  <c r="J545" i="29"/>
  <c r="I545" i="29"/>
  <c r="H545" i="29"/>
  <c r="G545" i="29"/>
  <c r="M538" i="29"/>
  <c r="L538" i="29"/>
  <c r="K538" i="29"/>
  <c r="J538" i="29"/>
  <c r="I538" i="29"/>
  <c r="H538" i="29"/>
  <c r="G538" i="29"/>
  <c r="K533" i="29"/>
  <c r="J533" i="29"/>
  <c r="I533" i="29"/>
  <c r="H533" i="29"/>
  <c r="G533" i="29"/>
  <c r="B412" i="29"/>
  <c r="I403" i="29"/>
  <c r="G403" i="29"/>
  <c r="I394" i="29"/>
  <c r="G394" i="29"/>
  <c r="M386" i="29"/>
  <c r="L386" i="29"/>
  <c r="K386" i="29"/>
  <c r="J386" i="29"/>
  <c r="I386" i="29"/>
  <c r="H386" i="29"/>
  <c r="G386" i="29"/>
  <c r="M379" i="29"/>
  <c r="L379" i="29"/>
  <c r="K379" i="29"/>
  <c r="J379" i="29"/>
  <c r="I379" i="29"/>
  <c r="H379" i="29"/>
  <c r="G379" i="29"/>
  <c r="K374" i="29"/>
  <c r="J374" i="29"/>
  <c r="I374" i="29"/>
  <c r="H374" i="29"/>
  <c r="G374" i="29"/>
  <c r="B523" i="29"/>
  <c r="I516" i="29"/>
  <c r="G516" i="29"/>
  <c r="I509" i="29"/>
  <c r="G509" i="29"/>
  <c r="I499" i="29"/>
  <c r="G499" i="29"/>
  <c r="I490" i="29"/>
  <c r="G490" i="29"/>
  <c r="M482" i="29"/>
  <c r="L482" i="29"/>
  <c r="K482" i="29"/>
  <c r="J482" i="29"/>
  <c r="I482" i="29"/>
  <c r="H482" i="29"/>
  <c r="G482" i="29"/>
  <c r="M475" i="29"/>
  <c r="L475" i="29"/>
  <c r="K475" i="29"/>
  <c r="J475" i="29"/>
  <c r="I475" i="29"/>
  <c r="H475" i="29"/>
  <c r="G475" i="29"/>
  <c r="K470" i="29"/>
  <c r="J470" i="29"/>
  <c r="I470" i="29"/>
  <c r="H470" i="29"/>
  <c r="G470" i="29"/>
  <c r="B460" i="29"/>
  <c r="I451" i="29"/>
  <c r="G451" i="29"/>
  <c r="I442" i="29"/>
  <c r="G442" i="29"/>
  <c r="M434" i="29"/>
  <c r="L434" i="29"/>
  <c r="K434" i="29"/>
  <c r="J434" i="29"/>
  <c r="I434" i="29"/>
  <c r="H434" i="29"/>
  <c r="G434" i="29"/>
  <c r="M427" i="29"/>
  <c r="L427" i="29"/>
  <c r="K427" i="29"/>
  <c r="J427" i="29"/>
  <c r="I427" i="29"/>
  <c r="H427" i="29"/>
  <c r="G427" i="29"/>
  <c r="K422" i="29"/>
  <c r="J422" i="29"/>
  <c r="I422" i="29"/>
  <c r="H422" i="29"/>
  <c r="G422" i="29"/>
  <c r="B364" i="29"/>
  <c r="I356" i="29"/>
  <c r="G356" i="29"/>
  <c r="I349" i="29"/>
  <c r="G349" i="29"/>
  <c r="I339" i="29"/>
  <c r="G339" i="29"/>
  <c r="I330" i="29"/>
  <c r="G330" i="29"/>
  <c r="M322" i="29"/>
  <c r="L322" i="29"/>
  <c r="K322" i="29"/>
  <c r="J322" i="29"/>
  <c r="I322" i="29"/>
  <c r="H322" i="29"/>
  <c r="G322" i="29"/>
  <c r="M315" i="29"/>
  <c r="L315" i="29"/>
  <c r="K315" i="29"/>
  <c r="J315" i="29"/>
  <c r="I315" i="29"/>
  <c r="H315" i="29"/>
  <c r="G315" i="29"/>
  <c r="K310" i="29"/>
  <c r="J310" i="29"/>
  <c r="I310" i="29"/>
  <c r="H310" i="29"/>
  <c r="G310" i="29"/>
  <c r="K235" i="29"/>
  <c r="J235" i="29"/>
  <c r="K228" i="29"/>
  <c r="J228" i="29"/>
  <c r="H235" i="29"/>
  <c r="H228" i="29"/>
  <c r="J223" i="29"/>
  <c r="H223" i="29"/>
  <c r="G223" i="29"/>
  <c r="I223" i="29"/>
  <c r="K223" i="29"/>
  <c r="G228" i="29"/>
  <c r="I228" i="29"/>
  <c r="L228" i="29"/>
  <c r="M228" i="29"/>
  <c r="G235" i="29"/>
  <c r="I235" i="29"/>
  <c r="L235" i="29"/>
  <c r="M235" i="29"/>
  <c r="P32" i="29"/>
  <c r="H194" i="29"/>
  <c r="I194" i="29" s="1"/>
  <c r="J194" i="29" s="1"/>
  <c r="K194" i="29" s="1"/>
  <c r="L194" i="29" s="1"/>
  <c r="M194" i="29" s="1"/>
  <c r="N194" i="29" s="1"/>
  <c r="H119" i="29"/>
  <c r="I119" i="29" s="1"/>
  <c r="H105" i="29"/>
  <c r="I105" i="29" s="1"/>
  <c r="J105" i="29" s="1"/>
  <c r="K105" i="29" s="1"/>
  <c r="L105" i="29" s="1"/>
  <c r="M105" i="29" s="1"/>
  <c r="N105" i="29" s="1"/>
  <c r="H29" i="29"/>
  <c r="I29" i="29" s="1"/>
  <c r="J29" i="29" s="1"/>
  <c r="K29" i="29" s="1"/>
  <c r="L29" i="29" s="1"/>
  <c r="M29" i="29" s="1"/>
  <c r="N29" i="29" s="1"/>
  <c r="B149" i="29"/>
  <c r="J125" i="22"/>
  <c r="B277" i="29"/>
  <c r="I269" i="29"/>
  <c r="G269" i="29"/>
  <c r="I262" i="29"/>
  <c r="G262" i="29"/>
  <c r="I252" i="29"/>
  <c r="G252" i="29"/>
  <c r="I243" i="29"/>
  <c r="G243" i="29"/>
  <c r="B196" i="29"/>
  <c r="B59" i="29"/>
  <c r="B7" i="29"/>
  <c r="B4" i="29"/>
  <c r="E2" i="29"/>
  <c r="D2" i="29"/>
  <c r="G209" i="29" s="1"/>
  <c r="B2" i="29"/>
  <c r="J108" i="22"/>
  <c r="J93" i="22"/>
  <c r="J73" i="22"/>
  <c r="I73" i="22"/>
  <c r="B91" i="22" s="1"/>
  <c r="B106" i="22" s="1"/>
  <c r="B124" i="22" s="1"/>
  <c r="H73" i="22"/>
  <c r="H84" i="22" s="1"/>
  <c r="H99" i="22" s="1"/>
  <c r="H117" i="22" s="1"/>
  <c r="G73" i="22"/>
  <c r="B89" i="22" s="1"/>
  <c r="B104" i="22" s="1"/>
  <c r="B122" i="22" s="1"/>
  <c r="F73" i="22"/>
  <c r="B88" i="22" s="1"/>
  <c r="B103" i="22" s="1"/>
  <c r="B121" i="22" s="1"/>
  <c r="E73" i="22"/>
  <c r="D73" i="22"/>
  <c r="J56" i="22"/>
  <c r="I56" i="22"/>
  <c r="H80" i="25" l="1"/>
  <c r="F88" i="25" s="1"/>
  <c r="E38" i="25"/>
  <c r="G88" i="25"/>
  <c r="H28" i="25"/>
  <c r="G158" i="29"/>
  <c r="H102" i="25"/>
  <c r="H104" i="25" s="1"/>
  <c r="G41" i="25"/>
  <c r="H58" i="25"/>
  <c r="G590" i="29"/>
  <c r="I590" i="29" s="1"/>
  <c r="J590" i="29" s="1"/>
  <c r="K590" i="29" s="1"/>
  <c r="G595" i="29" s="1"/>
  <c r="G122" i="29"/>
  <c r="P122" i="29" s="1"/>
  <c r="G176" i="29"/>
  <c r="G534" i="29" s="1"/>
  <c r="G63" i="30"/>
  <c r="B71" i="30" s="1"/>
  <c r="C33" i="30"/>
  <c r="G57" i="25"/>
  <c r="G104" i="25"/>
  <c r="B112" i="25" s="1"/>
  <c r="G97" i="25"/>
  <c r="B111" i="25" s="1"/>
  <c r="F40" i="25"/>
  <c r="F56" i="25"/>
  <c r="I84" i="22"/>
  <c r="I99" i="22" s="1"/>
  <c r="I117" i="22" s="1"/>
  <c r="B90" i="22"/>
  <c r="B105" i="22" s="1"/>
  <c r="B123" i="22" s="1"/>
  <c r="F63" i="30"/>
  <c r="H61" i="30"/>
  <c r="H63" i="30" s="1"/>
  <c r="F56" i="30"/>
  <c r="H56" i="30"/>
  <c r="C45" i="30"/>
  <c r="H45" i="30" s="1"/>
  <c r="H23" i="30"/>
  <c r="H33" i="30"/>
  <c r="J33" i="30" s="1"/>
  <c r="B19" i="30"/>
  <c r="B30" i="30" s="1"/>
  <c r="B43" i="30" s="1"/>
  <c r="D85" i="5" s="1"/>
  <c r="C18" i="30"/>
  <c r="C29" i="30" s="1"/>
  <c r="C42" i="30" s="1"/>
  <c r="D7" i="30"/>
  <c r="H32" i="30"/>
  <c r="J32" i="30" s="1"/>
  <c r="H95" i="25"/>
  <c r="H97" i="25" s="1"/>
  <c r="P140" i="29"/>
  <c r="G423" i="29"/>
  <c r="I423" i="29" s="1"/>
  <c r="J423" i="29" s="1"/>
  <c r="P158" i="29"/>
  <c r="P167" i="29"/>
  <c r="G375" i="29"/>
  <c r="G471" i="29"/>
  <c r="I471" i="29" s="1"/>
  <c r="J471" i="29" s="1"/>
  <c r="G311" i="29"/>
  <c r="I311" i="29" s="1"/>
  <c r="J311" i="29" s="1"/>
  <c r="G24" i="29"/>
  <c r="B77" i="29"/>
  <c r="B86" i="29"/>
  <c r="B185" i="29"/>
  <c r="B140" i="29"/>
  <c r="B107" i="29"/>
  <c r="B95" i="29"/>
  <c r="B32" i="29"/>
  <c r="B167" i="29"/>
  <c r="B68" i="29"/>
  <c r="B50" i="29"/>
  <c r="H13" i="29"/>
  <c r="B132" i="29" s="1"/>
  <c r="B176" i="29"/>
  <c r="B158" i="29"/>
  <c r="B122" i="29"/>
  <c r="J119" i="29"/>
  <c r="K119" i="29" s="1"/>
  <c r="L119" i="29" s="1"/>
  <c r="M119" i="29" s="1"/>
  <c r="N119" i="29" s="1"/>
  <c r="P185" i="29"/>
  <c r="G84" i="22"/>
  <c r="G99" i="22" s="1"/>
  <c r="G117" i="22" s="1"/>
  <c r="H56" i="22"/>
  <c r="G56" i="22"/>
  <c r="J37" i="22"/>
  <c r="I37" i="22"/>
  <c r="H37" i="22"/>
  <c r="G37" i="22"/>
  <c r="F27" i="22"/>
  <c r="E27" i="22"/>
  <c r="D27" i="22"/>
  <c r="J27" i="22"/>
  <c r="I27" i="22"/>
  <c r="H27" i="22"/>
  <c r="G27" i="22"/>
  <c r="J8" i="22"/>
  <c r="F8" i="22"/>
  <c r="H8" i="22"/>
  <c r="G8" i="22"/>
  <c r="I8" i="22"/>
  <c r="F84" i="22"/>
  <c r="F99" i="22" s="1"/>
  <c r="F117" i="22" s="1"/>
  <c r="F56" i="22"/>
  <c r="F37" i="22"/>
  <c r="H88" i="25" l="1"/>
  <c r="E39" i="25"/>
  <c r="E42" i="25" s="1"/>
  <c r="G58" i="25"/>
  <c r="L58" i="25" s="1"/>
  <c r="G96" i="29"/>
  <c r="P96" i="29" s="1"/>
  <c r="G224" i="29"/>
  <c r="I224" i="29" s="1"/>
  <c r="J224" i="29" s="1"/>
  <c r="K224" i="29" s="1"/>
  <c r="G229" i="29" s="1"/>
  <c r="B33" i="29"/>
  <c r="B42" i="29"/>
  <c r="L40" i="25"/>
  <c r="N40" i="25" s="1"/>
  <c r="F42" i="25"/>
  <c r="F28" i="25" s="1"/>
  <c r="F57" i="25"/>
  <c r="L57" i="25" s="1"/>
  <c r="L41" i="25"/>
  <c r="N41" i="25" s="1"/>
  <c r="G42" i="25"/>
  <c r="G28" i="25" s="1"/>
  <c r="C34" i="30"/>
  <c r="C24" i="30" s="1"/>
  <c r="B20" i="30"/>
  <c r="B31" i="30" s="1"/>
  <c r="B44" i="30" s="1"/>
  <c r="E7" i="30"/>
  <c r="D18" i="30"/>
  <c r="D29" i="30" s="1"/>
  <c r="D42" i="30" s="1"/>
  <c r="C46" i="30"/>
  <c r="H46" i="30" s="1"/>
  <c r="K311" i="29"/>
  <c r="G316" i="29" s="1"/>
  <c r="G51" i="29"/>
  <c r="K471" i="29"/>
  <c r="G476" i="29" s="1"/>
  <c r="G78" i="29"/>
  <c r="K423" i="29"/>
  <c r="G428" i="29" s="1"/>
  <c r="G69" i="29"/>
  <c r="B177" i="29"/>
  <c r="B186" i="29"/>
  <c r="B159" i="29"/>
  <c r="B197" i="29"/>
  <c r="B168" i="29"/>
  <c r="B69" i="29"/>
  <c r="B150" i="29"/>
  <c r="I13" i="29"/>
  <c r="B123" i="29"/>
  <c r="B87" i="29"/>
  <c r="B60" i="29"/>
  <c r="B78" i="29"/>
  <c r="B96" i="29"/>
  <c r="B141" i="29"/>
  <c r="B108" i="29"/>
  <c r="B51" i="29"/>
  <c r="P176" i="29"/>
  <c r="H24" i="28"/>
  <c r="J24" i="28" s="1"/>
  <c r="H21" i="28"/>
  <c r="H19" i="28" s="1"/>
  <c r="H27" i="28" s="1"/>
  <c r="E19" i="28"/>
  <c r="E27" i="28" s="1"/>
  <c r="A47" i="1"/>
  <c r="P16" i="28"/>
  <c r="O16" i="28"/>
  <c r="L16" i="28"/>
  <c r="L15" i="28"/>
  <c r="L30" i="16"/>
  <c r="O30" i="16" s="1"/>
  <c r="Q30" i="16" s="1"/>
  <c r="L33" i="16"/>
  <c r="O33" i="16" s="1"/>
  <c r="L27" i="16"/>
  <c r="O27" i="16" s="1"/>
  <c r="L21" i="16"/>
  <c r="K19" i="16"/>
  <c r="K36" i="16" s="1"/>
  <c r="J19" i="16"/>
  <c r="J36" i="16" s="1"/>
  <c r="I19" i="16"/>
  <c r="I36" i="16" s="1"/>
  <c r="H19" i="16"/>
  <c r="H36" i="16" s="1"/>
  <c r="G19" i="16"/>
  <c r="G36" i="16" s="1"/>
  <c r="F19" i="16"/>
  <c r="F36" i="16" s="1"/>
  <c r="Q14" i="15"/>
  <c r="J23" i="15"/>
  <c r="M23" i="15" s="1"/>
  <c r="O23" i="15" s="1"/>
  <c r="J20" i="15"/>
  <c r="M20" i="15" s="1"/>
  <c r="M26" i="15" s="1"/>
  <c r="K26" i="13"/>
  <c r="K32" i="13"/>
  <c r="G29" i="8"/>
  <c r="K15" i="26" s="1"/>
  <c r="H29" i="8"/>
  <c r="L15" i="26" s="1"/>
  <c r="C31" i="8"/>
  <c r="G17" i="26" s="1"/>
  <c r="D31" i="8"/>
  <c r="H17" i="26" s="1"/>
  <c r="E31" i="8"/>
  <c r="I17" i="26" s="1"/>
  <c r="F31" i="8"/>
  <c r="J17" i="26" s="1"/>
  <c r="G31" i="8"/>
  <c r="K17" i="26" s="1"/>
  <c r="H31" i="8"/>
  <c r="L17" i="26" s="1"/>
  <c r="C34" i="8"/>
  <c r="G20" i="26" s="1"/>
  <c r="G195" i="26" s="1"/>
  <c r="D34" i="8"/>
  <c r="H20" i="26" s="1"/>
  <c r="E34" i="8"/>
  <c r="I20" i="26" s="1"/>
  <c r="F34" i="8"/>
  <c r="J20" i="26" s="1"/>
  <c r="G34" i="8"/>
  <c r="K20" i="26" s="1"/>
  <c r="H34" i="8"/>
  <c r="L20" i="26" s="1"/>
  <c r="C32" i="8"/>
  <c r="G18" i="26" s="1"/>
  <c r="D32" i="8"/>
  <c r="H18" i="26" s="1"/>
  <c r="E32" i="8"/>
  <c r="I18" i="26" s="1"/>
  <c r="F32" i="8"/>
  <c r="J18" i="26" s="1"/>
  <c r="G32" i="8"/>
  <c r="K18" i="26" s="1"/>
  <c r="H32" i="8"/>
  <c r="L18" i="26" s="1"/>
  <c r="C35" i="8"/>
  <c r="G21" i="26" s="1"/>
  <c r="D35" i="8"/>
  <c r="H21" i="26" s="1"/>
  <c r="E35" i="8"/>
  <c r="I21" i="26" s="1"/>
  <c r="F35" i="8"/>
  <c r="J21" i="26" s="1"/>
  <c r="G35" i="8"/>
  <c r="K21" i="26" s="1"/>
  <c r="H35" i="8"/>
  <c r="L21" i="26" s="1"/>
  <c r="C36" i="8"/>
  <c r="G22" i="26" s="1"/>
  <c r="D36" i="8"/>
  <c r="H22" i="26" s="1"/>
  <c r="E36" i="8"/>
  <c r="I22" i="26" s="1"/>
  <c r="F36" i="8"/>
  <c r="J22" i="26" s="1"/>
  <c r="G36" i="8"/>
  <c r="K22" i="26" s="1"/>
  <c r="H36" i="8"/>
  <c r="L22" i="26" s="1"/>
  <c r="K201" i="19"/>
  <c r="I521" i="19"/>
  <c r="G521" i="19"/>
  <c r="J21" i="28" l="1"/>
  <c r="J19" i="28" s="1"/>
  <c r="J27" i="28" s="1"/>
  <c r="Q27" i="16"/>
  <c r="Q33" i="16"/>
  <c r="O21" i="16"/>
  <c r="Q21" i="16" s="1"/>
  <c r="O20" i="15"/>
  <c r="O26" i="15" s="1"/>
  <c r="J26" i="15"/>
  <c r="N26" i="13"/>
  <c r="K38" i="13"/>
  <c r="G33" i="29"/>
  <c r="P33" i="29" s="1"/>
  <c r="G186" i="29"/>
  <c r="B43" i="29"/>
  <c r="B133" i="29"/>
  <c r="N32" i="13"/>
  <c r="P32" i="13" s="1"/>
  <c r="F7" i="30"/>
  <c r="E18" i="30"/>
  <c r="E29" i="30" s="1"/>
  <c r="E42" i="30" s="1"/>
  <c r="B21" i="30"/>
  <c r="B32" i="30" s="1"/>
  <c r="B45" i="30" s="1"/>
  <c r="P51" i="29"/>
  <c r="G141" i="29"/>
  <c r="P78" i="29"/>
  <c r="G168" i="29"/>
  <c r="P69" i="29"/>
  <c r="G159" i="29"/>
  <c r="J13" i="29"/>
  <c r="B187" i="29"/>
  <c r="B79" i="29"/>
  <c r="B178" i="29"/>
  <c r="B34" i="29"/>
  <c r="B198" i="29"/>
  <c r="B169" i="29"/>
  <c r="B151" i="29"/>
  <c r="B109" i="29"/>
  <c r="B70" i="29"/>
  <c r="B52" i="29"/>
  <c r="B124" i="29"/>
  <c r="B97" i="29"/>
  <c r="B160" i="29"/>
  <c r="B61" i="29"/>
  <c r="B88" i="29"/>
  <c r="B142" i="29"/>
  <c r="L19" i="16"/>
  <c r="L36" i="16" s="1"/>
  <c r="C93" i="8"/>
  <c r="E95" i="8"/>
  <c r="D94" i="8"/>
  <c r="I707" i="26"/>
  <c r="G707" i="26"/>
  <c r="I700" i="26"/>
  <c r="G700" i="26"/>
  <c r="I689" i="26"/>
  <c r="G689" i="26"/>
  <c r="I679" i="26"/>
  <c r="G679" i="26"/>
  <c r="M670" i="26"/>
  <c r="L670" i="26"/>
  <c r="I670" i="26"/>
  <c r="H670" i="26"/>
  <c r="G670" i="26"/>
  <c r="M662" i="26"/>
  <c r="L662" i="26"/>
  <c r="I662" i="26"/>
  <c r="H662" i="26"/>
  <c r="G662" i="26"/>
  <c r="M655" i="26"/>
  <c r="L655" i="26"/>
  <c r="I655" i="26"/>
  <c r="H655" i="26"/>
  <c r="G655" i="26"/>
  <c r="K650" i="26"/>
  <c r="I650" i="26"/>
  <c r="H650" i="26"/>
  <c r="G650" i="26"/>
  <c r="I633" i="26"/>
  <c r="G633" i="26"/>
  <c r="I626" i="26"/>
  <c r="G626" i="26"/>
  <c r="I615" i="26"/>
  <c r="G615" i="26"/>
  <c r="I605" i="26"/>
  <c r="G605" i="26"/>
  <c r="M596" i="26"/>
  <c r="L596" i="26"/>
  <c r="I596" i="26"/>
  <c r="H596" i="26"/>
  <c r="G596" i="26"/>
  <c r="M588" i="26"/>
  <c r="L588" i="26"/>
  <c r="I588" i="26"/>
  <c r="H588" i="26"/>
  <c r="G588" i="26"/>
  <c r="M581" i="26"/>
  <c r="L581" i="26"/>
  <c r="I581" i="26"/>
  <c r="H581" i="26"/>
  <c r="G581" i="26"/>
  <c r="K576" i="26"/>
  <c r="I576" i="26"/>
  <c r="H576" i="26"/>
  <c r="G576" i="26"/>
  <c r="I558" i="26"/>
  <c r="G558" i="26"/>
  <c r="I551" i="26"/>
  <c r="G551" i="26"/>
  <c r="I540" i="26"/>
  <c r="G540" i="26"/>
  <c r="I530" i="26"/>
  <c r="G530" i="26"/>
  <c r="M521" i="26"/>
  <c r="L521" i="26"/>
  <c r="I521" i="26"/>
  <c r="H521" i="26"/>
  <c r="G521" i="26"/>
  <c r="M513" i="26"/>
  <c r="L513" i="26"/>
  <c r="I513" i="26"/>
  <c r="H513" i="26"/>
  <c r="G513" i="26"/>
  <c r="M506" i="26"/>
  <c r="L506" i="26"/>
  <c r="I506" i="26"/>
  <c r="H506" i="26"/>
  <c r="G506" i="26"/>
  <c r="K501" i="26"/>
  <c r="I501" i="26"/>
  <c r="H501" i="26"/>
  <c r="G501" i="26"/>
  <c r="I406" i="26"/>
  <c r="G406" i="26"/>
  <c r="I399" i="26"/>
  <c r="G399" i="26"/>
  <c r="I388" i="26"/>
  <c r="G388" i="26"/>
  <c r="I378" i="26"/>
  <c r="G378" i="26"/>
  <c r="M369" i="26"/>
  <c r="L369" i="26"/>
  <c r="I369" i="26"/>
  <c r="H369" i="26"/>
  <c r="G369" i="26"/>
  <c r="M361" i="26"/>
  <c r="L361" i="26"/>
  <c r="I361" i="26"/>
  <c r="H361" i="26"/>
  <c r="G361" i="26"/>
  <c r="M354" i="26"/>
  <c r="L354" i="26"/>
  <c r="I354" i="26"/>
  <c r="H354" i="26"/>
  <c r="G354" i="26"/>
  <c r="K349" i="26"/>
  <c r="I349" i="26"/>
  <c r="H349" i="26"/>
  <c r="G349" i="26"/>
  <c r="B323" i="26"/>
  <c r="I316" i="26"/>
  <c r="G316" i="26"/>
  <c r="I309" i="26"/>
  <c r="G309" i="26"/>
  <c r="I298" i="26"/>
  <c r="G298" i="26"/>
  <c r="I288" i="26"/>
  <c r="G288" i="26"/>
  <c r="M279" i="26"/>
  <c r="L279" i="26"/>
  <c r="I279" i="26"/>
  <c r="H279" i="26"/>
  <c r="G279" i="26"/>
  <c r="M271" i="26"/>
  <c r="L271" i="26"/>
  <c r="I271" i="26"/>
  <c r="H271" i="26"/>
  <c r="G271" i="26"/>
  <c r="M264" i="26"/>
  <c r="L264" i="26"/>
  <c r="I264" i="26"/>
  <c r="H264" i="26"/>
  <c r="G264" i="26"/>
  <c r="K259" i="26"/>
  <c r="I259" i="26"/>
  <c r="H259" i="26"/>
  <c r="G259" i="26"/>
  <c r="B230" i="26"/>
  <c r="H228" i="26"/>
  <c r="I228" i="26" s="1"/>
  <c r="J228" i="26" s="1"/>
  <c r="K228" i="26" s="1"/>
  <c r="L228" i="26" s="1"/>
  <c r="M228" i="26" s="1"/>
  <c r="N228" i="26" s="1"/>
  <c r="O228" i="26" s="1"/>
  <c r="P228" i="26" s="1"/>
  <c r="L222" i="26"/>
  <c r="L223" i="26" s="1"/>
  <c r="K221" i="26"/>
  <c r="K222" i="26" s="1"/>
  <c r="J220" i="26"/>
  <c r="J221" i="26" s="1"/>
  <c r="G674" i="26" s="1"/>
  <c r="I219" i="26"/>
  <c r="I220" i="26" s="1"/>
  <c r="G665" i="26" s="1"/>
  <c r="H218" i="26"/>
  <c r="H219" i="26" s="1"/>
  <c r="G217" i="26"/>
  <c r="R217" i="26" s="1"/>
  <c r="B217" i="26"/>
  <c r="L211" i="26"/>
  <c r="L212" i="26" s="1"/>
  <c r="K210" i="26"/>
  <c r="K211" i="26" s="1"/>
  <c r="J209" i="26"/>
  <c r="J210" i="26" s="1"/>
  <c r="G600" i="26" s="1"/>
  <c r="I208" i="26"/>
  <c r="I209" i="26" s="1"/>
  <c r="G591" i="26" s="1"/>
  <c r="H207" i="26"/>
  <c r="H208" i="26" s="1"/>
  <c r="G206" i="26"/>
  <c r="B206" i="26"/>
  <c r="L178" i="26"/>
  <c r="L179" i="26" s="1"/>
  <c r="G469" i="26" s="1"/>
  <c r="K177" i="26"/>
  <c r="K178" i="26" s="1"/>
  <c r="G458" i="26" s="1"/>
  <c r="J176" i="26"/>
  <c r="J177" i="26" s="1"/>
  <c r="G448" i="26" s="1"/>
  <c r="I175" i="26"/>
  <c r="I176" i="26" s="1"/>
  <c r="G439" i="26" s="1"/>
  <c r="H174" i="26"/>
  <c r="H175" i="26" s="1"/>
  <c r="G431" i="26" s="1"/>
  <c r="G173" i="26"/>
  <c r="G174" i="26" s="1"/>
  <c r="G425" i="26" s="1"/>
  <c r="I425" i="26" s="1"/>
  <c r="B173" i="26"/>
  <c r="L200" i="26"/>
  <c r="L201" i="26" s="1"/>
  <c r="G546" i="26" s="1"/>
  <c r="H552" i="26" s="1"/>
  <c r="K199" i="26"/>
  <c r="K200" i="26" s="1"/>
  <c r="G535" i="26" s="1"/>
  <c r="J198" i="26"/>
  <c r="J199" i="26" s="1"/>
  <c r="I197" i="26"/>
  <c r="I198" i="26" s="1"/>
  <c r="H196" i="26"/>
  <c r="H197" i="26" s="1"/>
  <c r="R195" i="26"/>
  <c r="B195" i="26"/>
  <c r="B184" i="26"/>
  <c r="L167" i="26"/>
  <c r="L168" i="26" s="1"/>
  <c r="G394" i="26" s="1"/>
  <c r="H400" i="26" s="1"/>
  <c r="K166" i="26"/>
  <c r="K167" i="26" s="1"/>
  <c r="G383" i="26" s="1"/>
  <c r="H393" i="26" s="1"/>
  <c r="J165" i="26"/>
  <c r="J166" i="26" s="1"/>
  <c r="I164" i="26"/>
  <c r="I165" i="26" s="1"/>
  <c r="H163" i="26"/>
  <c r="H164" i="26" s="1"/>
  <c r="G162" i="26"/>
  <c r="R162" i="26" s="1"/>
  <c r="B162" i="26"/>
  <c r="L145" i="26"/>
  <c r="L146" i="26" s="1"/>
  <c r="G304" i="26" s="1"/>
  <c r="H310" i="26" s="1"/>
  <c r="K144" i="26"/>
  <c r="K145" i="26" s="1"/>
  <c r="G293" i="26" s="1"/>
  <c r="H303" i="26" s="1"/>
  <c r="J143" i="26"/>
  <c r="J144" i="26" s="1"/>
  <c r="I142" i="26"/>
  <c r="I143" i="26" s="1"/>
  <c r="H141" i="26"/>
  <c r="H142" i="26" s="1"/>
  <c r="G140" i="26"/>
  <c r="R140" i="26" s="1"/>
  <c r="B140" i="26"/>
  <c r="H137" i="26"/>
  <c r="I137" i="26" s="1"/>
  <c r="J137" i="26" s="1"/>
  <c r="K137" i="26" s="1"/>
  <c r="B123" i="26"/>
  <c r="H121" i="26"/>
  <c r="I121" i="26" s="1"/>
  <c r="J121" i="26" s="1"/>
  <c r="K121" i="26" s="1"/>
  <c r="L121" i="26" s="1"/>
  <c r="M121" i="26" s="1"/>
  <c r="N121" i="26" s="1"/>
  <c r="O121" i="26" s="1"/>
  <c r="P121" i="26" s="1"/>
  <c r="R110" i="26"/>
  <c r="R109" i="26"/>
  <c r="B109" i="26"/>
  <c r="R99" i="26"/>
  <c r="R98" i="26"/>
  <c r="B98" i="26"/>
  <c r="R66" i="26"/>
  <c r="R65" i="26"/>
  <c r="B65" i="26"/>
  <c r="R88" i="26"/>
  <c r="R87" i="26"/>
  <c r="B87" i="26"/>
  <c r="B76" i="26"/>
  <c r="R55" i="26"/>
  <c r="R54" i="26"/>
  <c r="B54" i="26"/>
  <c r="R33" i="26"/>
  <c r="R32" i="26"/>
  <c r="B32" i="26"/>
  <c r="H29" i="26"/>
  <c r="I29" i="26" s="1"/>
  <c r="J29" i="26" s="1"/>
  <c r="K29" i="26" s="1"/>
  <c r="L29" i="26" s="1"/>
  <c r="M29" i="26" s="1"/>
  <c r="N29" i="26" s="1"/>
  <c r="O29" i="26" s="1"/>
  <c r="P29" i="26" s="1"/>
  <c r="L24" i="26"/>
  <c r="K24" i="26"/>
  <c r="J24" i="26"/>
  <c r="I24" i="26"/>
  <c r="H24" i="26"/>
  <c r="G24" i="26"/>
  <c r="R18" i="26"/>
  <c r="H13" i="26"/>
  <c r="B7" i="26"/>
  <c r="B4" i="26"/>
  <c r="E2" i="26"/>
  <c r="D2" i="26"/>
  <c r="B2" i="26"/>
  <c r="L83" i="8"/>
  <c r="K83" i="8"/>
  <c r="N74" i="8"/>
  <c r="L66" i="8"/>
  <c r="L67" i="8" s="1"/>
  <c r="K44" i="8"/>
  <c r="B64" i="8" s="1"/>
  <c r="B81" i="8" s="1"/>
  <c r="B101" i="8" s="1"/>
  <c r="J44" i="8"/>
  <c r="B63" i="8" s="1"/>
  <c r="B80" i="8" s="1"/>
  <c r="B100" i="8" s="1"/>
  <c r="I44" i="8"/>
  <c r="B62" i="8" s="1"/>
  <c r="B79" i="8" s="1"/>
  <c r="B99" i="8" s="1"/>
  <c r="H44" i="8"/>
  <c r="B61" i="8" s="1"/>
  <c r="B78" i="8" s="1"/>
  <c r="B98" i="8" s="1"/>
  <c r="L36" i="8"/>
  <c r="P22" i="26" s="1"/>
  <c r="P226" i="26" s="1"/>
  <c r="K36" i="8"/>
  <c r="O22" i="26" s="1"/>
  <c r="O225" i="26" s="1"/>
  <c r="O226" i="26" s="1"/>
  <c r="J36" i="8"/>
  <c r="N22" i="26" s="1"/>
  <c r="N224" i="26" s="1"/>
  <c r="N225" i="26" s="1"/>
  <c r="G709" i="26" s="1"/>
  <c r="I36" i="8"/>
  <c r="M22" i="26" s="1"/>
  <c r="I35" i="8"/>
  <c r="M21" i="26" s="1"/>
  <c r="L34" i="8"/>
  <c r="P20" i="26" s="1"/>
  <c r="P204" i="26" s="1"/>
  <c r="K34" i="8"/>
  <c r="O20" i="26" s="1"/>
  <c r="O203" i="26" s="1"/>
  <c r="O204" i="26" s="1"/>
  <c r="J34" i="8"/>
  <c r="N20" i="26" s="1"/>
  <c r="N202" i="26" s="1"/>
  <c r="N203" i="26" s="1"/>
  <c r="G560" i="26" s="1"/>
  <c r="I34" i="8"/>
  <c r="L31" i="8"/>
  <c r="P17" i="26" s="1"/>
  <c r="P171" i="26" s="1"/>
  <c r="K31" i="8"/>
  <c r="O17" i="26" s="1"/>
  <c r="O170" i="26" s="1"/>
  <c r="O171" i="26" s="1"/>
  <c r="J31" i="8"/>
  <c r="N17" i="26" s="1"/>
  <c r="I31" i="8"/>
  <c r="M17" i="26" s="1"/>
  <c r="H28" i="8"/>
  <c r="H45" i="8" s="1"/>
  <c r="H62" i="8" s="1"/>
  <c r="H99" i="8" s="1"/>
  <c r="F28" i="8"/>
  <c r="F45" i="8" s="1"/>
  <c r="F60" i="8" s="1"/>
  <c r="F97" i="8" s="1"/>
  <c r="D28" i="8"/>
  <c r="D45" i="8" s="1"/>
  <c r="D58" i="8" s="1"/>
  <c r="N58" i="8" s="1"/>
  <c r="E28" i="8"/>
  <c r="E45" i="8" s="1"/>
  <c r="E59" i="8" s="1"/>
  <c r="N59" i="8" s="1"/>
  <c r="K18" i="8"/>
  <c r="J18" i="8"/>
  <c r="I18" i="8"/>
  <c r="H18" i="8"/>
  <c r="K8" i="8"/>
  <c r="J8" i="8"/>
  <c r="I8" i="8"/>
  <c r="H8" i="8"/>
  <c r="R112" i="19"/>
  <c r="R111" i="19"/>
  <c r="R101" i="19"/>
  <c r="R100" i="19"/>
  <c r="R68" i="19"/>
  <c r="R67" i="19"/>
  <c r="R90" i="19"/>
  <c r="R89" i="19"/>
  <c r="R79" i="19"/>
  <c r="R78" i="19"/>
  <c r="R57" i="19"/>
  <c r="R56" i="19"/>
  <c r="R35" i="19"/>
  <c r="G812" i="19"/>
  <c r="H812" i="19" s="1"/>
  <c r="N120" i="19" s="1"/>
  <c r="N250" i="19" s="1"/>
  <c r="G787" i="19"/>
  <c r="R241" i="19"/>
  <c r="M236" i="19"/>
  <c r="M237" i="19" s="1"/>
  <c r="L235" i="19"/>
  <c r="L236" i="19" s="1"/>
  <c r="K234" i="19"/>
  <c r="K235" i="19" s="1"/>
  <c r="G713" i="19" s="1"/>
  <c r="J233" i="19"/>
  <c r="I232" i="19"/>
  <c r="H231" i="19"/>
  <c r="G230" i="19"/>
  <c r="R230" i="19" s="1"/>
  <c r="L202" i="19"/>
  <c r="L203" i="19" s="1"/>
  <c r="G516" i="19" s="1"/>
  <c r="H522" i="19" s="1"/>
  <c r="L75" i="19" s="1"/>
  <c r="R75" i="19" s="1"/>
  <c r="K202" i="19"/>
  <c r="J200" i="19"/>
  <c r="I199" i="19"/>
  <c r="H198" i="19"/>
  <c r="G197" i="19"/>
  <c r="R197" i="19" s="1"/>
  <c r="P228" i="19"/>
  <c r="O227" i="19"/>
  <c r="O228" i="19" s="1"/>
  <c r="N226" i="19"/>
  <c r="N227" i="19" s="1"/>
  <c r="G663" i="19" s="1"/>
  <c r="H663" i="19" s="1"/>
  <c r="M225" i="19"/>
  <c r="M226" i="19" s="1"/>
  <c r="G656" i="19" s="1"/>
  <c r="L224" i="19"/>
  <c r="L225" i="19" s="1"/>
  <c r="G649" i="19" s="1"/>
  <c r="K223" i="19"/>
  <c r="K224" i="19" s="1"/>
  <c r="G638" i="19" s="1"/>
  <c r="J222" i="19"/>
  <c r="I221" i="19"/>
  <c r="H220" i="19"/>
  <c r="G219" i="19"/>
  <c r="R219" i="19" s="1"/>
  <c r="L213" i="19"/>
  <c r="L214" i="19" s="1"/>
  <c r="G582" i="19" s="1"/>
  <c r="K212" i="19"/>
  <c r="K213" i="19" s="1"/>
  <c r="J211" i="19"/>
  <c r="I210" i="19"/>
  <c r="H209" i="19"/>
  <c r="G208" i="19"/>
  <c r="R208" i="19" s="1"/>
  <c r="P195" i="19"/>
  <c r="O194" i="19"/>
  <c r="O195" i="19" s="1"/>
  <c r="N193" i="19"/>
  <c r="N194" i="19" s="1"/>
  <c r="G455" i="19" s="1"/>
  <c r="M192" i="19"/>
  <c r="M193" i="19" s="1"/>
  <c r="L191" i="19"/>
  <c r="L192" i="19" s="1"/>
  <c r="G441" i="19" s="1"/>
  <c r="K190" i="19"/>
  <c r="K191" i="19" s="1"/>
  <c r="J189" i="19"/>
  <c r="I188" i="19"/>
  <c r="H187" i="19"/>
  <c r="G186" i="19"/>
  <c r="R186" i="19" s="1"/>
  <c r="P173" i="19"/>
  <c r="O172" i="19"/>
  <c r="O173" i="19" s="1"/>
  <c r="N171" i="19"/>
  <c r="N172" i="19" s="1"/>
  <c r="M170" i="19"/>
  <c r="L169" i="19"/>
  <c r="L170" i="19" s="1"/>
  <c r="I810" i="19"/>
  <c r="G810" i="19"/>
  <c r="I803" i="19"/>
  <c r="G803" i="19"/>
  <c r="I792" i="19"/>
  <c r="G792" i="19"/>
  <c r="I782" i="19"/>
  <c r="G782" i="19"/>
  <c r="I736" i="19"/>
  <c r="G736" i="19"/>
  <c r="I729" i="19"/>
  <c r="G729" i="19"/>
  <c r="I718" i="19"/>
  <c r="G718" i="19"/>
  <c r="I708" i="19"/>
  <c r="G708" i="19"/>
  <c r="I510" i="19"/>
  <c r="G510" i="19"/>
  <c r="I500" i="19"/>
  <c r="G500" i="19"/>
  <c r="I661" i="19"/>
  <c r="G661" i="19"/>
  <c r="I654" i="19"/>
  <c r="G654" i="19"/>
  <c r="I643" i="19"/>
  <c r="G643" i="19"/>
  <c r="I633" i="19"/>
  <c r="G633" i="19"/>
  <c r="I587" i="19"/>
  <c r="G587" i="19"/>
  <c r="I576" i="19"/>
  <c r="G576" i="19"/>
  <c r="I566" i="19"/>
  <c r="G566" i="19"/>
  <c r="I453" i="19"/>
  <c r="G453" i="19"/>
  <c r="I446" i="19"/>
  <c r="G446" i="19"/>
  <c r="I435" i="19"/>
  <c r="G435" i="19"/>
  <c r="I425" i="19"/>
  <c r="G425" i="19"/>
  <c r="I363" i="19"/>
  <c r="G363" i="19"/>
  <c r="I356" i="19"/>
  <c r="G356" i="19"/>
  <c r="I345" i="19"/>
  <c r="G345" i="19"/>
  <c r="B370" i="19"/>
  <c r="B276" i="19"/>
  <c r="B241" i="19"/>
  <c r="B230" i="19"/>
  <c r="B197" i="19"/>
  <c r="B219" i="19"/>
  <c r="B208" i="19"/>
  <c r="B186" i="19"/>
  <c r="B164" i="19"/>
  <c r="B147" i="19"/>
  <c r="B111" i="19"/>
  <c r="B100" i="19"/>
  <c r="B67" i="19"/>
  <c r="B89" i="19"/>
  <c r="B78" i="19"/>
  <c r="B56" i="19"/>
  <c r="I335" i="19"/>
  <c r="G335" i="19"/>
  <c r="O26" i="19"/>
  <c r="N26" i="19"/>
  <c r="M26" i="19"/>
  <c r="L26" i="19"/>
  <c r="N62" i="8" l="1"/>
  <c r="E66" i="8"/>
  <c r="P26" i="13"/>
  <c r="P38" i="13" s="1"/>
  <c r="N38" i="13"/>
  <c r="F66" i="8"/>
  <c r="D95" i="8"/>
  <c r="D66" i="8"/>
  <c r="N60" i="8"/>
  <c r="E96" i="8"/>
  <c r="G123" i="29"/>
  <c r="B44" i="29"/>
  <c r="B134" i="29"/>
  <c r="H475" i="26"/>
  <c r="H476" i="26" s="1"/>
  <c r="H469" i="26"/>
  <c r="H468" i="26"/>
  <c r="K72" i="26" s="1"/>
  <c r="H458" i="26"/>
  <c r="J259" i="26"/>
  <c r="K444" i="26"/>
  <c r="J436" i="26"/>
  <c r="K429" i="26"/>
  <c r="J444" i="26"/>
  <c r="J429" i="26"/>
  <c r="J424" i="26"/>
  <c r="K436" i="26"/>
  <c r="J425" i="26"/>
  <c r="B44" i="26"/>
  <c r="B152" i="26"/>
  <c r="M20" i="26"/>
  <c r="M201" i="26" s="1"/>
  <c r="M202" i="26" s="1"/>
  <c r="G553" i="26" s="1"/>
  <c r="H559" i="26" s="1"/>
  <c r="M15" i="26"/>
  <c r="M171" i="19"/>
  <c r="G358" i="19" s="1"/>
  <c r="R17" i="26"/>
  <c r="R21" i="26"/>
  <c r="R22" i="26"/>
  <c r="N169" i="26"/>
  <c r="N170" i="26" s="1"/>
  <c r="G408" i="26" s="1"/>
  <c r="H408" i="26" s="1"/>
  <c r="N63" i="26" s="1"/>
  <c r="N171" i="26" s="1"/>
  <c r="M212" i="26"/>
  <c r="M213" i="26" s="1"/>
  <c r="G628" i="26" s="1"/>
  <c r="H634" i="26" s="1"/>
  <c r="M168" i="26"/>
  <c r="M169" i="26" s="1"/>
  <c r="G401" i="26" s="1"/>
  <c r="H407" i="26" s="1"/>
  <c r="M223" i="26"/>
  <c r="M224" i="26" s="1"/>
  <c r="G702" i="26" s="1"/>
  <c r="H708" i="26" s="1"/>
  <c r="G505" i="19"/>
  <c r="H515" i="19" s="1"/>
  <c r="F18" i="30"/>
  <c r="F29" i="30" s="1"/>
  <c r="F42" i="30" s="1"/>
  <c r="B22" i="30"/>
  <c r="B33" i="30" s="1"/>
  <c r="B46" i="30" s="1"/>
  <c r="K13" i="29"/>
  <c r="B110" i="29"/>
  <c r="B143" i="29"/>
  <c r="B53" i="29"/>
  <c r="B80" i="29"/>
  <c r="B35" i="29"/>
  <c r="B89" i="29"/>
  <c r="B125" i="29"/>
  <c r="B161" i="29"/>
  <c r="B188" i="29"/>
  <c r="B199" i="29"/>
  <c r="B170" i="29"/>
  <c r="B98" i="29"/>
  <c r="B152" i="29"/>
  <c r="B62" i="29"/>
  <c r="B179" i="29"/>
  <c r="B71" i="29"/>
  <c r="H66" i="8"/>
  <c r="L25" i="26" s="1"/>
  <c r="J25" i="26"/>
  <c r="H25" i="26"/>
  <c r="I25" i="26"/>
  <c r="G245" i="26"/>
  <c r="G621" i="26"/>
  <c r="H627" i="26" s="1"/>
  <c r="H535" i="26"/>
  <c r="K93" i="26" s="1"/>
  <c r="K201" i="26" s="1"/>
  <c r="H545" i="26"/>
  <c r="H455" i="19"/>
  <c r="I455" i="19" s="1"/>
  <c r="H516" i="19"/>
  <c r="I516" i="19" s="1"/>
  <c r="G522" i="19" s="1"/>
  <c r="I522" i="19" s="1"/>
  <c r="H787" i="19"/>
  <c r="H797" i="19"/>
  <c r="H638" i="19"/>
  <c r="K95" i="19" s="1"/>
  <c r="K225" i="19" s="1"/>
  <c r="H648" i="19"/>
  <c r="H713" i="19"/>
  <c r="I713" i="19" s="1"/>
  <c r="G723" i="19" s="1"/>
  <c r="H723" i="19"/>
  <c r="H582" i="19"/>
  <c r="I582" i="19" s="1"/>
  <c r="G588" i="19" s="1"/>
  <c r="G589" i="19" s="1"/>
  <c r="H588" i="19"/>
  <c r="H649" i="19"/>
  <c r="I649" i="19" s="1"/>
  <c r="G655" i="19" s="1"/>
  <c r="H655" i="19"/>
  <c r="H441" i="19"/>
  <c r="I441" i="19" s="1"/>
  <c r="G447" i="19" s="1"/>
  <c r="H447" i="19"/>
  <c r="H656" i="19"/>
  <c r="I656" i="19" s="1"/>
  <c r="G662" i="19" s="1"/>
  <c r="H662" i="19"/>
  <c r="K369" i="26"/>
  <c r="K670" i="26"/>
  <c r="K596" i="26"/>
  <c r="J513" i="26"/>
  <c r="J506" i="26"/>
  <c r="K662" i="26"/>
  <c r="J501" i="26"/>
  <c r="J655" i="26"/>
  <c r="J588" i="26"/>
  <c r="J670" i="26"/>
  <c r="J650" i="26"/>
  <c r="J596" i="26"/>
  <c r="J576" i="26"/>
  <c r="K521" i="26"/>
  <c r="K655" i="26"/>
  <c r="K588" i="26"/>
  <c r="K581" i="26"/>
  <c r="J521" i="26"/>
  <c r="J662" i="26"/>
  <c r="J581" i="26"/>
  <c r="K513" i="26"/>
  <c r="K506" i="26"/>
  <c r="G163" i="26"/>
  <c r="R163" i="26" s="1"/>
  <c r="G196" i="26"/>
  <c r="G502" i="26" s="1"/>
  <c r="I502" i="26" s="1"/>
  <c r="J502" i="26" s="1"/>
  <c r="R173" i="26"/>
  <c r="K279" i="26"/>
  <c r="G141" i="26"/>
  <c r="R141" i="26" s="1"/>
  <c r="G218" i="26"/>
  <c r="J279" i="26"/>
  <c r="J354" i="26"/>
  <c r="J361" i="26"/>
  <c r="K361" i="26"/>
  <c r="J264" i="26"/>
  <c r="J271" i="26"/>
  <c r="J349" i="26"/>
  <c r="J369" i="26"/>
  <c r="K354" i="26"/>
  <c r="K264" i="26"/>
  <c r="K271" i="26"/>
  <c r="I28" i="8"/>
  <c r="B218" i="26"/>
  <c r="B174" i="26"/>
  <c r="B196" i="26"/>
  <c r="B185" i="26"/>
  <c r="B163" i="26"/>
  <c r="B141" i="26"/>
  <c r="B231" i="26"/>
  <c r="B207" i="26"/>
  <c r="B110" i="26"/>
  <c r="G516" i="26"/>
  <c r="H546" i="26"/>
  <c r="L94" i="26" s="1"/>
  <c r="L202" i="26" s="1"/>
  <c r="G207" i="26"/>
  <c r="R206" i="26"/>
  <c r="G695" i="26"/>
  <c r="H701" i="26" s="1"/>
  <c r="I13" i="26"/>
  <c r="B88" i="26"/>
  <c r="B99" i="26"/>
  <c r="B124" i="26"/>
  <c r="P137" i="26"/>
  <c r="L137" i="26"/>
  <c r="M137" i="26" s="1"/>
  <c r="N137" i="26" s="1"/>
  <c r="O137" i="26" s="1"/>
  <c r="G274" i="26"/>
  <c r="H304" i="26"/>
  <c r="H709" i="26"/>
  <c r="N118" i="26" s="1"/>
  <c r="N226" i="26" s="1"/>
  <c r="B77" i="26"/>
  <c r="G373" i="26"/>
  <c r="B33" i="26"/>
  <c r="B66" i="26"/>
  <c r="G364" i="26"/>
  <c r="H394" i="26"/>
  <c r="L61" i="26" s="1"/>
  <c r="L169" i="26" s="1"/>
  <c r="G508" i="26"/>
  <c r="G525" i="26"/>
  <c r="H560" i="26"/>
  <c r="N96" i="26" s="1"/>
  <c r="N204" i="26" s="1"/>
  <c r="R174" i="26"/>
  <c r="G583" i="26"/>
  <c r="G610" i="26"/>
  <c r="H620" i="26" s="1"/>
  <c r="G356" i="26"/>
  <c r="B55" i="26"/>
  <c r="G266" i="26"/>
  <c r="G283" i="26"/>
  <c r="G657" i="26"/>
  <c r="H293" i="26"/>
  <c r="K38" i="26" s="1"/>
  <c r="K146" i="26" s="1"/>
  <c r="H383" i="26"/>
  <c r="K60" i="26" s="1"/>
  <c r="K168" i="26" s="1"/>
  <c r="G684" i="26"/>
  <c r="H694" i="26" s="1"/>
  <c r="I55" i="8"/>
  <c r="I72" i="8" s="1"/>
  <c r="I92" i="8" s="1"/>
  <c r="J55" i="8"/>
  <c r="J72" i="8" s="1"/>
  <c r="J92" i="8" s="1"/>
  <c r="K55" i="8"/>
  <c r="K72" i="8" s="1"/>
  <c r="K92" i="8" s="1"/>
  <c r="G28" i="8"/>
  <c r="G45" i="8" s="1"/>
  <c r="G61" i="8" s="1"/>
  <c r="H55" i="8"/>
  <c r="H72" i="8" s="1"/>
  <c r="H92" i="8" s="1"/>
  <c r="G448" i="19"/>
  <c r="G365" i="19"/>
  <c r="H365" i="19" s="1"/>
  <c r="G731" i="19"/>
  <c r="G430" i="19"/>
  <c r="G351" i="19"/>
  <c r="G805" i="19"/>
  <c r="G798" i="19"/>
  <c r="G724" i="19"/>
  <c r="I663" i="19"/>
  <c r="N98" i="19"/>
  <c r="N228" i="19" s="1"/>
  <c r="G571" i="19"/>
  <c r="I812" i="19"/>
  <c r="K66" i="7"/>
  <c r="K67" i="7" s="1"/>
  <c r="J65" i="7"/>
  <c r="J66" i="7" s="1"/>
  <c r="I64" i="7"/>
  <c r="I65" i="7" s="1"/>
  <c r="K48" i="7"/>
  <c r="K37" i="7"/>
  <c r="K57" i="7" s="1"/>
  <c r="N30" i="7"/>
  <c r="N29" i="7"/>
  <c r="N28" i="7"/>
  <c r="N26" i="7"/>
  <c r="N25" i="7"/>
  <c r="N24" i="7"/>
  <c r="N23" i="7"/>
  <c r="N22" i="7"/>
  <c r="N27" i="7"/>
  <c r="L31" i="7"/>
  <c r="K31" i="7"/>
  <c r="K32" i="7" s="1"/>
  <c r="J31" i="7"/>
  <c r="N27" i="19" s="1"/>
  <c r="I31" i="7"/>
  <c r="M27" i="19" s="1"/>
  <c r="G31" i="7"/>
  <c r="F31" i="7"/>
  <c r="E31" i="7"/>
  <c r="D31" i="7"/>
  <c r="B29" i="7"/>
  <c r="B46" i="7" s="1"/>
  <c r="B66" i="7" s="1"/>
  <c r="B28" i="7"/>
  <c r="B45" i="7" s="1"/>
  <c r="B65" i="7" s="1"/>
  <c r="B27" i="7"/>
  <c r="B44" i="7" s="1"/>
  <c r="B64" i="7" s="1"/>
  <c r="B26" i="7"/>
  <c r="B43" i="7" s="1"/>
  <c r="B63" i="7" s="1"/>
  <c r="H20" i="7"/>
  <c r="H37" i="7" s="1"/>
  <c r="H57" i="7" s="1"/>
  <c r="I20" i="7"/>
  <c r="I37" i="7" s="1"/>
  <c r="I57" i="7" s="1"/>
  <c r="J20" i="7"/>
  <c r="J37" i="7" s="1"/>
  <c r="J57" i="7" s="1"/>
  <c r="E143" i="5"/>
  <c r="D143" i="5"/>
  <c r="E140" i="5"/>
  <c r="D140" i="5"/>
  <c r="E51" i="5"/>
  <c r="E131" i="5"/>
  <c r="E127" i="5"/>
  <c r="E14" i="5"/>
  <c r="E221" i="5" s="1"/>
  <c r="E13" i="5"/>
  <c r="E217" i="5" s="1"/>
  <c r="G98" i="8" l="1"/>
  <c r="G66" i="8"/>
  <c r="K25" i="26" s="1"/>
  <c r="N61" i="8"/>
  <c r="I45" i="8"/>
  <c r="I63" i="8" s="1"/>
  <c r="C482" i="26"/>
  <c r="L73" i="26"/>
  <c r="I469" i="26"/>
  <c r="G475" i="26" s="1"/>
  <c r="G476" i="26" s="1"/>
  <c r="L72" i="26"/>
  <c r="L180" i="26" s="1"/>
  <c r="I458" i="26"/>
  <c r="G468" i="26" s="1"/>
  <c r="I468" i="26" s="1"/>
  <c r="K71" i="26"/>
  <c r="K179" i="26" s="1"/>
  <c r="G651" i="26"/>
  <c r="I651" i="26" s="1"/>
  <c r="J651" i="26" s="1"/>
  <c r="O27" i="19"/>
  <c r="B45" i="29"/>
  <c r="B135" i="29"/>
  <c r="K425" i="26"/>
  <c r="H430" i="26" s="1"/>
  <c r="G67" i="26"/>
  <c r="B45" i="26"/>
  <c r="B153" i="26"/>
  <c r="L39" i="26"/>
  <c r="L147" i="26" s="1"/>
  <c r="R20" i="26"/>
  <c r="M24" i="26"/>
  <c r="M146" i="26"/>
  <c r="M147" i="26" s="1"/>
  <c r="G311" i="26" s="1"/>
  <c r="H317" i="26" s="1"/>
  <c r="K117" i="19"/>
  <c r="K247" i="19" s="1"/>
  <c r="K258" i="19"/>
  <c r="K259" i="19" s="1"/>
  <c r="E218" i="5"/>
  <c r="N65" i="19"/>
  <c r="N195" i="19" s="1"/>
  <c r="H505" i="19"/>
  <c r="I638" i="19"/>
  <c r="G648" i="19" s="1"/>
  <c r="K106" i="19"/>
  <c r="K236" i="19" s="1"/>
  <c r="L13" i="29"/>
  <c r="B90" i="29"/>
  <c r="B144" i="29"/>
  <c r="B63" i="29"/>
  <c r="B180" i="29"/>
  <c r="B72" i="29"/>
  <c r="B36" i="29"/>
  <c r="B54" i="29"/>
  <c r="B189" i="29"/>
  <c r="B200" i="29"/>
  <c r="B99" i="29"/>
  <c r="B153" i="29"/>
  <c r="B162" i="29"/>
  <c r="B171" i="29"/>
  <c r="B81" i="29"/>
  <c r="B111" i="29"/>
  <c r="B126" i="29"/>
  <c r="R196" i="26"/>
  <c r="G350" i="26"/>
  <c r="I350" i="26" s="1"/>
  <c r="J350" i="26" s="1"/>
  <c r="K350" i="26" s="1"/>
  <c r="G355" i="26" s="1"/>
  <c r="R73" i="26"/>
  <c r="R218" i="26"/>
  <c r="I535" i="26"/>
  <c r="G545" i="26" s="1"/>
  <c r="H621" i="26"/>
  <c r="L105" i="26" s="1"/>
  <c r="L213" i="26" s="1"/>
  <c r="L96" i="19"/>
  <c r="L226" i="19" s="1"/>
  <c r="H351" i="19"/>
  <c r="L41" i="19" s="1"/>
  <c r="L171" i="19" s="1"/>
  <c r="H357" i="19"/>
  <c r="L42" i="19" s="1"/>
  <c r="H358" i="19"/>
  <c r="I358" i="19" s="1"/>
  <c r="G364" i="19" s="1"/>
  <c r="G366" i="19" s="1"/>
  <c r="H364" i="19"/>
  <c r="H366" i="19" s="1"/>
  <c r="C373" i="19" s="1"/>
  <c r="L63" i="19"/>
  <c r="L193" i="19" s="1"/>
  <c r="M97" i="19"/>
  <c r="M227" i="19" s="1"/>
  <c r="H430" i="19"/>
  <c r="I430" i="19" s="1"/>
  <c r="G440" i="19" s="1"/>
  <c r="H440" i="19"/>
  <c r="K63" i="19" s="1"/>
  <c r="H724" i="19"/>
  <c r="L107" i="19" s="1"/>
  <c r="L237" i="19" s="1"/>
  <c r="H730" i="19"/>
  <c r="H731" i="19"/>
  <c r="M108" i="19" s="1"/>
  <c r="M238" i="19" s="1"/>
  <c r="H737" i="19"/>
  <c r="H738" i="19" s="1"/>
  <c r="C746" i="19" s="1"/>
  <c r="I787" i="19"/>
  <c r="G797" i="19" s="1"/>
  <c r="H571" i="19"/>
  <c r="I571" i="19" s="1"/>
  <c r="G581" i="19" s="1"/>
  <c r="H581" i="19"/>
  <c r="L74" i="19"/>
  <c r="L204" i="19" s="1"/>
  <c r="L205" i="19" s="1"/>
  <c r="R205" i="19" s="1"/>
  <c r="H805" i="19"/>
  <c r="H811" i="19"/>
  <c r="R131" i="19" s="1"/>
  <c r="H798" i="19"/>
  <c r="H804" i="19"/>
  <c r="L85" i="19"/>
  <c r="L215" i="19" s="1"/>
  <c r="H448" i="19"/>
  <c r="H449" i="19" s="1"/>
  <c r="C463" i="19" s="1"/>
  <c r="H454" i="19"/>
  <c r="G260" i="26"/>
  <c r="I260" i="26" s="1"/>
  <c r="J260" i="26" s="1"/>
  <c r="K260" i="26" s="1"/>
  <c r="G265" i="26" s="1"/>
  <c r="I408" i="26"/>
  <c r="I383" i="26"/>
  <c r="G393" i="26" s="1"/>
  <c r="K61" i="26" s="1"/>
  <c r="K169" i="26" s="1"/>
  <c r="I293" i="26"/>
  <c r="G303" i="26" s="1"/>
  <c r="I560" i="26"/>
  <c r="I709" i="26"/>
  <c r="K502" i="26"/>
  <c r="G507" i="26" s="1"/>
  <c r="G89" i="26"/>
  <c r="H401" i="26"/>
  <c r="M62" i="26" s="1"/>
  <c r="M170" i="26" s="1"/>
  <c r="H628" i="26"/>
  <c r="M106" i="26" s="1"/>
  <c r="M214" i="26" s="1"/>
  <c r="K180" i="26"/>
  <c r="K94" i="26"/>
  <c r="K202" i="26" s="1"/>
  <c r="H702" i="26"/>
  <c r="M117" i="26" s="1"/>
  <c r="M225" i="26" s="1"/>
  <c r="I394" i="26"/>
  <c r="G400" i="26" s="1"/>
  <c r="I304" i="26"/>
  <c r="G310" i="26" s="1"/>
  <c r="H695" i="26"/>
  <c r="L116" i="26" s="1"/>
  <c r="L224" i="26" s="1"/>
  <c r="G577" i="26"/>
  <c r="I577" i="26" s="1"/>
  <c r="J577" i="26" s="1"/>
  <c r="R207" i="26"/>
  <c r="H684" i="26"/>
  <c r="K115" i="26" s="1"/>
  <c r="K223" i="26" s="1"/>
  <c r="H553" i="26"/>
  <c r="M95" i="26" s="1"/>
  <c r="M203" i="26" s="1"/>
  <c r="H610" i="26"/>
  <c r="K104" i="26" s="1"/>
  <c r="K212" i="26" s="1"/>
  <c r="B175" i="26"/>
  <c r="B197" i="26"/>
  <c r="B186" i="26"/>
  <c r="B164" i="26"/>
  <c r="B142" i="26"/>
  <c r="B219" i="26"/>
  <c r="B208" i="26"/>
  <c r="B125" i="26"/>
  <c r="B232" i="26"/>
  <c r="B100" i="26"/>
  <c r="B89" i="26"/>
  <c r="B78" i="26"/>
  <c r="J13" i="26"/>
  <c r="B67" i="26"/>
  <c r="B34" i="26"/>
  <c r="B111" i="26"/>
  <c r="B56" i="26"/>
  <c r="I546" i="26"/>
  <c r="G552" i="26" s="1"/>
  <c r="G449" i="19"/>
  <c r="G664" i="19"/>
  <c r="I365" i="19"/>
  <c r="N43" i="19"/>
  <c r="N173" i="19" s="1"/>
  <c r="G657" i="19"/>
  <c r="H31" i="7"/>
  <c r="L27" i="19" s="1"/>
  <c r="H64" i="7"/>
  <c r="I505" i="19"/>
  <c r="G515" i="19" s="1"/>
  <c r="K73" i="19"/>
  <c r="K203" i="19" s="1"/>
  <c r="I723" i="19"/>
  <c r="K107" i="19"/>
  <c r="H664" i="19"/>
  <c r="C672" i="19" s="1"/>
  <c r="M98" i="19"/>
  <c r="R98" i="19" s="1"/>
  <c r="H657" i="19"/>
  <c r="C671" i="19" s="1"/>
  <c r="L97" i="19"/>
  <c r="I648" i="19"/>
  <c r="K96" i="19"/>
  <c r="K226" i="19" s="1"/>
  <c r="H589" i="19"/>
  <c r="C596" i="19" s="1"/>
  <c r="L86" i="19"/>
  <c r="L64" i="19"/>
  <c r="I662" i="19"/>
  <c r="I664" i="19" s="1"/>
  <c r="I655" i="19"/>
  <c r="I657" i="19" s="1"/>
  <c r="I588" i="19"/>
  <c r="I589" i="19" s="1"/>
  <c r="I447" i="19"/>
  <c r="L3" i="8"/>
  <c r="G3" i="8"/>
  <c r="F3" i="8"/>
  <c r="E3" i="8"/>
  <c r="D3" i="8"/>
  <c r="C3" i="8"/>
  <c r="J70" i="25"/>
  <c r="I70" i="25"/>
  <c r="I65" i="25"/>
  <c r="L70" i="25"/>
  <c r="K70" i="25"/>
  <c r="H70" i="25"/>
  <c r="G70" i="25"/>
  <c r="F70" i="25"/>
  <c r="J65" i="25"/>
  <c r="H65" i="25"/>
  <c r="G65" i="25"/>
  <c r="F65" i="25"/>
  <c r="M773" i="19"/>
  <c r="L773" i="19"/>
  <c r="K773" i="19"/>
  <c r="J773" i="19"/>
  <c r="I773" i="19"/>
  <c r="H773" i="19"/>
  <c r="G773" i="19"/>
  <c r="M765" i="19"/>
  <c r="L765" i="19"/>
  <c r="K765" i="19"/>
  <c r="J765" i="19"/>
  <c r="I765" i="19"/>
  <c r="H765" i="19"/>
  <c r="G765" i="19"/>
  <c r="M758" i="19"/>
  <c r="L758" i="19"/>
  <c r="K758" i="19"/>
  <c r="J758" i="19"/>
  <c r="I758" i="19"/>
  <c r="H758" i="19"/>
  <c r="G758" i="19"/>
  <c r="K753" i="19"/>
  <c r="J753" i="19"/>
  <c r="I753" i="19"/>
  <c r="H753" i="19"/>
  <c r="G753" i="19"/>
  <c r="M699" i="19"/>
  <c r="L699" i="19"/>
  <c r="K699" i="19"/>
  <c r="J699" i="19"/>
  <c r="I699" i="19"/>
  <c r="H699" i="19"/>
  <c r="G699" i="19"/>
  <c r="M691" i="19"/>
  <c r="L691" i="19"/>
  <c r="K691" i="19"/>
  <c r="J691" i="19"/>
  <c r="I691" i="19"/>
  <c r="H691" i="19"/>
  <c r="G691" i="19"/>
  <c r="M684" i="19"/>
  <c r="L684" i="19"/>
  <c r="K684" i="19"/>
  <c r="J684" i="19"/>
  <c r="I684" i="19"/>
  <c r="H684" i="19"/>
  <c r="G684" i="19"/>
  <c r="K679" i="19"/>
  <c r="J679" i="19"/>
  <c r="I679" i="19"/>
  <c r="H679" i="19"/>
  <c r="G679" i="19"/>
  <c r="M491" i="19"/>
  <c r="L491" i="19"/>
  <c r="K491" i="19"/>
  <c r="J491" i="19"/>
  <c r="I491" i="19"/>
  <c r="H491" i="19"/>
  <c r="G491" i="19"/>
  <c r="M483" i="19"/>
  <c r="L483" i="19"/>
  <c r="K483" i="19"/>
  <c r="J483" i="19"/>
  <c r="I483" i="19"/>
  <c r="H483" i="19"/>
  <c r="G483" i="19"/>
  <c r="M476" i="19"/>
  <c r="L476" i="19"/>
  <c r="K476" i="19"/>
  <c r="J476" i="19"/>
  <c r="I476" i="19"/>
  <c r="H476" i="19"/>
  <c r="G476" i="19"/>
  <c r="K471" i="19"/>
  <c r="J471" i="19"/>
  <c r="I471" i="19"/>
  <c r="H471" i="19"/>
  <c r="G471" i="19"/>
  <c r="M624" i="19"/>
  <c r="L624" i="19"/>
  <c r="K624" i="19"/>
  <c r="J624" i="19"/>
  <c r="I624" i="19"/>
  <c r="H624" i="19"/>
  <c r="G624" i="19"/>
  <c r="M616" i="19"/>
  <c r="L616" i="19"/>
  <c r="K616" i="19"/>
  <c r="J616" i="19"/>
  <c r="I616" i="19"/>
  <c r="H616" i="19"/>
  <c r="G616" i="19"/>
  <c r="M609" i="19"/>
  <c r="L609" i="19"/>
  <c r="K609" i="19"/>
  <c r="J609" i="19"/>
  <c r="I609" i="19"/>
  <c r="H609" i="19"/>
  <c r="G609" i="19"/>
  <c r="K604" i="19"/>
  <c r="J604" i="19"/>
  <c r="I604" i="19"/>
  <c r="H604" i="19"/>
  <c r="G604" i="19"/>
  <c r="M557" i="19"/>
  <c r="L557" i="19"/>
  <c r="K557" i="19"/>
  <c r="J557" i="19"/>
  <c r="I557" i="19"/>
  <c r="H557" i="19"/>
  <c r="G557" i="19"/>
  <c r="M549" i="19"/>
  <c r="L549" i="19"/>
  <c r="K549" i="19"/>
  <c r="J549" i="19"/>
  <c r="I549" i="19"/>
  <c r="H549" i="19"/>
  <c r="G549" i="19"/>
  <c r="M542" i="19"/>
  <c r="L542" i="19"/>
  <c r="K542" i="19"/>
  <c r="J542" i="19"/>
  <c r="I542" i="19"/>
  <c r="H542" i="19"/>
  <c r="G542" i="19"/>
  <c r="K537" i="19"/>
  <c r="J537" i="19"/>
  <c r="I537" i="19"/>
  <c r="H537" i="19"/>
  <c r="G537" i="19"/>
  <c r="K311" i="19"/>
  <c r="H416" i="19"/>
  <c r="H408" i="19"/>
  <c r="H401" i="19"/>
  <c r="H396" i="19"/>
  <c r="H326" i="19"/>
  <c r="H318" i="19"/>
  <c r="H311" i="19"/>
  <c r="H306" i="19"/>
  <c r="M416" i="19"/>
  <c r="L416" i="19"/>
  <c r="K416" i="19"/>
  <c r="J416" i="19"/>
  <c r="I416" i="19"/>
  <c r="G416" i="19"/>
  <c r="M408" i="19"/>
  <c r="L408" i="19"/>
  <c r="K408" i="19"/>
  <c r="J408" i="19"/>
  <c r="I408" i="19"/>
  <c r="G408" i="19"/>
  <c r="M401" i="19"/>
  <c r="L401" i="19"/>
  <c r="K401" i="19"/>
  <c r="J401" i="19"/>
  <c r="I401" i="19"/>
  <c r="G401" i="19"/>
  <c r="K396" i="19"/>
  <c r="J396" i="19"/>
  <c r="I396" i="19"/>
  <c r="G396" i="19"/>
  <c r="M326" i="19"/>
  <c r="L326" i="19"/>
  <c r="K326" i="19"/>
  <c r="J326" i="19"/>
  <c r="I326" i="19"/>
  <c r="G326" i="19"/>
  <c r="M318" i="19"/>
  <c r="L318" i="19"/>
  <c r="K318" i="19"/>
  <c r="J318" i="19"/>
  <c r="I318" i="19"/>
  <c r="G318" i="19"/>
  <c r="M311" i="19"/>
  <c r="L311" i="19"/>
  <c r="J311" i="19"/>
  <c r="I311" i="19"/>
  <c r="G311" i="19"/>
  <c r="K306" i="19"/>
  <c r="J306" i="19"/>
  <c r="I306" i="19"/>
  <c r="G306" i="19"/>
  <c r="G777" i="19"/>
  <c r="G768" i="19"/>
  <c r="I233" i="19"/>
  <c r="G694" i="19" s="1"/>
  <c r="H232" i="19"/>
  <c r="J201" i="19"/>
  <c r="I200" i="19"/>
  <c r="H199" i="19"/>
  <c r="J223" i="19"/>
  <c r="I222" i="19"/>
  <c r="H221" i="19"/>
  <c r="J212" i="19"/>
  <c r="I211" i="19"/>
  <c r="H210" i="19"/>
  <c r="J190" i="19"/>
  <c r="I189" i="19"/>
  <c r="H188" i="19"/>
  <c r="K168" i="19"/>
  <c r="J167" i="19"/>
  <c r="I166" i="19"/>
  <c r="H165" i="19"/>
  <c r="J234" i="19"/>
  <c r="E37" i="22"/>
  <c r="D37" i="22"/>
  <c r="A37" i="1"/>
  <c r="H274" i="19"/>
  <c r="I274" i="19" s="1"/>
  <c r="J274" i="19" s="1"/>
  <c r="K274" i="19" s="1"/>
  <c r="L274" i="19" s="1"/>
  <c r="M274" i="19" s="1"/>
  <c r="N274" i="19" s="1"/>
  <c r="O274" i="19" s="1"/>
  <c r="P274" i="19" s="1"/>
  <c r="H145" i="19"/>
  <c r="I145" i="19" s="1"/>
  <c r="J145" i="19" s="1"/>
  <c r="K145" i="19" s="1"/>
  <c r="L145" i="19" s="1"/>
  <c r="M145" i="19" s="1"/>
  <c r="N145" i="19" s="1"/>
  <c r="O145" i="19" s="1"/>
  <c r="P145" i="19" s="1"/>
  <c r="R34" i="19"/>
  <c r="B34" i="19"/>
  <c r="R20" i="19"/>
  <c r="R17" i="19"/>
  <c r="R15" i="19"/>
  <c r="E56" i="22"/>
  <c r="D56" i="22"/>
  <c r="C56" i="22"/>
  <c r="A29" i="5"/>
  <c r="A32" i="5" s="1"/>
  <c r="A35" i="5" s="1"/>
  <c r="A38" i="5" s="1"/>
  <c r="A45" i="5" s="1"/>
  <c r="A48" i="5" s="1"/>
  <c r="A51" i="5" s="1"/>
  <c r="D7" i="25"/>
  <c r="E7" i="25" s="1"/>
  <c r="F7" i="25" s="1"/>
  <c r="B22" i="25" s="1"/>
  <c r="B37" i="25" s="1"/>
  <c r="B54" i="25" s="1"/>
  <c r="E53" i="25"/>
  <c r="E54" i="25" s="1"/>
  <c r="E55" i="25" s="1"/>
  <c r="E56" i="25" s="1"/>
  <c r="D52" i="25"/>
  <c r="D53" i="25" s="1"/>
  <c r="C51" i="25"/>
  <c r="L51" i="25" s="1"/>
  <c r="J42" i="25"/>
  <c r="J28" i="25" s="1"/>
  <c r="E28" i="25"/>
  <c r="L34" i="25"/>
  <c r="C27" i="25"/>
  <c r="L19" i="25"/>
  <c r="L27" i="25" s="1"/>
  <c r="B19" i="25"/>
  <c r="B34" i="25" s="1"/>
  <c r="B51" i="25" s="1"/>
  <c r="L18" i="8"/>
  <c r="G18" i="8"/>
  <c r="F18" i="8"/>
  <c r="E18" i="8"/>
  <c r="D18" i="8"/>
  <c r="C18" i="8"/>
  <c r="L8" i="8"/>
  <c r="G8" i="8"/>
  <c r="F8" i="8"/>
  <c r="E8" i="8"/>
  <c r="D8" i="8"/>
  <c r="C8" i="8"/>
  <c r="E8" i="22"/>
  <c r="D8" i="22"/>
  <c r="C8" i="22"/>
  <c r="E120" i="22"/>
  <c r="D119" i="22"/>
  <c r="C118" i="22"/>
  <c r="L118" i="22" s="1"/>
  <c r="L100" i="22"/>
  <c r="L85" i="22"/>
  <c r="B92" i="22"/>
  <c r="B107" i="22" s="1"/>
  <c r="B125" i="22" s="1"/>
  <c r="J84" i="22"/>
  <c r="J99" i="22" s="1"/>
  <c r="J117" i="22" s="1"/>
  <c r="B87" i="22"/>
  <c r="B102" i="22" s="1"/>
  <c r="B120" i="22" s="1"/>
  <c r="D84" i="22"/>
  <c r="D99" i="22" s="1"/>
  <c r="D117" i="22" s="1"/>
  <c r="C73" i="22"/>
  <c r="C84" i="22" s="1"/>
  <c r="C99" i="22" s="1"/>
  <c r="C117" i="22" s="1"/>
  <c r="C5" i="22"/>
  <c r="E52" i="22" s="1"/>
  <c r="F52" i="22" s="1"/>
  <c r="C4" i="22"/>
  <c r="Q3" i="22"/>
  <c r="O3" i="22"/>
  <c r="E2" i="19"/>
  <c r="L44" i="8"/>
  <c r="L55" i="8" s="1"/>
  <c r="L72" i="8" s="1"/>
  <c r="L92" i="8" s="1"/>
  <c r="G44" i="8"/>
  <c r="B60" i="8" s="1"/>
  <c r="B77" i="8" s="1"/>
  <c r="B97" i="8" s="1"/>
  <c r="F44" i="8"/>
  <c r="F55" i="8" s="1"/>
  <c r="F72" i="8" s="1"/>
  <c r="F92" i="8" s="1"/>
  <c r="E44" i="8"/>
  <c r="B58" i="8" s="1"/>
  <c r="B75" i="8" s="1"/>
  <c r="B95" i="8" s="1"/>
  <c r="D44" i="8"/>
  <c r="B57" i="8" s="1"/>
  <c r="B74" i="8" s="1"/>
  <c r="B94" i="8" s="1"/>
  <c r="C44" i="8"/>
  <c r="B56" i="8" s="1"/>
  <c r="B73" i="8" s="1"/>
  <c r="B86" i="22"/>
  <c r="B101" i="22" s="1"/>
  <c r="B119" i="22" s="1"/>
  <c r="D2" i="19"/>
  <c r="B2" i="19"/>
  <c r="G220" i="19"/>
  <c r="G605" i="19" s="1"/>
  <c r="G187" i="19"/>
  <c r="G397" i="19" s="1"/>
  <c r="G164" i="19"/>
  <c r="H161" i="19"/>
  <c r="I161" i="19" s="1"/>
  <c r="J161" i="19" s="1"/>
  <c r="K161" i="19" s="1"/>
  <c r="H31" i="19"/>
  <c r="I31" i="19" s="1"/>
  <c r="J31" i="19" s="1"/>
  <c r="K31" i="19" s="1"/>
  <c r="L31" i="19" s="1"/>
  <c r="M31" i="19" s="1"/>
  <c r="N31" i="19" s="1"/>
  <c r="O31" i="19" s="1"/>
  <c r="P31" i="19" s="1"/>
  <c r="H13" i="19"/>
  <c r="P26" i="19"/>
  <c r="P27" i="19" s="1"/>
  <c r="K26" i="19"/>
  <c r="J26" i="19"/>
  <c r="J27" i="19" s="1"/>
  <c r="I26" i="19"/>
  <c r="I27" i="19" s="1"/>
  <c r="H26" i="19"/>
  <c r="H27" i="19" s="1"/>
  <c r="G26" i="19"/>
  <c r="B7" i="19"/>
  <c r="B4" i="19"/>
  <c r="N21" i="7"/>
  <c r="D131" i="5"/>
  <c r="D127" i="5"/>
  <c r="W16" i="16"/>
  <c r="V16" i="16"/>
  <c r="S16" i="16"/>
  <c r="S15" i="16"/>
  <c r="U15" i="15"/>
  <c r="T15" i="15"/>
  <c r="Q15" i="15"/>
  <c r="R1" i="13"/>
  <c r="U2" i="13"/>
  <c r="T2" i="13"/>
  <c r="R2" i="13"/>
  <c r="S4" i="8"/>
  <c r="R4" i="8"/>
  <c r="Q4" i="8"/>
  <c r="S4" i="7"/>
  <c r="R4" i="7"/>
  <c r="Q4" i="7"/>
  <c r="S1" i="5"/>
  <c r="O1" i="5"/>
  <c r="Q2" i="2"/>
  <c r="P2" i="2"/>
  <c r="O32" i="7"/>
  <c r="E19" i="16"/>
  <c r="E36" i="16" s="1"/>
  <c r="R71" i="2"/>
  <c r="R69" i="2"/>
  <c r="R67" i="2"/>
  <c r="R59" i="2"/>
  <c r="R57" i="2"/>
  <c r="R56" i="2"/>
  <c r="R54" i="2"/>
  <c r="R51" i="2"/>
  <c r="R49" i="2"/>
  <c r="R48" i="2"/>
  <c r="R47" i="2"/>
  <c r="R32" i="2"/>
  <c r="R30" i="2"/>
  <c r="R27" i="2"/>
  <c r="R19" i="2"/>
  <c r="R18" i="2"/>
  <c r="R17" i="2"/>
  <c r="R14" i="2"/>
  <c r="D14" i="5"/>
  <c r="D221" i="5" s="1"/>
  <c r="D13" i="5"/>
  <c r="D217" i="5" s="1"/>
  <c r="C7" i="7"/>
  <c r="C6" i="7"/>
  <c r="C5" i="8"/>
  <c r="C4" i="8"/>
  <c r="E6" i="4"/>
  <c r="L67" i="7"/>
  <c r="G62" i="7"/>
  <c r="G63" i="7" s="1"/>
  <c r="F61" i="7"/>
  <c r="F62" i="7" s="1"/>
  <c r="E60" i="7"/>
  <c r="E61" i="7" s="1"/>
  <c r="N73" i="8"/>
  <c r="B21" i="7"/>
  <c r="B38" i="7" s="1"/>
  <c r="B58" i="7" s="1"/>
  <c r="C20" i="7"/>
  <c r="N39" i="7"/>
  <c r="P39" i="7" s="1"/>
  <c r="N38" i="7"/>
  <c r="A12" i="4"/>
  <c r="A9" i="4"/>
  <c r="D6" i="4"/>
  <c r="B35" i="4" s="1"/>
  <c r="D4" i="4"/>
  <c r="D3" i="4"/>
  <c r="L48" i="7"/>
  <c r="L32" i="7" s="1"/>
  <c r="B22" i="7"/>
  <c r="B39" i="7" s="1"/>
  <c r="B59" i="7" s="1"/>
  <c r="B23" i="7"/>
  <c r="B40" i="7" s="1"/>
  <c r="B60" i="7" s="1"/>
  <c r="E20" i="7"/>
  <c r="D20" i="7"/>
  <c r="D59" i="7"/>
  <c r="D60" i="7" s="1"/>
  <c r="D51" i="5"/>
  <c r="F20" i="7"/>
  <c r="B24" i="7"/>
  <c r="B41" i="7"/>
  <c r="B61" i="7" s="1"/>
  <c r="B25" i="7"/>
  <c r="B42" i="7"/>
  <c r="B62" i="7" s="1"/>
  <c r="G20" i="7"/>
  <c r="B30" i="7"/>
  <c r="B47" i="7" s="1"/>
  <c r="B67" i="7" s="1"/>
  <c r="L20" i="7"/>
  <c r="C58" i="7"/>
  <c r="N58" i="7" s="1"/>
  <c r="C31" i="7"/>
  <c r="N93" i="8"/>
  <c r="N56" i="8"/>
  <c r="C18" i="25"/>
  <c r="C33" i="25" s="1"/>
  <c r="C50" i="25" s="1"/>
  <c r="C52" i="25"/>
  <c r="H66" i="25"/>
  <c r="I66" i="25" s="1"/>
  <c r="C36" i="25" s="1"/>
  <c r="L36" i="25" s="1"/>
  <c r="N36" i="25" s="1"/>
  <c r="B20" i="25"/>
  <c r="B35" i="25" s="1"/>
  <c r="B52" i="25" s="1"/>
  <c r="F72" i="25"/>
  <c r="O19" i="16"/>
  <c r="O36" i="16" s="1"/>
  <c r="G55" i="8"/>
  <c r="G72" i="8" s="1"/>
  <c r="G92" i="8" s="1"/>
  <c r="B51" i="4" l="1"/>
  <c r="B47" i="4"/>
  <c r="B43" i="4"/>
  <c r="B41" i="4"/>
  <c r="B50" i="4"/>
  <c r="B46" i="4"/>
  <c r="B42" i="4"/>
  <c r="B45" i="4"/>
  <c r="B48" i="4"/>
  <c r="B44" i="4"/>
  <c r="B49" i="4"/>
  <c r="N63" i="8"/>
  <c r="I100" i="8"/>
  <c r="I66" i="8"/>
  <c r="D57" i="7"/>
  <c r="D37" i="7"/>
  <c r="C37" i="7"/>
  <c r="C57" i="7" s="1"/>
  <c r="F57" i="7"/>
  <c r="F37" i="7"/>
  <c r="E57" i="7"/>
  <c r="E37" i="7"/>
  <c r="G57" i="7"/>
  <c r="G37" i="7"/>
  <c r="L57" i="7"/>
  <c r="L37" i="7"/>
  <c r="R45" i="2"/>
  <c r="L79" i="2"/>
  <c r="R12" i="2"/>
  <c r="O79" i="2"/>
  <c r="G79" i="2"/>
  <c r="J79" i="2"/>
  <c r="N79" i="2"/>
  <c r="L30" i="8"/>
  <c r="P16" i="26" s="1"/>
  <c r="P160" i="26" s="1"/>
  <c r="K29" i="8"/>
  <c r="J29" i="8"/>
  <c r="J30" i="8"/>
  <c r="N16" i="26" s="1"/>
  <c r="L29" i="8"/>
  <c r="K30" i="8"/>
  <c r="O16" i="26" s="1"/>
  <c r="O159" i="26" s="1"/>
  <c r="A51" i="22"/>
  <c r="M25" i="26"/>
  <c r="G294" i="19"/>
  <c r="D92" i="5" s="1"/>
  <c r="D12" i="5"/>
  <c r="B59" i="5" s="1"/>
  <c r="D17" i="4"/>
  <c r="E17" i="4"/>
  <c r="A49" i="22"/>
  <c r="I475" i="26"/>
  <c r="I476" i="26" s="1"/>
  <c r="K651" i="26"/>
  <c r="G656" i="26" s="1"/>
  <c r="G658" i="26" s="1"/>
  <c r="G111" i="26"/>
  <c r="R111" i="26" s="1"/>
  <c r="B46" i="29"/>
  <c r="B136" i="29"/>
  <c r="E236" i="5"/>
  <c r="D24" i="4" s="1"/>
  <c r="E232" i="5"/>
  <c r="D20" i="4" s="1"/>
  <c r="E233" i="5"/>
  <c r="D21" i="4" s="1"/>
  <c r="E235" i="5"/>
  <c r="D23" i="4" s="1"/>
  <c r="E231" i="5"/>
  <c r="D19" i="4" s="1"/>
  <c r="E234" i="5"/>
  <c r="D22" i="4" s="1"/>
  <c r="E237" i="5"/>
  <c r="D25" i="4" s="1"/>
  <c r="G430" i="26"/>
  <c r="I430" i="26" s="1"/>
  <c r="H431" i="26"/>
  <c r="I431" i="26" s="1"/>
  <c r="B46" i="26"/>
  <c r="B154" i="26"/>
  <c r="H311" i="26"/>
  <c r="I311" i="26" s="1"/>
  <c r="G317" i="26" s="1"/>
  <c r="D55" i="8"/>
  <c r="D72" i="8" s="1"/>
  <c r="D92" i="8" s="1"/>
  <c r="B65" i="8"/>
  <c r="B82" i="8" s="1"/>
  <c r="B102" i="8" s="1"/>
  <c r="G291" i="19"/>
  <c r="G297" i="19"/>
  <c r="D190" i="5" s="1"/>
  <c r="D225" i="5" s="1"/>
  <c r="B264" i="19"/>
  <c r="B176" i="19"/>
  <c r="B253" i="19"/>
  <c r="I13" i="19"/>
  <c r="B113" i="19" s="1"/>
  <c r="B123" i="19"/>
  <c r="B134" i="19"/>
  <c r="B46" i="19"/>
  <c r="M119" i="19"/>
  <c r="M249" i="19" s="1"/>
  <c r="L118" i="19"/>
  <c r="L248" i="19" s="1"/>
  <c r="L259" i="19"/>
  <c r="L260" i="19" s="1"/>
  <c r="D218" i="5"/>
  <c r="I724" i="19"/>
  <c r="G730" i="19" s="1"/>
  <c r="G732" i="19" s="1"/>
  <c r="K237" i="19"/>
  <c r="B85" i="22"/>
  <c r="B100" i="22" s="1"/>
  <c r="B118" i="22" s="1"/>
  <c r="L181" i="26"/>
  <c r="R181" i="26" s="1"/>
  <c r="B59" i="8"/>
  <c r="B76" i="8" s="1"/>
  <c r="B96" i="8" s="1"/>
  <c r="B93" i="8"/>
  <c r="G56" i="26"/>
  <c r="G164" i="26" s="1"/>
  <c r="I440" i="19"/>
  <c r="M109" i="19"/>
  <c r="R109" i="19" s="1"/>
  <c r="L172" i="19"/>
  <c r="I351" i="19"/>
  <c r="G357" i="19" s="1"/>
  <c r="I357" i="19" s="1"/>
  <c r="R97" i="19"/>
  <c r="T1" i="5"/>
  <c r="E85" i="5" s="1"/>
  <c r="H31" i="30"/>
  <c r="J31" i="30" s="1"/>
  <c r="B21" i="25"/>
  <c r="B36" i="25" s="1"/>
  <c r="B53" i="25" s="1"/>
  <c r="E18" i="25"/>
  <c r="E33" i="25" s="1"/>
  <c r="E50" i="25" s="1"/>
  <c r="D18" i="25"/>
  <c r="D33" i="25" s="1"/>
  <c r="D50" i="25" s="1"/>
  <c r="L52" i="25"/>
  <c r="N34" i="25"/>
  <c r="G7" i="25"/>
  <c r="B23" i="25" s="1"/>
  <c r="B38" i="25" s="1"/>
  <c r="B55" i="25" s="1"/>
  <c r="F18" i="25"/>
  <c r="F33" i="25" s="1"/>
  <c r="F50" i="25" s="1"/>
  <c r="M13" i="29"/>
  <c r="B190" i="29"/>
  <c r="B163" i="29"/>
  <c r="B100" i="29"/>
  <c r="B82" i="29"/>
  <c r="B55" i="29"/>
  <c r="B172" i="29"/>
  <c r="B37" i="29"/>
  <c r="B145" i="29"/>
  <c r="B112" i="29"/>
  <c r="B73" i="29"/>
  <c r="B64" i="29"/>
  <c r="B181" i="29"/>
  <c r="B127" i="29"/>
  <c r="B91" i="29"/>
  <c r="B154" i="29"/>
  <c r="B201" i="29"/>
  <c r="N100" i="22"/>
  <c r="G51" i="22"/>
  <c r="J53" i="22"/>
  <c r="J59" i="22" s="1"/>
  <c r="F49" i="22"/>
  <c r="I53" i="22"/>
  <c r="I59" i="22" s="1"/>
  <c r="E49" i="22"/>
  <c r="H53" i="22"/>
  <c r="H58" i="22" s="1"/>
  <c r="D49" i="22"/>
  <c r="G53" i="22"/>
  <c r="E84" i="22"/>
  <c r="E99" i="22" s="1"/>
  <c r="E117" i="22" s="1"/>
  <c r="C57" i="22"/>
  <c r="Q19" i="16"/>
  <c r="Q36" i="16" s="1"/>
  <c r="J47" i="7"/>
  <c r="I47" i="7"/>
  <c r="I702" i="26"/>
  <c r="G708" i="26" s="1"/>
  <c r="I708" i="26" s="1"/>
  <c r="I710" i="26" s="1"/>
  <c r="I621" i="26"/>
  <c r="G627" i="26" s="1"/>
  <c r="G629" i="26" s="1"/>
  <c r="H508" i="26"/>
  <c r="I508" i="26" s="1"/>
  <c r="I805" i="19"/>
  <c r="G811" i="19" s="1"/>
  <c r="G813" i="19" s="1"/>
  <c r="I731" i="19"/>
  <c r="G737" i="19" s="1"/>
  <c r="G738" i="19" s="1"/>
  <c r="I364" i="19"/>
  <c r="I366" i="19" s="1"/>
  <c r="R86" i="19"/>
  <c r="M43" i="19"/>
  <c r="R43" i="19" s="1"/>
  <c r="K84" i="19"/>
  <c r="K214" i="19" s="1"/>
  <c r="K62" i="19"/>
  <c r="K192" i="19" s="1"/>
  <c r="K193" i="19" s="1"/>
  <c r="M42" i="19"/>
  <c r="M172" i="19" s="1"/>
  <c r="I798" i="19"/>
  <c r="G804" i="19" s="1"/>
  <c r="G806" i="19" s="1"/>
  <c r="M64" i="19"/>
  <c r="M194" i="19" s="1"/>
  <c r="P286" i="19"/>
  <c r="O286" i="19"/>
  <c r="K74" i="19"/>
  <c r="K204" i="19" s="1"/>
  <c r="I448" i="19"/>
  <c r="G454" i="19" s="1"/>
  <c r="G456" i="19" s="1"/>
  <c r="G34" i="26"/>
  <c r="G142" i="26" s="1"/>
  <c r="H507" i="26"/>
  <c r="I401" i="26"/>
  <c r="G407" i="26" s="1"/>
  <c r="G409" i="26" s="1"/>
  <c r="I545" i="26"/>
  <c r="P73" i="8"/>
  <c r="G267" i="26"/>
  <c r="R67" i="26"/>
  <c r="G175" i="26"/>
  <c r="I553" i="26"/>
  <c r="G559" i="26" s="1"/>
  <c r="I695" i="26"/>
  <c r="G701" i="26" s="1"/>
  <c r="G357" i="26"/>
  <c r="I393" i="26"/>
  <c r="G197" i="26"/>
  <c r="R89" i="26"/>
  <c r="B220" i="26"/>
  <c r="B209" i="26"/>
  <c r="B112" i="26"/>
  <c r="B233" i="26"/>
  <c r="B126" i="26"/>
  <c r="B165" i="26"/>
  <c r="B68" i="26"/>
  <c r="B35" i="26"/>
  <c r="K13" i="26"/>
  <c r="B176" i="26"/>
  <c r="B143" i="26"/>
  <c r="B101" i="26"/>
  <c r="B90" i="26"/>
  <c r="B57" i="26"/>
  <c r="B198" i="26"/>
  <c r="B79" i="26"/>
  <c r="B187" i="26"/>
  <c r="I684" i="26"/>
  <c r="G694" i="26" s="1"/>
  <c r="K577" i="26"/>
  <c r="G100" i="26"/>
  <c r="I628" i="26"/>
  <c r="G634" i="26" s="1"/>
  <c r="G509" i="26"/>
  <c r="K39" i="26"/>
  <c r="K147" i="26" s="1"/>
  <c r="I610" i="26"/>
  <c r="G620" i="26" s="1"/>
  <c r="I310" i="26"/>
  <c r="G312" i="26"/>
  <c r="H355" i="26"/>
  <c r="I355" i="26" s="1"/>
  <c r="H265" i="26"/>
  <c r="I265" i="26" s="1"/>
  <c r="G554" i="26"/>
  <c r="I400" i="26"/>
  <c r="G402" i="26"/>
  <c r="H356" i="26"/>
  <c r="I356" i="26" s="1"/>
  <c r="H266" i="26"/>
  <c r="I266" i="26" s="1"/>
  <c r="E55" i="8"/>
  <c r="E72" i="8" s="1"/>
  <c r="E92" i="8" s="1"/>
  <c r="C55" i="8"/>
  <c r="C72" i="8" s="1"/>
  <c r="C92" i="8" s="1"/>
  <c r="C28" i="8"/>
  <c r="I515" i="19"/>
  <c r="C59" i="7"/>
  <c r="N59" i="7" s="1"/>
  <c r="G27" i="19"/>
  <c r="R164" i="19"/>
  <c r="I167" i="19"/>
  <c r="G411" i="19"/>
  <c r="G561" i="19"/>
  <c r="G478" i="19"/>
  <c r="I397" i="19"/>
  <c r="J397" i="19" s="1"/>
  <c r="K397" i="19" s="1"/>
  <c r="R187" i="19"/>
  <c r="J168" i="19"/>
  <c r="G420" i="19"/>
  <c r="G486" i="19"/>
  <c r="H806" i="19"/>
  <c r="C820" i="19" s="1"/>
  <c r="G611" i="19"/>
  <c r="I605" i="19"/>
  <c r="J605" i="19" s="1"/>
  <c r="G91" i="19" s="1"/>
  <c r="R91" i="19" s="1"/>
  <c r="R220" i="19"/>
  <c r="G703" i="19"/>
  <c r="K169" i="19"/>
  <c r="G544" i="19"/>
  <c r="G619" i="19"/>
  <c r="G495" i="19"/>
  <c r="L194" i="19"/>
  <c r="H166" i="19"/>
  <c r="G403" i="19"/>
  <c r="G552" i="19"/>
  <c r="G628" i="19"/>
  <c r="G686" i="19"/>
  <c r="G760" i="19"/>
  <c r="H813" i="19"/>
  <c r="C821" i="19" s="1"/>
  <c r="M120" i="19"/>
  <c r="R120" i="19" s="1"/>
  <c r="I797" i="19"/>
  <c r="K118" i="19"/>
  <c r="K248" i="19" s="1"/>
  <c r="M228" i="19"/>
  <c r="R228" i="19" s="1"/>
  <c r="L227" i="19"/>
  <c r="R227" i="19" s="1"/>
  <c r="L216" i="19"/>
  <c r="R216" i="19" s="1"/>
  <c r="I581" i="19"/>
  <c r="K85" i="19"/>
  <c r="L161" i="19"/>
  <c r="M161" i="19" s="1"/>
  <c r="N161" i="19" s="1"/>
  <c r="O161" i="19" s="1"/>
  <c r="P161" i="19" s="1"/>
  <c r="G242" i="19"/>
  <c r="G754" i="19" s="1"/>
  <c r="B198" i="19"/>
  <c r="B165" i="19"/>
  <c r="B148" i="19"/>
  <c r="B231" i="19"/>
  <c r="B220" i="19"/>
  <c r="B187" i="19"/>
  <c r="B112" i="19"/>
  <c r="B101" i="19"/>
  <c r="B90" i="19"/>
  <c r="B57" i="19"/>
  <c r="B242" i="19"/>
  <c r="B209" i="19"/>
  <c r="B79" i="19"/>
  <c r="B277" i="19"/>
  <c r="B68" i="19"/>
  <c r="G165" i="19"/>
  <c r="G231" i="19"/>
  <c r="G209" i="19"/>
  <c r="G198" i="19"/>
  <c r="G472" i="19" s="1"/>
  <c r="B35" i="19"/>
  <c r="R26" i="19"/>
  <c r="P38" i="7"/>
  <c r="Q79" i="2"/>
  <c r="P79" i="2"/>
  <c r="K79" i="2"/>
  <c r="M79" i="2"/>
  <c r="C18" i="4"/>
  <c r="B18" i="4"/>
  <c r="N31" i="7"/>
  <c r="H79" i="2"/>
  <c r="J66" i="25"/>
  <c r="B40" i="4" l="1"/>
  <c r="B57" i="4" s="1"/>
  <c r="E64" i="22"/>
  <c r="E60" i="22"/>
  <c r="I17" i="29" s="1"/>
  <c r="I142" i="29" s="1"/>
  <c r="G325" i="29" s="1"/>
  <c r="E61" i="22"/>
  <c r="I18" i="29" s="1"/>
  <c r="I151" i="29" s="1"/>
  <c r="G389" i="29" s="1"/>
  <c r="E63" i="22"/>
  <c r="I20" i="29" s="1"/>
  <c r="I169" i="29" s="1"/>
  <c r="G485" i="29" s="1"/>
  <c r="E58" i="22"/>
  <c r="I15" i="29" s="1"/>
  <c r="E62" i="22"/>
  <c r="E65" i="22"/>
  <c r="I22" i="29" s="1"/>
  <c r="I187" i="29" s="1"/>
  <c r="I58" i="22"/>
  <c r="M15" i="29" s="1"/>
  <c r="J58" i="22"/>
  <c r="F64" i="22"/>
  <c r="J21" i="29" s="1"/>
  <c r="J179" i="29" s="1"/>
  <c r="G557" i="29" s="1"/>
  <c r="F60" i="22"/>
  <c r="J17" i="29" s="1"/>
  <c r="J143" i="29" s="1"/>
  <c r="G334" i="29" s="1"/>
  <c r="F65" i="22"/>
  <c r="J22" i="29" s="1"/>
  <c r="J188" i="29" s="1"/>
  <c r="F62" i="22"/>
  <c r="F61" i="22"/>
  <c r="J18" i="29" s="1"/>
  <c r="J152" i="29" s="1"/>
  <c r="G398" i="29" s="1"/>
  <c r="F58" i="22"/>
  <c r="J15" i="29" s="1"/>
  <c r="F63" i="22"/>
  <c r="J20" i="29" s="1"/>
  <c r="J170" i="29" s="1"/>
  <c r="G494" i="29" s="1"/>
  <c r="R78" i="2"/>
  <c r="R74" i="2"/>
  <c r="R35" i="2"/>
  <c r="R77" i="2"/>
  <c r="R79" i="2" s="1"/>
  <c r="C74" i="22"/>
  <c r="C86" i="22" s="1"/>
  <c r="C45" i="8"/>
  <c r="C57" i="8" s="1"/>
  <c r="I79" i="2"/>
  <c r="B74" i="5"/>
  <c r="B79" i="5"/>
  <c r="H59" i="22"/>
  <c r="L16" i="29" s="1"/>
  <c r="L136" i="29" s="1"/>
  <c r="G288" i="29" s="1"/>
  <c r="G58" i="22"/>
  <c r="K15" i="29" s="1"/>
  <c r="B84" i="5"/>
  <c r="B78" i="5"/>
  <c r="D216" i="5"/>
  <c r="B239" i="5" s="1"/>
  <c r="B68" i="5"/>
  <c r="B73" i="5"/>
  <c r="B67" i="5"/>
  <c r="B86" i="5"/>
  <c r="B85" i="5"/>
  <c r="D36" i="5"/>
  <c r="E36" i="5" s="1"/>
  <c r="B72" i="5"/>
  <c r="E12" i="5"/>
  <c r="E216" i="5" s="1"/>
  <c r="B66" i="5"/>
  <c r="B80" i="5"/>
  <c r="D27" i="4"/>
  <c r="G219" i="26"/>
  <c r="R219" i="26" s="1"/>
  <c r="H656" i="26"/>
  <c r="I656" i="26" s="1"/>
  <c r="B47" i="29"/>
  <c r="B137" i="29"/>
  <c r="L15" i="29"/>
  <c r="N15" i="29"/>
  <c r="N16" i="29"/>
  <c r="N138" i="29" s="1"/>
  <c r="I60" i="22"/>
  <c r="M17" i="29" s="1"/>
  <c r="M146" i="29" s="1"/>
  <c r="G358" i="29" s="1"/>
  <c r="M16" i="29"/>
  <c r="M137" i="29" s="1"/>
  <c r="G295" i="29" s="1"/>
  <c r="G432" i="26"/>
  <c r="H432" i="26"/>
  <c r="N158" i="26"/>
  <c r="R16" i="26"/>
  <c r="I432" i="26"/>
  <c r="J432" i="26" s="1"/>
  <c r="B47" i="26"/>
  <c r="B155" i="26"/>
  <c r="M40" i="26"/>
  <c r="M148" i="26" s="1"/>
  <c r="N15" i="26"/>
  <c r="J28" i="8"/>
  <c r="P15" i="26"/>
  <c r="L28" i="8"/>
  <c r="L45" i="8" s="1"/>
  <c r="O15" i="26"/>
  <c r="O160" i="26" s="1"/>
  <c r="K28" i="8"/>
  <c r="I82" i="8"/>
  <c r="B80" i="19"/>
  <c r="B210" i="19"/>
  <c r="B188" i="19"/>
  <c r="B58" i="19"/>
  <c r="B199" i="19"/>
  <c r="B69" i="19"/>
  <c r="B91" i="19"/>
  <c r="B221" i="19"/>
  <c r="J13" i="19"/>
  <c r="B255" i="19" s="1"/>
  <c r="B36" i="19"/>
  <c r="B149" i="19"/>
  <c r="B243" i="19"/>
  <c r="B102" i="19"/>
  <c r="B232" i="19"/>
  <c r="B166" i="19"/>
  <c r="B278" i="19"/>
  <c r="B266" i="19"/>
  <c r="R130" i="19"/>
  <c r="M260" i="19"/>
  <c r="M261" i="19" s="1"/>
  <c r="R261" i="19" s="1"/>
  <c r="B254" i="19"/>
  <c r="B177" i="19"/>
  <c r="B265" i="19"/>
  <c r="M250" i="19"/>
  <c r="R250" i="19" s="1"/>
  <c r="B135" i="19"/>
  <c r="B47" i="19"/>
  <c r="B124" i="19"/>
  <c r="E230" i="5"/>
  <c r="M239" i="19"/>
  <c r="M173" i="19"/>
  <c r="R173" i="19" s="1"/>
  <c r="D62" i="22"/>
  <c r="H19" i="29" s="1"/>
  <c r="D60" i="22"/>
  <c r="H17" i="29" s="1"/>
  <c r="D64" i="22"/>
  <c r="H21" i="29" s="1"/>
  <c r="D58" i="22"/>
  <c r="H15" i="29" s="1"/>
  <c r="D61" i="22"/>
  <c r="H18" i="29" s="1"/>
  <c r="D63" i="22"/>
  <c r="H20" i="29" s="1"/>
  <c r="D65" i="22"/>
  <c r="H22" i="29" s="1"/>
  <c r="I21" i="29"/>
  <c r="I178" i="29" s="1"/>
  <c r="G548" i="29" s="1"/>
  <c r="I627" i="26"/>
  <c r="I629" i="26" s="1"/>
  <c r="R56" i="26"/>
  <c r="G710" i="26"/>
  <c r="N47" i="7"/>
  <c r="P47" i="7" s="1"/>
  <c r="I811" i="19"/>
  <c r="I813" i="19" s="1"/>
  <c r="H30" i="30"/>
  <c r="H7" i="25"/>
  <c r="B24" i="25" s="1"/>
  <c r="B39" i="25" s="1"/>
  <c r="B56" i="25" s="1"/>
  <c r="G18" i="25"/>
  <c r="G33" i="25" s="1"/>
  <c r="G50" i="25" s="1"/>
  <c r="N13" i="29"/>
  <c r="B182" i="29"/>
  <c r="B155" i="29"/>
  <c r="B101" i="29"/>
  <c r="B202" i="29"/>
  <c r="B173" i="29"/>
  <c r="B38" i="29"/>
  <c r="B65" i="29"/>
  <c r="B83" i="29"/>
  <c r="B191" i="29"/>
  <c r="B146" i="29"/>
  <c r="B113" i="29"/>
  <c r="B164" i="29"/>
  <c r="B92" i="29"/>
  <c r="B128" i="29"/>
  <c r="B74" i="29"/>
  <c r="B56" i="29"/>
  <c r="H60" i="22"/>
  <c r="L17" i="29" s="1"/>
  <c r="L145" i="29" s="1"/>
  <c r="G351" i="29" s="1"/>
  <c r="H65" i="22"/>
  <c r="L22" i="29" s="1"/>
  <c r="L190" i="29" s="1"/>
  <c r="H63" i="22"/>
  <c r="L20" i="29" s="1"/>
  <c r="L172" i="29" s="1"/>
  <c r="J65" i="22"/>
  <c r="N22" i="29" s="1"/>
  <c r="N192" i="29" s="1"/>
  <c r="J63" i="22"/>
  <c r="N20" i="29" s="1"/>
  <c r="N174" i="29" s="1"/>
  <c r="J60" i="22"/>
  <c r="N17" i="29" s="1"/>
  <c r="N147" i="29" s="1"/>
  <c r="G64" i="22"/>
  <c r="K21" i="29" s="1"/>
  <c r="K180" i="29" s="1"/>
  <c r="G567" i="29" s="1"/>
  <c r="G65" i="22"/>
  <c r="K22" i="29" s="1"/>
  <c r="K189" i="29" s="1"/>
  <c r="G63" i="22"/>
  <c r="K20" i="29" s="1"/>
  <c r="K171" i="29" s="1"/>
  <c r="G504" i="29" s="1"/>
  <c r="G60" i="22"/>
  <c r="K17" i="29" s="1"/>
  <c r="K144" i="29" s="1"/>
  <c r="G344" i="29" s="1"/>
  <c r="I65" i="22"/>
  <c r="M22" i="29" s="1"/>
  <c r="M191" i="29" s="1"/>
  <c r="I63" i="22"/>
  <c r="M20" i="29" s="1"/>
  <c r="M173" i="29" s="1"/>
  <c r="G518" i="29" s="1"/>
  <c r="J48" i="7"/>
  <c r="J32" i="7" s="1"/>
  <c r="J67" i="7"/>
  <c r="H657" i="26"/>
  <c r="I657" i="26" s="1"/>
  <c r="I402" i="26"/>
  <c r="R34" i="26"/>
  <c r="H509" i="26"/>
  <c r="I507" i="26"/>
  <c r="I509" i="26" s="1"/>
  <c r="J509" i="26" s="1"/>
  <c r="K507" i="26" s="1"/>
  <c r="I737" i="19"/>
  <c r="I738" i="19" s="1"/>
  <c r="R194" i="19"/>
  <c r="I449" i="19"/>
  <c r="R42" i="19"/>
  <c r="R64" i="19"/>
  <c r="I312" i="26"/>
  <c r="I303" i="26"/>
  <c r="L106" i="26"/>
  <c r="L214" i="26" s="1"/>
  <c r="R214" i="26" s="1"/>
  <c r="H629" i="26"/>
  <c r="C642" i="26" s="1"/>
  <c r="I357" i="26"/>
  <c r="J357" i="26" s="1"/>
  <c r="K355" i="26" s="1"/>
  <c r="K356" i="26" s="1"/>
  <c r="I267" i="26"/>
  <c r="J267" i="26" s="1"/>
  <c r="K265" i="26" s="1"/>
  <c r="B221" i="26"/>
  <c r="B113" i="26"/>
  <c r="B177" i="26"/>
  <c r="B199" i="26"/>
  <c r="B188" i="26"/>
  <c r="B166" i="26"/>
  <c r="B144" i="26"/>
  <c r="B234" i="26"/>
  <c r="B210" i="26"/>
  <c r="B127" i="26"/>
  <c r="B69" i="26"/>
  <c r="B36" i="26"/>
  <c r="B102" i="26"/>
  <c r="B91" i="26"/>
  <c r="L13" i="26"/>
  <c r="B80" i="26"/>
  <c r="B58" i="26"/>
  <c r="R142" i="26"/>
  <c r="H409" i="26"/>
  <c r="C417" i="26" s="1"/>
  <c r="M63" i="26"/>
  <c r="G561" i="26"/>
  <c r="R164" i="26"/>
  <c r="H402" i="26"/>
  <c r="C416" i="26" s="1"/>
  <c r="L62" i="26"/>
  <c r="H554" i="26"/>
  <c r="C568" i="26" s="1"/>
  <c r="L95" i="26"/>
  <c r="H267" i="26"/>
  <c r="I620" i="26"/>
  <c r="K105" i="26"/>
  <c r="K213" i="26" s="1"/>
  <c r="R100" i="26"/>
  <c r="G208" i="26"/>
  <c r="R175" i="26"/>
  <c r="I694" i="26"/>
  <c r="K116" i="26"/>
  <c r="K224" i="26" s="1"/>
  <c r="G703" i="26"/>
  <c r="H710" i="26"/>
  <c r="C718" i="26" s="1"/>
  <c r="M118" i="26"/>
  <c r="I552" i="26"/>
  <c r="I554" i="26" s="1"/>
  <c r="I407" i="26"/>
  <c r="I409" i="26" s="1"/>
  <c r="H357" i="26"/>
  <c r="H312" i="26"/>
  <c r="L40" i="26"/>
  <c r="G635" i="26"/>
  <c r="I634" i="26"/>
  <c r="I635" i="26" s="1"/>
  <c r="G582" i="26"/>
  <c r="H583" i="26"/>
  <c r="I583" i="26" s="1"/>
  <c r="H582" i="26"/>
  <c r="R197" i="26"/>
  <c r="M65" i="19"/>
  <c r="H456" i="19"/>
  <c r="C464" i="19" s="1"/>
  <c r="I454" i="19"/>
  <c r="I456" i="19" s="1"/>
  <c r="K605" i="19"/>
  <c r="H611" i="19" s="1"/>
  <c r="I611" i="19" s="1"/>
  <c r="R239" i="19"/>
  <c r="G58" i="19"/>
  <c r="R58" i="19" s="1"/>
  <c r="I804" i="19"/>
  <c r="I806" i="19" s="1"/>
  <c r="R231" i="19"/>
  <c r="R242" i="19"/>
  <c r="L119" i="19"/>
  <c r="R119" i="19" s="1"/>
  <c r="G321" i="19"/>
  <c r="G313" i="19"/>
  <c r="G340" i="19"/>
  <c r="G330" i="19"/>
  <c r="G538" i="19"/>
  <c r="I538" i="19" s="1"/>
  <c r="J538" i="19" s="1"/>
  <c r="G80" i="19" s="1"/>
  <c r="R80" i="19" s="1"/>
  <c r="R209" i="19"/>
  <c r="R198" i="19"/>
  <c r="G307" i="19"/>
  <c r="I307" i="19" s="1"/>
  <c r="J307" i="19" s="1"/>
  <c r="G36" i="19" s="1"/>
  <c r="R36" i="19" s="1"/>
  <c r="R165" i="19"/>
  <c r="G221" i="19"/>
  <c r="H732" i="19"/>
  <c r="C745" i="19" s="1"/>
  <c r="L108" i="19"/>
  <c r="R108" i="19" s="1"/>
  <c r="I730" i="19"/>
  <c r="I732" i="19" s="1"/>
  <c r="K215" i="19"/>
  <c r="I754" i="19"/>
  <c r="J754" i="19" s="1"/>
  <c r="G680" i="19"/>
  <c r="I680" i="19" s="1"/>
  <c r="J680" i="19" s="1"/>
  <c r="G102" i="19" s="1"/>
  <c r="R102" i="19" s="1"/>
  <c r="I472" i="19"/>
  <c r="J472" i="19" s="1"/>
  <c r="G69" i="19" s="1"/>
  <c r="R69" i="19" s="1"/>
  <c r="B200" i="19"/>
  <c r="B70" i="19"/>
  <c r="A61" i="5"/>
  <c r="A65" i="5" s="1"/>
  <c r="A71" i="5" s="1"/>
  <c r="A77" i="5" s="1"/>
  <c r="A83" i="5" s="1"/>
  <c r="R27" i="19"/>
  <c r="G71" i="25"/>
  <c r="F71" i="25"/>
  <c r="G72" i="25"/>
  <c r="H72" i="25" s="1"/>
  <c r="K27" i="19"/>
  <c r="C53" i="25"/>
  <c r="G402" i="19"/>
  <c r="H402" i="19" s="1"/>
  <c r="H403" i="19" s="1"/>
  <c r="I403" i="19" s="1"/>
  <c r="C93" i="22" l="1"/>
  <c r="G25" i="29" s="1"/>
  <c r="L86" i="22"/>
  <c r="C66" i="8"/>
  <c r="G25" i="26" s="1"/>
  <c r="N57" i="8"/>
  <c r="P74" i="8" s="1"/>
  <c r="C94" i="8"/>
  <c r="N94" i="8" s="1"/>
  <c r="K45" i="8"/>
  <c r="K65" i="8" s="1"/>
  <c r="J45" i="8"/>
  <c r="J64" i="8" s="1"/>
  <c r="I658" i="26"/>
  <c r="J658" i="26" s="1"/>
  <c r="K656" i="26" s="1"/>
  <c r="L656" i="26" s="1"/>
  <c r="G112" i="26" s="1"/>
  <c r="A91" i="5"/>
  <c r="A94" i="5" s="1"/>
  <c r="A97" i="5" s="1"/>
  <c r="A103" i="5" s="1"/>
  <c r="I19" i="29"/>
  <c r="I160" i="29" s="1"/>
  <c r="G437" i="29" s="1"/>
  <c r="J19" i="29"/>
  <c r="P16" i="29"/>
  <c r="G613" i="29"/>
  <c r="H622" i="29" s="1"/>
  <c r="J100" i="29" s="1"/>
  <c r="G637" i="29"/>
  <c r="H637" i="29" s="1"/>
  <c r="M102" i="29" s="1"/>
  <c r="M192" i="29" s="1"/>
  <c r="G623" i="29"/>
  <c r="G630" i="29"/>
  <c r="H636" i="29" s="1"/>
  <c r="G604" i="29"/>
  <c r="B48" i="29"/>
  <c r="B138" i="29"/>
  <c r="M128" i="29"/>
  <c r="G271" i="29" s="1"/>
  <c r="H271" i="29" s="1"/>
  <c r="M39" i="29" s="1"/>
  <c r="M129" i="29" s="1"/>
  <c r="L127" i="29"/>
  <c r="G264" i="29" s="1"/>
  <c r="N129" i="29"/>
  <c r="P21" i="29"/>
  <c r="N159" i="26"/>
  <c r="G334" i="26" s="1"/>
  <c r="G335" i="26" s="1"/>
  <c r="K430" i="26"/>
  <c r="K431" i="26" s="1"/>
  <c r="B48" i="26"/>
  <c r="B156" i="26"/>
  <c r="C325" i="26"/>
  <c r="P24" i="26"/>
  <c r="P25" i="26" s="1"/>
  <c r="P149" i="26"/>
  <c r="O148" i="26"/>
  <c r="O149" i="26" s="1"/>
  <c r="O24" i="26"/>
  <c r="N147" i="26"/>
  <c r="N148" i="26" s="1"/>
  <c r="G318" i="26" s="1"/>
  <c r="N24" i="26"/>
  <c r="R15" i="26"/>
  <c r="H610" i="19"/>
  <c r="H612" i="19" s="1"/>
  <c r="B37" i="19"/>
  <c r="B59" i="19"/>
  <c r="B114" i="19"/>
  <c r="B150" i="19"/>
  <c r="B48" i="19"/>
  <c r="B189" i="19"/>
  <c r="B103" i="19"/>
  <c r="B167" i="19"/>
  <c r="B233" i="19"/>
  <c r="B92" i="19"/>
  <c r="B244" i="19"/>
  <c r="K13" i="19"/>
  <c r="B256" i="19" s="1"/>
  <c r="B222" i="19"/>
  <c r="B81" i="19"/>
  <c r="B211" i="19"/>
  <c r="B279" i="19"/>
  <c r="B136" i="19"/>
  <c r="B178" i="19"/>
  <c r="B125" i="19"/>
  <c r="B267" i="19"/>
  <c r="R260" i="19"/>
  <c r="L249" i="19"/>
  <c r="G113" i="19"/>
  <c r="B137" i="19"/>
  <c r="H510" i="29"/>
  <c r="H504" i="29"/>
  <c r="K82" i="29" s="1"/>
  <c r="K172" i="29" s="1"/>
  <c r="I124" i="29"/>
  <c r="H566" i="29"/>
  <c r="J91" i="29" s="1"/>
  <c r="H557" i="29"/>
  <c r="J90" i="29" s="1"/>
  <c r="J180" i="29" s="1"/>
  <c r="H177" i="29"/>
  <c r="N24" i="29"/>
  <c r="N25" i="29" s="1"/>
  <c r="H358" i="29"/>
  <c r="M57" i="29" s="1"/>
  <c r="M147" i="29" s="1"/>
  <c r="H344" i="29"/>
  <c r="K55" i="29" s="1"/>
  <c r="K145" i="29" s="1"/>
  <c r="H350" i="29"/>
  <c r="H357" i="29"/>
  <c r="H351" i="29"/>
  <c r="L56" i="29" s="1"/>
  <c r="L146" i="29" s="1"/>
  <c r="L24" i="29"/>
  <c r="H343" i="29"/>
  <c r="J55" i="29" s="1"/>
  <c r="H334" i="29"/>
  <c r="J54" i="29" s="1"/>
  <c r="J144" i="29" s="1"/>
  <c r="H503" i="29"/>
  <c r="J82" i="29" s="1"/>
  <c r="H494" i="29"/>
  <c r="J81" i="29" s="1"/>
  <c r="J171" i="29" s="1"/>
  <c r="H168" i="29"/>
  <c r="P20" i="29"/>
  <c r="H141" i="29"/>
  <c r="P17" i="29"/>
  <c r="H518" i="29"/>
  <c r="M84" i="29" s="1"/>
  <c r="M174" i="29" s="1"/>
  <c r="H567" i="29"/>
  <c r="K91" i="29" s="1"/>
  <c r="K181" i="29" s="1"/>
  <c r="H573" i="29"/>
  <c r="G511" i="29"/>
  <c r="H407" i="29"/>
  <c r="J64" i="29" s="1"/>
  <c r="H398" i="29"/>
  <c r="J63" i="29" s="1"/>
  <c r="J153" i="29" s="1"/>
  <c r="H150" i="29"/>
  <c r="G381" i="29" s="1"/>
  <c r="P18" i="29"/>
  <c r="M24" i="29"/>
  <c r="H186" i="29"/>
  <c r="P22" i="29"/>
  <c r="K126" i="29"/>
  <c r="K24" i="29"/>
  <c r="J125" i="29"/>
  <c r="H123" i="29"/>
  <c r="P15" i="29"/>
  <c r="H24" i="29"/>
  <c r="H159" i="29"/>
  <c r="G610" i="19"/>
  <c r="I610" i="19" s="1"/>
  <c r="J30" i="30"/>
  <c r="J34" i="30" s="1"/>
  <c r="H34" i="30"/>
  <c r="H24" i="30" s="1"/>
  <c r="H44" i="30"/>
  <c r="L53" i="25"/>
  <c r="I7" i="25"/>
  <c r="B25" i="25" s="1"/>
  <c r="B40" i="25" s="1"/>
  <c r="B57" i="25" s="1"/>
  <c r="H18" i="25"/>
  <c r="H33" i="25" s="1"/>
  <c r="H50" i="25" s="1"/>
  <c r="B183" i="29"/>
  <c r="B57" i="29"/>
  <c r="B129" i="29"/>
  <c r="B147" i="29"/>
  <c r="B93" i="29"/>
  <c r="B165" i="29"/>
  <c r="B66" i="29"/>
  <c r="B114" i="29"/>
  <c r="B192" i="29"/>
  <c r="B102" i="29"/>
  <c r="B203" i="29"/>
  <c r="B39" i="29"/>
  <c r="B75" i="29"/>
  <c r="B84" i="29"/>
  <c r="B156" i="29"/>
  <c r="B174" i="29"/>
  <c r="J57" i="22"/>
  <c r="J74" i="22" s="1"/>
  <c r="G57" i="22"/>
  <c r="I57" i="22"/>
  <c r="H57" i="22"/>
  <c r="E57" i="22"/>
  <c r="D57" i="22"/>
  <c r="F57" i="22"/>
  <c r="F74" i="22" s="1"/>
  <c r="H658" i="26"/>
  <c r="R106" i="26"/>
  <c r="H584" i="26"/>
  <c r="H340" i="19"/>
  <c r="K40" i="19" s="1"/>
  <c r="K170" i="19" s="1"/>
  <c r="H350" i="19"/>
  <c r="K41" i="19" s="1"/>
  <c r="G188" i="19"/>
  <c r="R188" i="19" s="1"/>
  <c r="K508" i="26"/>
  <c r="K509" i="26" s="1"/>
  <c r="K357" i="26"/>
  <c r="L356" i="26"/>
  <c r="K266" i="26"/>
  <c r="K267" i="26" s="1"/>
  <c r="L265" i="26"/>
  <c r="G35" i="26" s="1"/>
  <c r="M265" i="26"/>
  <c r="L355" i="26"/>
  <c r="G57" i="26" s="1"/>
  <c r="M355" i="26"/>
  <c r="R118" i="26"/>
  <c r="M226" i="26"/>
  <c r="R226" i="26" s="1"/>
  <c r="H703" i="26"/>
  <c r="C717" i="26" s="1"/>
  <c r="L117" i="26"/>
  <c r="R62" i="26"/>
  <c r="L170" i="26"/>
  <c r="R170" i="26" s="1"/>
  <c r="H561" i="26"/>
  <c r="C569" i="26" s="1"/>
  <c r="M96" i="26"/>
  <c r="M41" i="26"/>
  <c r="I582" i="26"/>
  <c r="G584" i="26"/>
  <c r="I701" i="26"/>
  <c r="I703" i="26" s="1"/>
  <c r="R208" i="26"/>
  <c r="I559" i="26"/>
  <c r="I561" i="26" s="1"/>
  <c r="B235" i="26"/>
  <c r="B128" i="26"/>
  <c r="B222" i="26"/>
  <c r="B178" i="26"/>
  <c r="B200" i="26"/>
  <c r="B189" i="26"/>
  <c r="B167" i="26"/>
  <c r="B145" i="26"/>
  <c r="B211" i="26"/>
  <c r="B103" i="26"/>
  <c r="B92" i="26"/>
  <c r="B81" i="26"/>
  <c r="B114" i="26"/>
  <c r="B70" i="26"/>
  <c r="B37" i="26"/>
  <c r="B59" i="26"/>
  <c r="M13" i="26"/>
  <c r="R95" i="26"/>
  <c r="L203" i="26"/>
  <c r="R203" i="26" s="1"/>
  <c r="R63" i="26"/>
  <c r="M171" i="26"/>
  <c r="R171" i="26" s="1"/>
  <c r="I317" i="26"/>
  <c r="H635" i="26"/>
  <c r="C643" i="26" s="1"/>
  <c r="M107" i="26"/>
  <c r="R40" i="26"/>
  <c r="L148" i="26"/>
  <c r="R65" i="19"/>
  <c r="M195" i="19"/>
  <c r="R195" i="19" s="1"/>
  <c r="K538" i="19"/>
  <c r="H543" i="19" s="1"/>
  <c r="G210" i="19"/>
  <c r="R210" i="19" s="1"/>
  <c r="K307" i="19"/>
  <c r="H313" i="19" s="1"/>
  <c r="I313" i="19" s="1"/>
  <c r="R249" i="19"/>
  <c r="R172" i="19"/>
  <c r="G199" i="19"/>
  <c r="G232" i="19"/>
  <c r="R221" i="19"/>
  <c r="L238" i="19"/>
  <c r="R238" i="19" s="1"/>
  <c r="K680" i="19"/>
  <c r="H685" i="19" s="1"/>
  <c r="K754" i="19"/>
  <c r="H760" i="19" s="1"/>
  <c r="I760" i="19" s="1"/>
  <c r="K472" i="19"/>
  <c r="H478" i="19" s="1"/>
  <c r="I478" i="19" s="1"/>
  <c r="B245" i="19"/>
  <c r="B201" i="19"/>
  <c r="B212" i="19"/>
  <c r="B168" i="19"/>
  <c r="B151" i="19"/>
  <c r="B71" i="19"/>
  <c r="B82" i="19"/>
  <c r="B280" i="19"/>
  <c r="B234" i="19"/>
  <c r="B223" i="19"/>
  <c r="B190" i="19"/>
  <c r="B115" i="19"/>
  <c r="B104" i="19"/>
  <c r="B93" i="19"/>
  <c r="B60" i="19"/>
  <c r="G166" i="19"/>
  <c r="L13" i="19"/>
  <c r="B38" i="19"/>
  <c r="G73" i="25"/>
  <c r="I402" i="19"/>
  <c r="G404" i="19"/>
  <c r="H71" i="25"/>
  <c r="F73" i="25"/>
  <c r="H404" i="19"/>
  <c r="M656" i="26" l="1"/>
  <c r="K657" i="26"/>
  <c r="K658" i="26" s="1"/>
  <c r="N65" i="8"/>
  <c r="K102" i="8"/>
  <c r="K66" i="8"/>
  <c r="K67" i="8" s="1"/>
  <c r="D86" i="5"/>
  <c r="D84" i="5" s="1"/>
  <c r="E86" i="5"/>
  <c r="E84" i="5" s="1"/>
  <c r="D74" i="22"/>
  <c r="D87" i="22" s="1"/>
  <c r="G74" i="22"/>
  <c r="G90" i="22" s="1"/>
  <c r="E74" i="22"/>
  <c r="E88" i="22" s="1"/>
  <c r="H74" i="22"/>
  <c r="H91" i="22" s="1"/>
  <c r="I74" i="22"/>
  <c r="I92" i="22" s="1"/>
  <c r="J66" i="8"/>
  <c r="N25" i="26" s="1"/>
  <c r="N64" i="8"/>
  <c r="J101" i="8"/>
  <c r="P19" i="29"/>
  <c r="A106" i="5"/>
  <c r="A109" i="5" s="1"/>
  <c r="B126" i="19"/>
  <c r="B179" i="19"/>
  <c r="B49" i="19"/>
  <c r="O25" i="26"/>
  <c r="R159" i="26"/>
  <c r="I24" i="29"/>
  <c r="H613" i="29"/>
  <c r="J99" i="29" s="1"/>
  <c r="J189" i="29" s="1"/>
  <c r="J190" i="29" s="1"/>
  <c r="J161" i="29"/>
  <c r="G446" i="29" s="1"/>
  <c r="J24" i="29"/>
  <c r="H630" i="29"/>
  <c r="L101" i="29" s="1"/>
  <c r="L191" i="29" s="1"/>
  <c r="H295" i="29"/>
  <c r="H294" i="29"/>
  <c r="L48" i="29" s="1"/>
  <c r="H288" i="29"/>
  <c r="G238" i="29"/>
  <c r="I198" i="29"/>
  <c r="H334" i="26"/>
  <c r="H335" i="26" s="1"/>
  <c r="C342" i="26" s="1"/>
  <c r="L431" i="26"/>
  <c r="H68" i="26" s="1"/>
  <c r="H176" i="26" s="1"/>
  <c r="M431" i="26"/>
  <c r="G438" i="26" s="1"/>
  <c r="K432" i="26"/>
  <c r="L430" i="26"/>
  <c r="G68" i="26" s="1"/>
  <c r="G176" i="26" s="1"/>
  <c r="M430" i="26"/>
  <c r="B49" i="26"/>
  <c r="B157" i="26"/>
  <c r="R158" i="26"/>
  <c r="R148" i="26"/>
  <c r="R24" i="26"/>
  <c r="H318" i="26"/>
  <c r="G319" i="26"/>
  <c r="R113" i="19"/>
  <c r="G243" i="19"/>
  <c r="R243" i="19" s="1"/>
  <c r="B257" i="19"/>
  <c r="B180" i="19"/>
  <c r="B268" i="19"/>
  <c r="R124" i="19"/>
  <c r="G254" i="19"/>
  <c r="I340" i="19"/>
  <c r="G350" i="19" s="1"/>
  <c r="I350" i="19" s="1"/>
  <c r="B127" i="19"/>
  <c r="B138" i="19"/>
  <c r="B50" i="19"/>
  <c r="G612" i="19"/>
  <c r="H544" i="19"/>
  <c r="I544" i="19" s="1"/>
  <c r="G543" i="19"/>
  <c r="G545" i="19" s="1"/>
  <c r="I637" i="29"/>
  <c r="J145" i="29"/>
  <c r="I344" i="29"/>
  <c r="G350" i="29" s="1"/>
  <c r="I350" i="29" s="1"/>
  <c r="J181" i="29"/>
  <c r="I398" i="29"/>
  <c r="G407" i="29" s="1"/>
  <c r="I407" i="29" s="1"/>
  <c r="I518" i="29"/>
  <c r="I494" i="29"/>
  <c r="G503" i="29" s="1"/>
  <c r="I503" i="29" s="1"/>
  <c r="I557" i="29"/>
  <c r="G566" i="29" s="1"/>
  <c r="I566" i="29" s="1"/>
  <c r="H264" i="29"/>
  <c r="H270" i="29"/>
  <c r="I271" i="29"/>
  <c r="L102" i="29"/>
  <c r="P102" i="29" s="1"/>
  <c r="H638" i="29"/>
  <c r="C645" i="29" s="1"/>
  <c r="G596" i="29"/>
  <c r="G597" i="29" s="1"/>
  <c r="P186" i="29"/>
  <c r="J154" i="29"/>
  <c r="H517" i="29"/>
  <c r="H511" i="29"/>
  <c r="L83" i="29" s="1"/>
  <c r="L173" i="29" s="1"/>
  <c r="G317" i="29"/>
  <c r="P141" i="29"/>
  <c r="J172" i="29"/>
  <c r="L57" i="29"/>
  <c r="P57" i="29" s="1"/>
  <c r="H359" i="29"/>
  <c r="C367" i="29" s="1"/>
  <c r="K56" i="29"/>
  <c r="P56" i="29" s="1"/>
  <c r="H352" i="29"/>
  <c r="C366" i="29" s="1"/>
  <c r="K83" i="29"/>
  <c r="G257" i="29"/>
  <c r="I567" i="29"/>
  <c r="G573" i="29" s="1"/>
  <c r="G429" i="29"/>
  <c r="P159" i="29"/>
  <c r="G247" i="29"/>
  <c r="G230" i="29"/>
  <c r="P123" i="29"/>
  <c r="K92" i="29"/>
  <c r="P92" i="29" s="1"/>
  <c r="H574" i="29"/>
  <c r="C581" i="29" s="1"/>
  <c r="G477" i="29"/>
  <c r="P168" i="29"/>
  <c r="I334" i="29"/>
  <c r="G343" i="29" s="1"/>
  <c r="I343" i="29" s="1"/>
  <c r="I351" i="29"/>
  <c r="G357" i="29" s="1"/>
  <c r="I358" i="29"/>
  <c r="G540" i="29"/>
  <c r="I504" i="29"/>
  <c r="G510" i="29" s="1"/>
  <c r="P107" i="29"/>
  <c r="H686" i="19"/>
  <c r="I686" i="19" s="1"/>
  <c r="G312" i="19"/>
  <c r="G314" i="19" s="1"/>
  <c r="K171" i="19"/>
  <c r="J7" i="25"/>
  <c r="I18" i="25"/>
  <c r="I33" i="25" s="1"/>
  <c r="I50" i="25" s="1"/>
  <c r="F89" i="22"/>
  <c r="F93" i="22" s="1"/>
  <c r="N203" i="29"/>
  <c r="K200" i="29"/>
  <c r="G196" i="29"/>
  <c r="H197" i="29"/>
  <c r="M202" i="29"/>
  <c r="L201" i="29"/>
  <c r="L508" i="26"/>
  <c r="H90" i="26" s="1"/>
  <c r="H198" i="26" s="1"/>
  <c r="M508" i="26"/>
  <c r="G515" i="26" s="1"/>
  <c r="B236" i="26"/>
  <c r="B223" i="26"/>
  <c r="B115" i="26"/>
  <c r="B179" i="26"/>
  <c r="B201" i="26"/>
  <c r="B190" i="26"/>
  <c r="B168" i="26"/>
  <c r="B146" i="26"/>
  <c r="B60" i="26"/>
  <c r="B212" i="26"/>
  <c r="B129" i="26"/>
  <c r="B71" i="26"/>
  <c r="B38" i="26"/>
  <c r="N13" i="26"/>
  <c r="B104" i="26"/>
  <c r="B93" i="26"/>
  <c r="B82" i="26"/>
  <c r="R96" i="26"/>
  <c r="M204" i="26"/>
  <c r="R204" i="26" s="1"/>
  <c r="G165" i="26"/>
  <c r="G143" i="26"/>
  <c r="R107" i="26"/>
  <c r="M215" i="26"/>
  <c r="R215" i="26" s="1"/>
  <c r="I584" i="26"/>
  <c r="J584" i="26" s="1"/>
  <c r="K582" i="26" s="1"/>
  <c r="R117" i="26"/>
  <c r="L225" i="26"/>
  <c r="R225" i="26" s="1"/>
  <c r="H57" i="26"/>
  <c r="H165" i="26" s="1"/>
  <c r="M356" i="26"/>
  <c r="G363" i="26" s="1"/>
  <c r="G272" i="26"/>
  <c r="L507" i="26"/>
  <c r="G90" i="26" s="1"/>
  <c r="M507" i="26"/>
  <c r="G663" i="26"/>
  <c r="M149" i="26"/>
  <c r="G220" i="26"/>
  <c r="G362" i="26"/>
  <c r="L266" i="26"/>
  <c r="H35" i="26" s="1"/>
  <c r="M266" i="26"/>
  <c r="G273" i="26" s="1"/>
  <c r="H312" i="19"/>
  <c r="H759" i="19"/>
  <c r="H761" i="19" s="1"/>
  <c r="G759" i="19"/>
  <c r="H477" i="19"/>
  <c r="H479" i="19" s="1"/>
  <c r="G685" i="19"/>
  <c r="I685" i="19" s="1"/>
  <c r="R166" i="19"/>
  <c r="R199" i="19"/>
  <c r="R232" i="19"/>
  <c r="G477" i="19"/>
  <c r="B281" i="19"/>
  <c r="B246" i="19"/>
  <c r="B83" i="19"/>
  <c r="B235" i="19"/>
  <c r="B224" i="19"/>
  <c r="B191" i="19"/>
  <c r="B116" i="19"/>
  <c r="B105" i="19"/>
  <c r="B94" i="19"/>
  <c r="B61" i="19"/>
  <c r="B72" i="19"/>
  <c r="B202" i="19"/>
  <c r="B213" i="19"/>
  <c r="B169" i="19"/>
  <c r="B152" i="19"/>
  <c r="M13" i="19"/>
  <c r="B39" i="19"/>
  <c r="G761" i="19"/>
  <c r="H73" i="25"/>
  <c r="I73" i="25" s="1"/>
  <c r="J71" i="25" s="1"/>
  <c r="I612" i="19"/>
  <c r="J612" i="19" s="1"/>
  <c r="K610" i="19" s="1"/>
  <c r="I404" i="19"/>
  <c r="J404" i="19" s="1"/>
  <c r="K402" i="19" s="1"/>
  <c r="M657" i="26" l="1"/>
  <c r="G664" i="26" s="1"/>
  <c r="L657" i="26"/>
  <c r="H112" i="26" s="1"/>
  <c r="H220" i="26" s="1"/>
  <c r="N66" i="8"/>
  <c r="A118" i="5"/>
  <c r="A121" i="5" s="1"/>
  <c r="A124" i="5" s="1"/>
  <c r="A127" i="5" s="1"/>
  <c r="A136" i="5" s="1"/>
  <c r="A140" i="5" s="1"/>
  <c r="A147" i="5" s="1"/>
  <c r="A149" i="5" s="1"/>
  <c r="A151" i="5" s="1"/>
  <c r="A155" i="5" s="1"/>
  <c r="A159" i="5" s="1"/>
  <c r="A163" i="5" s="1"/>
  <c r="A175" i="5" s="1"/>
  <c r="A178" i="5" s="1"/>
  <c r="A181" i="5" s="1"/>
  <c r="A189" i="5" s="1"/>
  <c r="A192" i="5" s="1"/>
  <c r="A204" i="5" s="1"/>
  <c r="A208" i="5" s="1"/>
  <c r="L88" i="22"/>
  <c r="E93" i="22"/>
  <c r="I25" i="29" s="1"/>
  <c r="G93" i="22"/>
  <c r="K25" i="29" s="1"/>
  <c r="L90" i="22"/>
  <c r="H93" i="22"/>
  <c r="L25" i="29" s="1"/>
  <c r="L91" i="22"/>
  <c r="L92" i="22"/>
  <c r="I93" i="22"/>
  <c r="M25" i="29" s="1"/>
  <c r="D93" i="22"/>
  <c r="H25" i="29" s="1"/>
  <c r="L87" i="22"/>
  <c r="R25" i="26"/>
  <c r="J25" i="29"/>
  <c r="P24" i="29"/>
  <c r="I630" i="29"/>
  <c r="G636" i="29" s="1"/>
  <c r="G638" i="29" s="1"/>
  <c r="I613" i="29"/>
  <c r="G622" i="29" s="1"/>
  <c r="I622" i="29" s="1"/>
  <c r="J199" i="29"/>
  <c r="I295" i="29"/>
  <c r="M48" i="29"/>
  <c r="P48" i="29" s="1"/>
  <c r="I288" i="29"/>
  <c r="G294" i="29" s="1"/>
  <c r="I294" i="29" s="1"/>
  <c r="L47" i="29"/>
  <c r="L137" i="29" s="1"/>
  <c r="H446" i="29"/>
  <c r="H455" i="29"/>
  <c r="J73" i="29" s="1"/>
  <c r="H296" i="29"/>
  <c r="C303" i="29" s="1"/>
  <c r="H289" i="29"/>
  <c r="C302" i="29" s="1"/>
  <c r="G289" i="29"/>
  <c r="L38" i="29"/>
  <c r="L128" i="29" s="1"/>
  <c r="I334" i="26"/>
  <c r="I335" i="26" s="1"/>
  <c r="N52" i="26"/>
  <c r="R52" i="26" s="1"/>
  <c r="G437" i="26"/>
  <c r="M432" i="26"/>
  <c r="B50" i="26"/>
  <c r="B158" i="26"/>
  <c r="N41" i="26"/>
  <c r="H319" i="26"/>
  <c r="C326" i="26" s="1"/>
  <c r="I318" i="26"/>
  <c r="I319" i="26" s="1"/>
  <c r="R254" i="19"/>
  <c r="B258" i="19"/>
  <c r="B181" i="19"/>
  <c r="B269" i="19"/>
  <c r="H545" i="19"/>
  <c r="I312" i="19"/>
  <c r="I314" i="19" s="1"/>
  <c r="J314" i="19" s="1"/>
  <c r="K312" i="19" s="1"/>
  <c r="L312" i="19" s="1"/>
  <c r="G37" i="19" s="1"/>
  <c r="G167" i="19" s="1"/>
  <c r="H687" i="19"/>
  <c r="B128" i="19"/>
  <c r="B139" i="19"/>
  <c r="B51" i="19"/>
  <c r="H314" i="19"/>
  <c r="I543" i="19"/>
  <c r="I545" i="19" s="1"/>
  <c r="J545" i="19" s="1"/>
  <c r="K543" i="19" s="1"/>
  <c r="L543" i="19" s="1"/>
  <c r="G81" i="19" s="1"/>
  <c r="I687" i="19"/>
  <c r="J687" i="19" s="1"/>
  <c r="K685" i="19" s="1"/>
  <c r="K686" i="19" s="1"/>
  <c r="G352" i="29"/>
  <c r="I759" i="19"/>
  <c r="I761" i="19" s="1"/>
  <c r="J761" i="19" s="1"/>
  <c r="H595" i="29"/>
  <c r="H596" i="29"/>
  <c r="I596" i="29" s="1"/>
  <c r="H512" i="29"/>
  <c r="C525" i="29" s="1"/>
  <c r="P83" i="29"/>
  <c r="L192" i="29"/>
  <c r="K146" i="29"/>
  <c r="P146" i="29" s="1"/>
  <c r="I357" i="29"/>
  <c r="I359" i="29" s="1"/>
  <c r="G359" i="29"/>
  <c r="H247" i="29"/>
  <c r="J36" i="29" s="1"/>
  <c r="H256" i="29"/>
  <c r="I573" i="29"/>
  <c r="I574" i="29" s="1"/>
  <c r="G574" i="29"/>
  <c r="I511" i="29"/>
  <c r="G517" i="29" s="1"/>
  <c r="K182" i="29"/>
  <c r="L147" i="29"/>
  <c r="P147" i="29" s="1"/>
  <c r="I510" i="29"/>
  <c r="G512" i="29"/>
  <c r="I264" i="29"/>
  <c r="G270" i="29" s="1"/>
  <c r="G231" i="29"/>
  <c r="H230" i="29"/>
  <c r="I230" i="29" s="1"/>
  <c r="H229" i="29"/>
  <c r="G430" i="29"/>
  <c r="H428" i="29"/>
  <c r="H429" i="29"/>
  <c r="I429" i="29" s="1"/>
  <c r="H263" i="29"/>
  <c r="H257" i="29"/>
  <c r="K37" i="29" s="1"/>
  <c r="K127" i="29" s="1"/>
  <c r="G318" i="29"/>
  <c r="H316" i="29"/>
  <c r="H317" i="29"/>
  <c r="I317" i="29" s="1"/>
  <c r="L84" i="29"/>
  <c r="P84" i="29" s="1"/>
  <c r="H519" i="29"/>
  <c r="C526" i="29" s="1"/>
  <c r="K173" i="29"/>
  <c r="P173" i="29" s="1"/>
  <c r="I352" i="29"/>
  <c r="L39" i="29"/>
  <c r="H272" i="29"/>
  <c r="G687" i="19"/>
  <c r="J18" i="25"/>
  <c r="J33" i="25" s="1"/>
  <c r="J50" i="25" s="1"/>
  <c r="B26" i="25"/>
  <c r="B41" i="25" s="1"/>
  <c r="B58" i="25" s="1"/>
  <c r="L89" i="22"/>
  <c r="K583" i="26"/>
  <c r="K584" i="26" s="1"/>
  <c r="M658" i="26"/>
  <c r="H665" i="26" s="1"/>
  <c r="I665" i="26" s="1"/>
  <c r="R68" i="26"/>
  <c r="R112" i="26"/>
  <c r="M357" i="26"/>
  <c r="M267" i="26"/>
  <c r="L582" i="26"/>
  <c r="G101" i="26" s="1"/>
  <c r="R165" i="26"/>
  <c r="G365" i="26"/>
  <c r="G275" i="26"/>
  <c r="R57" i="26"/>
  <c r="B224" i="26"/>
  <c r="B213" i="26"/>
  <c r="B237" i="26"/>
  <c r="B130" i="26"/>
  <c r="B202" i="26"/>
  <c r="B191" i="26"/>
  <c r="B169" i="26"/>
  <c r="B147" i="26"/>
  <c r="B180" i="26"/>
  <c r="B116" i="26"/>
  <c r="B83" i="26"/>
  <c r="O13" i="26"/>
  <c r="B61" i="26"/>
  <c r="B105" i="26"/>
  <c r="B94" i="26"/>
  <c r="B72" i="26"/>
  <c r="B39" i="26"/>
  <c r="R176" i="26"/>
  <c r="R220" i="26"/>
  <c r="G666" i="26"/>
  <c r="G514" i="26"/>
  <c r="M509" i="26"/>
  <c r="M582" i="26"/>
  <c r="H143" i="26"/>
  <c r="R90" i="26"/>
  <c r="G198" i="26"/>
  <c r="R35" i="26"/>
  <c r="I477" i="19"/>
  <c r="I479" i="19" s="1"/>
  <c r="J479" i="19" s="1"/>
  <c r="G479" i="19"/>
  <c r="B236" i="19"/>
  <c r="B225" i="19"/>
  <c r="B192" i="19"/>
  <c r="B117" i="19"/>
  <c r="B106" i="19"/>
  <c r="B95" i="19"/>
  <c r="B62" i="19"/>
  <c r="B247" i="19"/>
  <c r="B203" i="19"/>
  <c r="B214" i="19"/>
  <c r="B170" i="19"/>
  <c r="B153" i="19"/>
  <c r="B73" i="19"/>
  <c r="B84" i="19"/>
  <c r="B282" i="19"/>
  <c r="N13" i="19"/>
  <c r="B40" i="19"/>
  <c r="L402" i="19"/>
  <c r="G59" i="19" s="1"/>
  <c r="K71" i="25"/>
  <c r="C37" i="25" s="1"/>
  <c r="L610" i="19"/>
  <c r="G92" i="19" s="1"/>
  <c r="M402" i="19"/>
  <c r="K403" i="19"/>
  <c r="K404" i="19" s="1"/>
  <c r="M610" i="19"/>
  <c r="L71" i="25"/>
  <c r="F78" i="25" s="1"/>
  <c r="K611" i="19"/>
  <c r="K612" i="19" s="1"/>
  <c r="J72" i="25"/>
  <c r="L93" i="22" l="1"/>
  <c r="P25" i="29" s="1"/>
  <c r="K313" i="19"/>
  <c r="K314" i="19" s="1"/>
  <c r="M312" i="19"/>
  <c r="G319" i="19" s="1"/>
  <c r="I636" i="29"/>
  <c r="I638" i="29" s="1"/>
  <c r="I296" i="29"/>
  <c r="L202" i="29"/>
  <c r="L138" i="29"/>
  <c r="P137" i="29"/>
  <c r="L113" i="29"/>
  <c r="G296" i="29"/>
  <c r="J72" i="29"/>
  <c r="J162" i="29" s="1"/>
  <c r="J163" i="29" s="1"/>
  <c r="I446" i="29"/>
  <c r="G455" i="29" s="1"/>
  <c r="I455" i="29" s="1"/>
  <c r="M138" i="29"/>
  <c r="M203" i="29" s="1"/>
  <c r="M114" i="29"/>
  <c r="I107" i="22" s="1"/>
  <c r="I289" i="29"/>
  <c r="P136" i="29"/>
  <c r="J37" i="29"/>
  <c r="C280" i="29"/>
  <c r="P47" i="29"/>
  <c r="N160" i="26"/>
  <c r="R160" i="26" s="1"/>
  <c r="G440" i="26"/>
  <c r="H439" i="26"/>
  <c r="I439" i="26" s="1"/>
  <c r="H437" i="26"/>
  <c r="H438" i="26"/>
  <c r="I438" i="26" s="1"/>
  <c r="B51" i="26"/>
  <c r="B159" i="26"/>
  <c r="N149" i="26"/>
  <c r="R149" i="26" s="1"/>
  <c r="R41" i="26"/>
  <c r="K544" i="19"/>
  <c r="K545" i="19" s="1"/>
  <c r="B259" i="19"/>
  <c r="B182" i="19"/>
  <c r="B270" i="19"/>
  <c r="M543" i="19"/>
  <c r="G550" i="19" s="1"/>
  <c r="B140" i="19"/>
  <c r="B52" i="19"/>
  <c r="B129" i="19"/>
  <c r="K759" i="19"/>
  <c r="K760" i="19" s="1"/>
  <c r="L760" i="19" s="1"/>
  <c r="H597" i="29"/>
  <c r="I595" i="29"/>
  <c r="I597" i="29" s="1"/>
  <c r="J597" i="29" s="1"/>
  <c r="I257" i="29"/>
  <c r="G263" i="29" s="1"/>
  <c r="I263" i="29" s="1"/>
  <c r="I265" i="29" s="1"/>
  <c r="P39" i="29"/>
  <c r="P114" i="29" s="1"/>
  <c r="L114" i="29"/>
  <c r="H107" i="22" s="1"/>
  <c r="L129" i="29"/>
  <c r="I270" i="29"/>
  <c r="I272" i="29" s="1"/>
  <c r="G272" i="29"/>
  <c r="G519" i="29"/>
  <c r="I517" i="29"/>
  <c r="I519" i="29" s="1"/>
  <c r="J126" i="29"/>
  <c r="I428" i="29"/>
  <c r="I430" i="29" s="1"/>
  <c r="J430" i="29" s="1"/>
  <c r="K428" i="29" s="1"/>
  <c r="H430" i="29"/>
  <c r="L174" i="29"/>
  <c r="P174" i="29" s="1"/>
  <c r="I512" i="29"/>
  <c r="I316" i="29"/>
  <c r="H318" i="29"/>
  <c r="I247" i="29"/>
  <c r="G256" i="29" s="1"/>
  <c r="I534" i="29" s="1"/>
  <c r="J534" i="29" s="1"/>
  <c r="K38" i="29"/>
  <c r="P38" i="29" s="1"/>
  <c r="H265" i="29"/>
  <c r="I229" i="29"/>
  <c r="H231" i="29"/>
  <c r="M313" i="19"/>
  <c r="G320" i="19" s="1"/>
  <c r="G322" i="19" s="1"/>
  <c r="C54" i="25"/>
  <c r="G86" i="25"/>
  <c r="C39" i="25" s="1"/>
  <c r="G78" i="25"/>
  <c r="C38" i="25" s="1"/>
  <c r="H477" i="29"/>
  <c r="I477" i="29" s="1"/>
  <c r="H476" i="29"/>
  <c r="G478" i="29"/>
  <c r="J94" i="22"/>
  <c r="N204" i="29" s="1"/>
  <c r="H663" i="26"/>
  <c r="I663" i="26" s="1"/>
  <c r="H664" i="26"/>
  <c r="I664" i="26" s="1"/>
  <c r="H362" i="26"/>
  <c r="I362" i="26" s="1"/>
  <c r="L583" i="26"/>
  <c r="H101" i="26" s="1"/>
  <c r="H209" i="26" s="1"/>
  <c r="M583" i="26"/>
  <c r="G590" i="26" s="1"/>
  <c r="R198" i="26"/>
  <c r="H514" i="26"/>
  <c r="I514" i="26" s="1"/>
  <c r="G209" i="26"/>
  <c r="H274" i="26"/>
  <c r="I274" i="26" s="1"/>
  <c r="H272" i="26"/>
  <c r="H273" i="26"/>
  <c r="I273" i="26" s="1"/>
  <c r="R143" i="26"/>
  <c r="G517" i="26"/>
  <c r="B238" i="26"/>
  <c r="B131" i="26"/>
  <c r="B225" i="26"/>
  <c r="B181" i="26"/>
  <c r="B117" i="26"/>
  <c r="B203" i="26"/>
  <c r="B84" i="26"/>
  <c r="B148" i="26"/>
  <c r="B192" i="26"/>
  <c r="B62" i="26"/>
  <c r="B106" i="26"/>
  <c r="B95" i="26"/>
  <c r="P13" i="26"/>
  <c r="B170" i="26"/>
  <c r="B73" i="26"/>
  <c r="B40" i="26"/>
  <c r="B214" i="26"/>
  <c r="G589" i="26"/>
  <c r="L313" i="19"/>
  <c r="H37" i="19" s="1"/>
  <c r="G211" i="19"/>
  <c r="G222" i="19"/>
  <c r="G189" i="19"/>
  <c r="B193" i="19"/>
  <c r="B96" i="19"/>
  <c r="B248" i="19"/>
  <c r="B204" i="19"/>
  <c r="B215" i="19"/>
  <c r="B171" i="19"/>
  <c r="B154" i="19"/>
  <c r="B74" i="19"/>
  <c r="B85" i="19"/>
  <c r="B226" i="19"/>
  <c r="B118" i="19"/>
  <c r="B107" i="19"/>
  <c r="B283" i="19"/>
  <c r="B237" i="19"/>
  <c r="B63" i="19"/>
  <c r="O13" i="19"/>
  <c r="B41" i="19"/>
  <c r="K72" i="25"/>
  <c r="D37" i="25" s="1"/>
  <c r="L72" i="25"/>
  <c r="G409" i="19"/>
  <c r="J73" i="25"/>
  <c r="K477" i="19"/>
  <c r="L686" i="19"/>
  <c r="H103" i="19" s="1"/>
  <c r="H233" i="19" s="1"/>
  <c r="M686" i="19"/>
  <c r="G693" i="19" s="1"/>
  <c r="L685" i="19"/>
  <c r="G103" i="19" s="1"/>
  <c r="K687" i="19"/>
  <c r="M685" i="19"/>
  <c r="L611" i="19"/>
  <c r="H92" i="19" s="1"/>
  <c r="H222" i="19" s="1"/>
  <c r="M611" i="19"/>
  <c r="G618" i="19" s="1"/>
  <c r="G617" i="19"/>
  <c r="L403" i="19"/>
  <c r="H59" i="19" s="1"/>
  <c r="H189" i="19" s="1"/>
  <c r="M403" i="19"/>
  <c r="G410" i="19" s="1"/>
  <c r="J111" i="29" l="1"/>
  <c r="F104" i="22" s="1"/>
  <c r="F122" i="22" s="1"/>
  <c r="G265" i="29"/>
  <c r="L544" i="19"/>
  <c r="H81" i="19" s="1"/>
  <c r="H211" i="19" s="1"/>
  <c r="M544" i="19"/>
  <c r="G551" i="19" s="1"/>
  <c r="G553" i="19" s="1"/>
  <c r="J200" i="29"/>
  <c r="L107" i="22"/>
  <c r="N107" i="22" s="1"/>
  <c r="I108" i="22"/>
  <c r="I94" i="22" s="1"/>
  <c r="M204" i="29" s="1"/>
  <c r="I125" i="22"/>
  <c r="H106" i="22"/>
  <c r="H108" i="22" s="1"/>
  <c r="H94" i="22" s="1"/>
  <c r="P138" i="29"/>
  <c r="C279" i="29"/>
  <c r="J112" i="29"/>
  <c r="F105" i="22" s="1"/>
  <c r="H440" i="26"/>
  <c r="I437" i="26"/>
  <c r="B52" i="26"/>
  <c r="B160" i="26"/>
  <c r="B271" i="19"/>
  <c r="B260" i="19"/>
  <c r="B183" i="19"/>
  <c r="M759" i="19"/>
  <c r="G766" i="19" s="1"/>
  <c r="R37" i="19"/>
  <c r="K761" i="19"/>
  <c r="M760" i="19"/>
  <c r="G767" i="19" s="1"/>
  <c r="L759" i="19"/>
  <c r="B130" i="19"/>
  <c r="B141" i="19"/>
  <c r="B53" i="19"/>
  <c r="H114" i="19"/>
  <c r="H244" i="19" s="1"/>
  <c r="H255" i="19"/>
  <c r="M314" i="19"/>
  <c r="H319" i="19" s="1"/>
  <c r="H320" i="19" s="1"/>
  <c r="I320" i="19" s="1"/>
  <c r="G87" i="29"/>
  <c r="K534" i="29"/>
  <c r="P129" i="29"/>
  <c r="L203" i="29"/>
  <c r="K429" i="29"/>
  <c r="K128" i="29"/>
  <c r="P128" i="29" s="1"/>
  <c r="I231" i="29"/>
  <c r="J231" i="29" s="1"/>
  <c r="I318" i="29"/>
  <c r="J318" i="29" s="1"/>
  <c r="K316" i="29" s="1"/>
  <c r="M316" i="29" s="1"/>
  <c r="M428" i="29"/>
  <c r="L428" i="29"/>
  <c r="G70" i="29" s="1"/>
  <c r="J127" i="29"/>
  <c r="J201" i="29" s="1"/>
  <c r="D54" i="25"/>
  <c r="L54" i="25" s="1"/>
  <c r="C42" i="25"/>
  <c r="C28" i="25" s="1"/>
  <c r="C55" i="25"/>
  <c r="H78" i="25"/>
  <c r="L37" i="25"/>
  <c r="N37" i="25" s="1"/>
  <c r="L73" i="25"/>
  <c r="F79" i="25"/>
  <c r="F86" i="25"/>
  <c r="H629" i="29"/>
  <c r="H623" i="29"/>
  <c r="K595" i="29"/>
  <c r="H478" i="29"/>
  <c r="I476" i="29"/>
  <c r="H515" i="26"/>
  <c r="I515" i="26" s="1"/>
  <c r="H363" i="26"/>
  <c r="I666" i="26"/>
  <c r="J666" i="26" s="1"/>
  <c r="H666" i="26"/>
  <c r="R101" i="26"/>
  <c r="B226" i="26"/>
  <c r="B215" i="26"/>
  <c r="B239" i="26"/>
  <c r="B132" i="26"/>
  <c r="B182" i="26"/>
  <c r="B204" i="26"/>
  <c r="B193" i="26"/>
  <c r="B171" i="26"/>
  <c r="B149" i="26"/>
  <c r="B118" i="26"/>
  <c r="B85" i="26"/>
  <c r="B74" i="26"/>
  <c r="B63" i="26"/>
  <c r="B107" i="26"/>
  <c r="B96" i="26"/>
  <c r="B41" i="26"/>
  <c r="R209" i="26"/>
  <c r="M584" i="26"/>
  <c r="G592" i="26"/>
  <c r="H275" i="26"/>
  <c r="I272" i="26"/>
  <c r="H167" i="19"/>
  <c r="R59" i="19"/>
  <c r="R211" i="19"/>
  <c r="R81" i="19"/>
  <c r="R103" i="19"/>
  <c r="G233" i="19"/>
  <c r="R222" i="19"/>
  <c r="R189" i="19"/>
  <c r="R92" i="19"/>
  <c r="B249" i="19"/>
  <c r="B205" i="19"/>
  <c r="B216" i="19"/>
  <c r="B172" i="19"/>
  <c r="B155" i="19"/>
  <c r="B75" i="19"/>
  <c r="B86" i="19"/>
  <c r="B284" i="19"/>
  <c r="B238" i="19"/>
  <c r="B227" i="19"/>
  <c r="B194" i="19"/>
  <c r="B119" i="19"/>
  <c r="B108" i="19"/>
  <c r="B97" i="19"/>
  <c r="B64" i="19"/>
  <c r="B42" i="19"/>
  <c r="P13" i="19"/>
  <c r="M612" i="19"/>
  <c r="M404" i="19"/>
  <c r="G620" i="19"/>
  <c r="G412" i="19"/>
  <c r="G692" i="19"/>
  <c r="M687" i="19"/>
  <c r="L477" i="19"/>
  <c r="G70" i="19" s="1"/>
  <c r="M477" i="19"/>
  <c r="K478" i="19"/>
  <c r="F123" i="22" l="1"/>
  <c r="M545" i="19"/>
  <c r="L204" i="29"/>
  <c r="H124" i="22"/>
  <c r="H125" i="22" s="1"/>
  <c r="L125" i="22" s="1"/>
  <c r="F108" i="22"/>
  <c r="F94" i="22" s="1"/>
  <c r="J204" i="29" s="1"/>
  <c r="I440" i="26"/>
  <c r="J440" i="26" s="1"/>
  <c r="K437" i="26" s="1"/>
  <c r="G230" i="26"/>
  <c r="I319" i="19"/>
  <c r="B184" i="19"/>
  <c r="B261" i="19"/>
  <c r="B272" i="19"/>
  <c r="R167" i="19"/>
  <c r="G769" i="19"/>
  <c r="M761" i="19"/>
  <c r="H766" i="19" s="1"/>
  <c r="I766" i="19" s="1"/>
  <c r="B142" i="19"/>
  <c r="B54" i="19"/>
  <c r="B131" i="19"/>
  <c r="G114" i="19"/>
  <c r="G244" i="19" s="1"/>
  <c r="H321" i="19"/>
  <c r="I321" i="19" s="1"/>
  <c r="G539" i="29"/>
  <c r="H539" i="29"/>
  <c r="H540" i="29"/>
  <c r="I540" i="29" s="1"/>
  <c r="P87" i="29"/>
  <c r="G177" i="29"/>
  <c r="P177" i="29" s="1"/>
  <c r="K229" i="29"/>
  <c r="K230" i="29" s="1"/>
  <c r="K430" i="29"/>
  <c r="L429" i="29"/>
  <c r="H70" i="29" s="1"/>
  <c r="H160" i="29" s="1"/>
  <c r="M429" i="29"/>
  <c r="G436" i="29" s="1"/>
  <c r="L316" i="29"/>
  <c r="G52" i="29" s="1"/>
  <c r="G160" i="29"/>
  <c r="K317" i="29"/>
  <c r="G323" i="29"/>
  <c r="G435" i="29"/>
  <c r="K236" i="26"/>
  <c r="H126" i="26"/>
  <c r="D76" i="8" s="1"/>
  <c r="D96" i="8" s="1"/>
  <c r="I623" i="29"/>
  <c r="G629" i="29" s="1"/>
  <c r="G631" i="29" s="1"/>
  <c r="K100" i="29"/>
  <c r="H631" i="29"/>
  <c r="C644" i="29" s="1"/>
  <c r="K101" i="29"/>
  <c r="C56" i="25"/>
  <c r="H86" i="25"/>
  <c r="G87" i="25"/>
  <c r="G79" i="25"/>
  <c r="D38" i="25" s="1"/>
  <c r="D55" i="25" s="1"/>
  <c r="L55" i="25" s="1"/>
  <c r="F81" i="25"/>
  <c r="L595" i="29"/>
  <c r="G97" i="29" s="1"/>
  <c r="M595" i="29"/>
  <c r="K596" i="29"/>
  <c r="K597" i="29" s="1"/>
  <c r="I478" i="29"/>
  <c r="J478" i="29" s="1"/>
  <c r="H516" i="26"/>
  <c r="I516" i="26" s="1"/>
  <c r="I517" i="26" s="1"/>
  <c r="J517" i="26" s="1"/>
  <c r="K514" i="26" s="1"/>
  <c r="M514" i="26" s="1"/>
  <c r="G522" i="26" s="1"/>
  <c r="I363" i="26"/>
  <c r="H364" i="26"/>
  <c r="K663" i="26"/>
  <c r="G233" i="26"/>
  <c r="K234" i="26"/>
  <c r="M131" i="26"/>
  <c r="I81" i="8" s="1"/>
  <c r="R126" i="26"/>
  <c r="R232" i="26"/>
  <c r="N238" i="26"/>
  <c r="R230" i="26"/>
  <c r="L238" i="26"/>
  <c r="J234" i="26"/>
  <c r="R233" i="26"/>
  <c r="M238" i="26"/>
  <c r="R238" i="26"/>
  <c r="H232" i="26"/>
  <c r="L131" i="26"/>
  <c r="H81" i="8" s="1"/>
  <c r="K129" i="26"/>
  <c r="M236" i="26"/>
  <c r="O238" i="26"/>
  <c r="G232" i="26"/>
  <c r="I275" i="26"/>
  <c r="J275" i="26" s="1"/>
  <c r="H590" i="26"/>
  <c r="I590" i="26" s="1"/>
  <c r="H591" i="26"/>
  <c r="I591" i="26" s="1"/>
  <c r="H589" i="26"/>
  <c r="R131" i="26"/>
  <c r="R123" i="26"/>
  <c r="R125" i="26"/>
  <c r="R124" i="26"/>
  <c r="L130" i="26"/>
  <c r="G126" i="26"/>
  <c r="C76" i="8" s="1"/>
  <c r="K130" i="26"/>
  <c r="G80" i="8" s="1"/>
  <c r="G125" i="26"/>
  <c r="C75" i="8" s="1"/>
  <c r="I232" i="26"/>
  <c r="J233" i="26"/>
  <c r="L237" i="26"/>
  <c r="I233" i="26"/>
  <c r="G231" i="26"/>
  <c r="M237" i="26"/>
  <c r="L236" i="26"/>
  <c r="L235" i="26"/>
  <c r="R231" i="26"/>
  <c r="H231" i="26"/>
  <c r="N237" i="26"/>
  <c r="H233" i="26"/>
  <c r="K235" i="26"/>
  <c r="K237" i="26"/>
  <c r="R132" i="26"/>
  <c r="N132" i="26"/>
  <c r="J82" i="8" s="1"/>
  <c r="M132" i="26"/>
  <c r="O239" i="26"/>
  <c r="O240" i="26" s="1"/>
  <c r="R239" i="26"/>
  <c r="P239" i="26"/>
  <c r="P240" i="26" s="1"/>
  <c r="N239" i="26"/>
  <c r="M239" i="26"/>
  <c r="G200" i="19"/>
  <c r="R233" i="19"/>
  <c r="B217" i="19"/>
  <c r="B76" i="19"/>
  <c r="B239" i="19"/>
  <c r="B228" i="19"/>
  <c r="B195" i="19"/>
  <c r="B120" i="19"/>
  <c r="B109" i="19"/>
  <c r="B98" i="19"/>
  <c r="B65" i="19"/>
  <c r="B250" i="19"/>
  <c r="B206" i="19"/>
  <c r="B173" i="19"/>
  <c r="B156" i="19"/>
  <c r="B285" i="19"/>
  <c r="B87" i="19"/>
  <c r="H550" i="19"/>
  <c r="H551" i="19" s="1"/>
  <c r="I551" i="19" s="1"/>
  <c r="H409" i="19"/>
  <c r="I409" i="19" s="1"/>
  <c r="H617" i="19"/>
  <c r="I617" i="19" s="1"/>
  <c r="B43" i="19"/>
  <c r="L478" i="19"/>
  <c r="H70" i="19" s="1"/>
  <c r="M478" i="19"/>
  <c r="G485" i="19" s="1"/>
  <c r="G695" i="19"/>
  <c r="G484" i="19"/>
  <c r="K479" i="19"/>
  <c r="H692" i="19"/>
  <c r="H693" i="19"/>
  <c r="I693" i="19" s="1"/>
  <c r="H694" i="19"/>
  <c r="I694" i="19" s="1"/>
  <c r="D79" i="5" l="1"/>
  <c r="E79" i="5"/>
  <c r="I322" i="19"/>
  <c r="J322" i="19" s="1"/>
  <c r="J102" i="8"/>
  <c r="J83" i="8"/>
  <c r="J67" i="8" s="1"/>
  <c r="N240" i="26" s="1"/>
  <c r="N82" i="8"/>
  <c r="P82" i="8" s="1"/>
  <c r="H80" i="8"/>
  <c r="H100" i="8" s="1"/>
  <c r="H101" i="8" s="1"/>
  <c r="G79" i="8"/>
  <c r="G83" i="8" s="1"/>
  <c r="G67" i="8" s="1"/>
  <c r="L437" i="26"/>
  <c r="G69" i="26" s="1"/>
  <c r="G177" i="26" s="1"/>
  <c r="M437" i="26"/>
  <c r="K438" i="26"/>
  <c r="N81" i="8"/>
  <c r="P81" i="8" s="1"/>
  <c r="I101" i="8"/>
  <c r="I102" i="8" s="1"/>
  <c r="I83" i="8"/>
  <c r="I67" i="8" s="1"/>
  <c r="M240" i="26" s="1"/>
  <c r="H767" i="19"/>
  <c r="I767" i="19" s="1"/>
  <c r="H768" i="19"/>
  <c r="I768" i="19" s="1"/>
  <c r="L283" i="19"/>
  <c r="M155" i="19"/>
  <c r="I46" i="7" s="1"/>
  <c r="L154" i="19"/>
  <c r="H45" i="7" s="1"/>
  <c r="L281" i="19"/>
  <c r="M284" i="19"/>
  <c r="O284" i="19"/>
  <c r="L284" i="19"/>
  <c r="N283" i="19"/>
  <c r="N286" i="19" s="1"/>
  <c r="L282" i="19"/>
  <c r="N284" i="19"/>
  <c r="K283" i="19"/>
  <c r="M282" i="19"/>
  <c r="K281" i="19"/>
  <c r="N285" i="19"/>
  <c r="M285" i="19"/>
  <c r="P285" i="19"/>
  <c r="O285" i="19"/>
  <c r="R285" i="19"/>
  <c r="R125" i="19"/>
  <c r="G255" i="19"/>
  <c r="M283" i="19"/>
  <c r="G276" i="19"/>
  <c r="R277" i="19"/>
  <c r="R276" i="19"/>
  <c r="I278" i="19"/>
  <c r="J280" i="19"/>
  <c r="G278" i="19"/>
  <c r="G277" i="19"/>
  <c r="H278" i="19"/>
  <c r="H277" i="19"/>
  <c r="K280" i="19"/>
  <c r="I279" i="19"/>
  <c r="J279" i="19"/>
  <c r="R278" i="19"/>
  <c r="K282" i="19"/>
  <c r="G279" i="19"/>
  <c r="R284" i="19"/>
  <c r="K153" i="19"/>
  <c r="G44" i="7" s="1"/>
  <c r="K154" i="19"/>
  <c r="G45" i="7" s="1"/>
  <c r="H150" i="19"/>
  <c r="D41" i="7" s="1"/>
  <c r="L155" i="19"/>
  <c r="H46" i="7" s="1"/>
  <c r="R147" i="19"/>
  <c r="R148" i="19"/>
  <c r="G149" i="19"/>
  <c r="C40" i="7" s="1"/>
  <c r="R149" i="19"/>
  <c r="R156" i="19"/>
  <c r="M156" i="19"/>
  <c r="N156" i="19"/>
  <c r="R155" i="19"/>
  <c r="G150" i="19"/>
  <c r="C41" i="7" s="1"/>
  <c r="R114" i="19"/>
  <c r="R244" i="19"/>
  <c r="H322" i="19"/>
  <c r="I629" i="29"/>
  <c r="I631" i="29" s="1"/>
  <c r="N76" i="8"/>
  <c r="P76" i="8" s="1"/>
  <c r="M430" i="29"/>
  <c r="H541" i="29"/>
  <c r="G541" i="29"/>
  <c r="I539" i="29"/>
  <c r="P70" i="29"/>
  <c r="L230" i="29"/>
  <c r="H34" i="29" s="1"/>
  <c r="H124" i="29" s="1"/>
  <c r="M230" i="29"/>
  <c r="G237" i="29" s="1"/>
  <c r="G438" i="29"/>
  <c r="P160" i="29"/>
  <c r="G142" i="29"/>
  <c r="L317" i="29"/>
  <c r="H52" i="29" s="1"/>
  <c r="H142" i="29" s="1"/>
  <c r="M317" i="29"/>
  <c r="K318" i="29"/>
  <c r="K231" i="29"/>
  <c r="L229" i="29"/>
  <c r="G34" i="29" s="1"/>
  <c r="M229" i="29"/>
  <c r="H517" i="26"/>
  <c r="P101" i="29"/>
  <c r="P113" i="29" s="1"/>
  <c r="K113" i="29"/>
  <c r="K190" i="29"/>
  <c r="K112" i="29"/>
  <c r="L38" i="25"/>
  <c r="G90" i="25"/>
  <c r="B110" i="25" s="1"/>
  <c r="D33" i="5" s="1"/>
  <c r="D39" i="25"/>
  <c r="L39" i="25" s="1"/>
  <c r="N39" i="25" s="1"/>
  <c r="H79" i="25"/>
  <c r="G81" i="25"/>
  <c r="B109" i="25" s="1"/>
  <c r="G187" i="29"/>
  <c r="G602" i="29"/>
  <c r="L596" i="29"/>
  <c r="H97" i="29" s="1"/>
  <c r="H187" i="29" s="1"/>
  <c r="M596" i="29"/>
  <c r="G603" i="29" s="1"/>
  <c r="K476" i="29"/>
  <c r="P196" i="29"/>
  <c r="I364" i="26"/>
  <c r="I365" i="26" s="1"/>
  <c r="J365" i="26" s="1"/>
  <c r="K362" i="26" s="1"/>
  <c r="L362" i="26" s="1"/>
  <c r="G58" i="26" s="1"/>
  <c r="G166" i="26" s="1"/>
  <c r="H365" i="26"/>
  <c r="M663" i="26"/>
  <c r="G671" i="26" s="1"/>
  <c r="L663" i="26"/>
  <c r="G113" i="26" s="1"/>
  <c r="G221" i="26" s="1"/>
  <c r="K664" i="26"/>
  <c r="K665" i="26" s="1"/>
  <c r="K515" i="26"/>
  <c r="L514" i="26"/>
  <c r="G91" i="26" s="1"/>
  <c r="G199" i="26" s="1"/>
  <c r="K272" i="26"/>
  <c r="L272" i="26" s="1"/>
  <c r="G36" i="26" s="1"/>
  <c r="C95" i="8"/>
  <c r="N75" i="8"/>
  <c r="H592" i="26"/>
  <c r="I589" i="26"/>
  <c r="H200" i="19"/>
  <c r="R200" i="19" s="1"/>
  <c r="R70" i="19"/>
  <c r="I769" i="19"/>
  <c r="J769" i="19" s="1"/>
  <c r="K766" i="19" s="1"/>
  <c r="M766" i="19" s="1"/>
  <c r="H769" i="19"/>
  <c r="H618" i="19"/>
  <c r="I618" i="19" s="1"/>
  <c r="H552" i="19"/>
  <c r="I552" i="19" s="1"/>
  <c r="H410" i="19"/>
  <c r="I410" i="19" s="1"/>
  <c r="I550" i="19"/>
  <c r="G487" i="19"/>
  <c r="H695" i="19"/>
  <c r="I692" i="19"/>
  <c r="K319" i="19"/>
  <c r="M479" i="19"/>
  <c r="E33" i="5" l="1"/>
  <c r="H83" i="8"/>
  <c r="H67" i="8" s="1"/>
  <c r="L240" i="26" s="1"/>
  <c r="N102" i="8"/>
  <c r="G99" i="8"/>
  <c r="G100" i="8" s="1"/>
  <c r="G105" i="22"/>
  <c r="G123" i="22" s="1"/>
  <c r="G106" i="22"/>
  <c r="L106" i="22" s="1"/>
  <c r="N106" i="22" s="1"/>
  <c r="L438" i="26"/>
  <c r="H69" i="26" s="1"/>
  <c r="H177" i="26" s="1"/>
  <c r="M438" i="26"/>
  <c r="G446" i="26" s="1"/>
  <c r="G445" i="26"/>
  <c r="K439" i="26"/>
  <c r="K440" i="26" s="1"/>
  <c r="N101" i="8"/>
  <c r="R255" i="19"/>
  <c r="R279" i="19" s="1"/>
  <c r="H279" i="19"/>
  <c r="R150" i="19"/>
  <c r="N46" i="7"/>
  <c r="P46" i="7" s="1"/>
  <c r="I48" i="7"/>
  <c r="I32" i="7" s="1"/>
  <c r="M286" i="19" s="1"/>
  <c r="I66" i="7"/>
  <c r="I67" i="7" s="1"/>
  <c r="N67" i="7" s="1"/>
  <c r="H435" i="29"/>
  <c r="I435" i="29" s="1"/>
  <c r="I541" i="29"/>
  <c r="J541" i="29" s="1"/>
  <c r="K539" i="29" s="1"/>
  <c r="P52" i="29"/>
  <c r="G124" i="29"/>
  <c r="P34" i="29"/>
  <c r="G324" i="29"/>
  <c r="M318" i="29"/>
  <c r="P142" i="29"/>
  <c r="G236" i="29"/>
  <c r="M231" i="29"/>
  <c r="K191" i="29"/>
  <c r="K202" i="29" s="1"/>
  <c r="K201" i="29"/>
  <c r="N38" i="25"/>
  <c r="N42" i="25" s="1"/>
  <c r="L42" i="25"/>
  <c r="L28" i="25" s="1"/>
  <c r="D42" i="25"/>
  <c r="D28" i="25" s="1"/>
  <c r="D56" i="25"/>
  <c r="L56" i="25" s="1"/>
  <c r="F87" i="25"/>
  <c r="H81" i="25"/>
  <c r="P187" i="29"/>
  <c r="P97" i="29"/>
  <c r="M597" i="29"/>
  <c r="G605" i="29"/>
  <c r="L476" i="29"/>
  <c r="G79" i="29" s="1"/>
  <c r="M476" i="29"/>
  <c r="K477" i="29"/>
  <c r="M362" i="26"/>
  <c r="G370" i="26" s="1"/>
  <c r="K363" i="26"/>
  <c r="K364" i="26" s="1"/>
  <c r="M364" i="26" s="1"/>
  <c r="G372" i="26" s="1"/>
  <c r="K240" i="26"/>
  <c r="K767" i="19"/>
  <c r="M767" i="19" s="1"/>
  <c r="G775" i="19" s="1"/>
  <c r="L766" i="19"/>
  <c r="L665" i="26"/>
  <c r="I113" i="26" s="1"/>
  <c r="I221" i="26" s="1"/>
  <c r="M665" i="26"/>
  <c r="G673" i="26" s="1"/>
  <c r="L664" i="26"/>
  <c r="H113" i="26" s="1"/>
  <c r="M664" i="26"/>
  <c r="K666" i="26"/>
  <c r="K516" i="26"/>
  <c r="K517" i="26" s="1"/>
  <c r="L515" i="26"/>
  <c r="H91" i="26" s="1"/>
  <c r="M515" i="26"/>
  <c r="M272" i="26"/>
  <c r="G280" i="26" s="1"/>
  <c r="K273" i="26"/>
  <c r="L273" i="26" s="1"/>
  <c r="H36" i="26" s="1"/>
  <c r="P75" i="8"/>
  <c r="N95" i="8"/>
  <c r="C96" i="8"/>
  <c r="I592" i="26"/>
  <c r="J592" i="26" s="1"/>
  <c r="G144" i="26"/>
  <c r="H48" i="7"/>
  <c r="H32" i="7" s="1"/>
  <c r="H65" i="7"/>
  <c r="H66" i="7" s="1"/>
  <c r="C60" i="7"/>
  <c r="N40" i="7"/>
  <c r="P40" i="7" s="1"/>
  <c r="G64" i="7"/>
  <c r="G65" i="7" s="1"/>
  <c r="G48" i="7"/>
  <c r="G32" i="7" s="1"/>
  <c r="I553" i="19"/>
  <c r="J553" i="19" s="1"/>
  <c r="K550" i="19" s="1"/>
  <c r="L550" i="19" s="1"/>
  <c r="G82" i="19" s="1"/>
  <c r="H553" i="19"/>
  <c r="H411" i="19"/>
  <c r="I411" i="19" s="1"/>
  <c r="I412" i="19" s="1"/>
  <c r="J412" i="19" s="1"/>
  <c r="H619" i="19"/>
  <c r="D61" i="7"/>
  <c r="N41" i="7"/>
  <c r="P41" i="7" s="1"/>
  <c r="H485" i="19"/>
  <c r="I485" i="19" s="1"/>
  <c r="H486" i="19"/>
  <c r="I486" i="19" s="1"/>
  <c r="H484" i="19"/>
  <c r="L319" i="19"/>
  <c r="G38" i="19" s="1"/>
  <c r="M319" i="19"/>
  <c r="K320" i="19"/>
  <c r="I695" i="19"/>
  <c r="J695" i="19" s="1"/>
  <c r="K692" i="19" s="1"/>
  <c r="G774" i="19"/>
  <c r="H436" i="29" l="1"/>
  <c r="G124" i="22"/>
  <c r="L124" i="22" s="1"/>
  <c r="G108" i="22"/>
  <c r="G94" i="22" s="1"/>
  <c r="K204" i="29" s="1"/>
  <c r="D80" i="5"/>
  <c r="D78" i="5" s="1"/>
  <c r="D77" i="5" s="1"/>
  <c r="E80" i="5"/>
  <c r="E78" i="5" s="1"/>
  <c r="E77" i="5" s="1"/>
  <c r="L439" i="26"/>
  <c r="I69" i="26" s="1"/>
  <c r="I177" i="26" s="1"/>
  <c r="R177" i="26" s="1"/>
  <c r="M439" i="26"/>
  <c r="L767" i="19"/>
  <c r="G115" i="19"/>
  <c r="G245" i="19" s="1"/>
  <c r="G256" i="19"/>
  <c r="K768" i="19"/>
  <c r="K769" i="19" s="1"/>
  <c r="N66" i="7"/>
  <c r="K540" i="29"/>
  <c r="K541" i="29" s="1"/>
  <c r="M539" i="29"/>
  <c r="L539" i="29"/>
  <c r="G88" i="29" s="1"/>
  <c r="H236" i="29"/>
  <c r="I236" i="29" s="1"/>
  <c r="H237" i="29"/>
  <c r="I237" i="29" s="1"/>
  <c r="G239" i="29"/>
  <c r="H323" i="29"/>
  <c r="H325" i="29" s="1"/>
  <c r="I325" i="29" s="1"/>
  <c r="H324" i="29"/>
  <c r="I324" i="29" s="1"/>
  <c r="G326" i="29"/>
  <c r="P124" i="29"/>
  <c r="H87" i="25"/>
  <c r="H90" i="25" s="1"/>
  <c r="F90" i="25"/>
  <c r="H602" i="29"/>
  <c r="I602" i="29" s="1"/>
  <c r="G169" i="29"/>
  <c r="G483" i="29"/>
  <c r="L477" i="29"/>
  <c r="H79" i="29" s="1"/>
  <c r="M477" i="29"/>
  <c r="G484" i="29" s="1"/>
  <c r="K478" i="29"/>
  <c r="L364" i="26"/>
  <c r="I58" i="26" s="1"/>
  <c r="I166" i="26" s="1"/>
  <c r="K365" i="26"/>
  <c r="M363" i="26"/>
  <c r="G371" i="26" s="1"/>
  <c r="G374" i="26" s="1"/>
  <c r="L363" i="26"/>
  <c r="H58" i="26" s="1"/>
  <c r="H166" i="26" s="1"/>
  <c r="M273" i="26"/>
  <c r="G281" i="26" s="1"/>
  <c r="L286" i="19"/>
  <c r="K286" i="19"/>
  <c r="G672" i="26"/>
  <c r="G675" i="26" s="1"/>
  <c r="M666" i="26"/>
  <c r="H221" i="26"/>
  <c r="R221" i="26" s="1"/>
  <c r="R113" i="26"/>
  <c r="K589" i="26"/>
  <c r="G523" i="26"/>
  <c r="M516" i="26"/>
  <c r="G524" i="26" s="1"/>
  <c r="L516" i="26"/>
  <c r="I91" i="26" s="1"/>
  <c r="I199" i="26" s="1"/>
  <c r="H199" i="26"/>
  <c r="K274" i="26"/>
  <c r="N96" i="8"/>
  <c r="H144" i="26"/>
  <c r="N60" i="7"/>
  <c r="C61" i="7"/>
  <c r="N61" i="7" s="1"/>
  <c r="M550" i="19"/>
  <c r="G558" i="19" s="1"/>
  <c r="K551" i="19"/>
  <c r="K552" i="19" s="1"/>
  <c r="H412" i="19"/>
  <c r="G212" i="19"/>
  <c r="K409" i="19"/>
  <c r="I619" i="19"/>
  <c r="I620" i="19" s="1"/>
  <c r="J620" i="19" s="1"/>
  <c r="K617" i="19" s="1"/>
  <c r="L617" i="19" s="1"/>
  <c r="G93" i="19" s="1"/>
  <c r="H620" i="19"/>
  <c r="L692" i="19"/>
  <c r="G104" i="19" s="1"/>
  <c r="L320" i="19"/>
  <c r="H38" i="19" s="1"/>
  <c r="M320" i="19"/>
  <c r="G328" i="19" s="1"/>
  <c r="G168" i="19"/>
  <c r="K321" i="19"/>
  <c r="K322" i="19" s="1"/>
  <c r="K693" i="19"/>
  <c r="G327" i="19"/>
  <c r="H487" i="19"/>
  <c r="I484" i="19"/>
  <c r="M692" i="19"/>
  <c r="I436" i="29" l="1"/>
  <c r="H437" i="29"/>
  <c r="H238" i="29"/>
  <c r="I238" i="29" s="1"/>
  <c r="I239" i="29" s="1"/>
  <c r="J239" i="29" s="1"/>
  <c r="K236" i="29" s="1"/>
  <c r="M236" i="29" s="1"/>
  <c r="H603" i="29"/>
  <c r="G447" i="26"/>
  <c r="M440" i="26"/>
  <c r="M768" i="19"/>
  <c r="G776" i="19" s="1"/>
  <c r="G778" i="19" s="1"/>
  <c r="L768" i="19"/>
  <c r="M551" i="19"/>
  <c r="G559" i="19" s="1"/>
  <c r="H115" i="19"/>
  <c r="H245" i="19" s="1"/>
  <c r="H256" i="19"/>
  <c r="R69" i="26"/>
  <c r="L540" i="29"/>
  <c r="H88" i="29" s="1"/>
  <c r="H178" i="29" s="1"/>
  <c r="M540" i="29"/>
  <c r="G547" i="29" s="1"/>
  <c r="G178" i="29"/>
  <c r="G546" i="29"/>
  <c r="I323" i="29"/>
  <c r="H326" i="29"/>
  <c r="H239" i="29"/>
  <c r="H169" i="29"/>
  <c r="P169" i="29" s="1"/>
  <c r="P79" i="29"/>
  <c r="M478" i="29"/>
  <c r="G486" i="29"/>
  <c r="R166" i="26"/>
  <c r="R58" i="26"/>
  <c r="M365" i="26"/>
  <c r="H673" i="26"/>
  <c r="I673" i="26" s="1"/>
  <c r="H672" i="26"/>
  <c r="I672" i="26" s="1"/>
  <c r="H671" i="26"/>
  <c r="H674" i="26"/>
  <c r="I674" i="26" s="1"/>
  <c r="K590" i="26"/>
  <c r="L590" i="26" s="1"/>
  <c r="H102" i="26" s="1"/>
  <c r="R91" i="26"/>
  <c r="M517" i="26"/>
  <c r="R199" i="26"/>
  <c r="G526" i="26"/>
  <c r="L274" i="26"/>
  <c r="I36" i="26" s="1"/>
  <c r="M274" i="26"/>
  <c r="K275" i="26"/>
  <c r="L589" i="26"/>
  <c r="G102" i="26" s="1"/>
  <c r="M589" i="26"/>
  <c r="L551" i="19"/>
  <c r="H82" i="19" s="1"/>
  <c r="H212" i="19" s="1"/>
  <c r="K618" i="19"/>
  <c r="K619" i="19" s="1"/>
  <c r="K620" i="19" s="1"/>
  <c r="M617" i="19"/>
  <c r="G625" i="19" s="1"/>
  <c r="G223" i="19"/>
  <c r="G234" i="19"/>
  <c r="K410" i="19"/>
  <c r="L409" i="19"/>
  <c r="G60" i="19" s="1"/>
  <c r="M409" i="19"/>
  <c r="G417" i="19" s="1"/>
  <c r="L552" i="19"/>
  <c r="I82" i="19" s="1"/>
  <c r="I212" i="19" s="1"/>
  <c r="M552" i="19"/>
  <c r="K553" i="19"/>
  <c r="L693" i="19"/>
  <c r="H104" i="19" s="1"/>
  <c r="H234" i="19" s="1"/>
  <c r="M693" i="19"/>
  <c r="G701" i="19" s="1"/>
  <c r="H168" i="19"/>
  <c r="I487" i="19"/>
  <c r="J487" i="19" s="1"/>
  <c r="K484" i="19" s="1"/>
  <c r="L321" i="19"/>
  <c r="I38" i="19" s="1"/>
  <c r="M321" i="19"/>
  <c r="G329" i="19" s="1"/>
  <c r="G331" i="19" s="1"/>
  <c r="G700" i="19"/>
  <c r="K694" i="19"/>
  <c r="K695" i="19" s="1"/>
  <c r="I437" i="29" l="1"/>
  <c r="I438" i="29" s="1"/>
  <c r="J438" i="29" s="1"/>
  <c r="H438" i="29"/>
  <c r="I603" i="29"/>
  <c r="H604" i="29"/>
  <c r="H447" i="26"/>
  <c r="I447" i="26" s="1"/>
  <c r="H446" i="26"/>
  <c r="I446" i="26" s="1"/>
  <c r="H448" i="26"/>
  <c r="I448" i="26" s="1"/>
  <c r="H445" i="26"/>
  <c r="G449" i="26"/>
  <c r="M618" i="19"/>
  <c r="G626" i="19" s="1"/>
  <c r="M769" i="19"/>
  <c r="H776" i="19" s="1"/>
  <c r="I776" i="19" s="1"/>
  <c r="R38" i="19"/>
  <c r="L618" i="19"/>
  <c r="H93" i="19" s="1"/>
  <c r="H223" i="19" s="1"/>
  <c r="I115" i="19"/>
  <c r="M541" i="29"/>
  <c r="P178" i="29"/>
  <c r="P88" i="29"/>
  <c r="G244" i="29"/>
  <c r="H253" i="29" s="1"/>
  <c r="K237" i="29"/>
  <c r="L236" i="29"/>
  <c r="G35" i="29" s="1"/>
  <c r="I326" i="29"/>
  <c r="J326" i="29" s="1"/>
  <c r="K323" i="29" s="1"/>
  <c r="M323" i="29" s="1"/>
  <c r="H483" i="29"/>
  <c r="H484" i="29" s="1"/>
  <c r="I484" i="29" s="1"/>
  <c r="H371" i="26"/>
  <c r="I371" i="26" s="1"/>
  <c r="H370" i="26"/>
  <c r="I370" i="26" s="1"/>
  <c r="I671" i="26"/>
  <c r="H675" i="26"/>
  <c r="K591" i="26"/>
  <c r="K592" i="26" s="1"/>
  <c r="M590" i="26"/>
  <c r="G598" i="26" s="1"/>
  <c r="H522" i="26"/>
  <c r="H523" i="26" s="1"/>
  <c r="I523" i="26" s="1"/>
  <c r="G282" i="26"/>
  <c r="G284" i="26" s="1"/>
  <c r="M275" i="26"/>
  <c r="R36" i="26"/>
  <c r="I144" i="26"/>
  <c r="R144" i="26" s="1"/>
  <c r="H210" i="26"/>
  <c r="H127" i="26"/>
  <c r="D77" i="8" s="1"/>
  <c r="G597" i="26"/>
  <c r="G210" i="26"/>
  <c r="G190" i="19"/>
  <c r="R212" i="19"/>
  <c r="R82" i="19"/>
  <c r="L410" i="19"/>
  <c r="H60" i="19" s="1"/>
  <c r="M410" i="19"/>
  <c r="K411" i="19"/>
  <c r="K412" i="19" s="1"/>
  <c r="L484" i="19"/>
  <c r="G71" i="19" s="1"/>
  <c r="G151" i="19" s="1"/>
  <c r="K485" i="19"/>
  <c r="H774" i="19"/>
  <c r="H775" i="19"/>
  <c r="I775" i="19" s="1"/>
  <c r="M484" i="19"/>
  <c r="L694" i="19"/>
  <c r="I104" i="19" s="1"/>
  <c r="R104" i="19" s="1"/>
  <c r="M694" i="19"/>
  <c r="I168" i="19"/>
  <c r="M322" i="19"/>
  <c r="G560" i="19"/>
  <c r="M553" i="19"/>
  <c r="L619" i="19"/>
  <c r="I93" i="19" s="1"/>
  <c r="I223" i="19" s="1"/>
  <c r="M619" i="19"/>
  <c r="K435" i="29" l="1"/>
  <c r="K436" i="29" s="1"/>
  <c r="I604" i="29"/>
  <c r="I605" i="29" s="1"/>
  <c r="J605" i="29" s="1"/>
  <c r="K602" i="29" s="1"/>
  <c r="L602" i="29" s="1"/>
  <c r="G98" i="29" s="1"/>
  <c r="H605" i="29"/>
  <c r="G37" i="29"/>
  <c r="H449" i="26"/>
  <c r="I445" i="26"/>
  <c r="R223" i="19"/>
  <c r="H777" i="19"/>
  <c r="I777" i="19" s="1"/>
  <c r="R126" i="19"/>
  <c r="I256" i="19"/>
  <c r="I245" i="19"/>
  <c r="H190" i="19"/>
  <c r="H280" i="19" s="1"/>
  <c r="H151" i="19"/>
  <c r="R115" i="19"/>
  <c r="H372" i="26"/>
  <c r="I372" i="26" s="1"/>
  <c r="H373" i="26"/>
  <c r="I373" i="26" s="1"/>
  <c r="H524" i="26"/>
  <c r="I524" i="26" s="1"/>
  <c r="K324" i="29"/>
  <c r="K325" i="29" s="1"/>
  <c r="L323" i="29"/>
  <c r="G53" i="29" s="1"/>
  <c r="G125" i="29"/>
  <c r="G331" i="29"/>
  <c r="L237" i="29"/>
  <c r="H35" i="29" s="1"/>
  <c r="H125" i="29" s="1"/>
  <c r="K238" i="29"/>
  <c r="M237" i="29"/>
  <c r="H485" i="29"/>
  <c r="I485" i="29" s="1"/>
  <c r="I483" i="29"/>
  <c r="H244" i="29"/>
  <c r="G36" i="29" s="1"/>
  <c r="M591" i="26"/>
  <c r="G599" i="26" s="1"/>
  <c r="G601" i="26" s="1"/>
  <c r="L591" i="26"/>
  <c r="I102" i="26" s="1"/>
  <c r="I210" i="26" s="1"/>
  <c r="R210" i="26" s="1"/>
  <c r="I675" i="26"/>
  <c r="I522" i="26"/>
  <c r="H283" i="26"/>
  <c r="I283" i="26" s="1"/>
  <c r="H281" i="26"/>
  <c r="I281" i="26" s="1"/>
  <c r="H282" i="26"/>
  <c r="I282" i="26" s="1"/>
  <c r="H280" i="26"/>
  <c r="D97" i="8"/>
  <c r="H234" i="26"/>
  <c r="G234" i="26"/>
  <c r="R93" i="19"/>
  <c r="R168" i="19"/>
  <c r="G201" i="19"/>
  <c r="G418" i="19"/>
  <c r="L411" i="19"/>
  <c r="I60" i="19" s="1"/>
  <c r="M411" i="19"/>
  <c r="G419" i="19" s="1"/>
  <c r="H778" i="19"/>
  <c r="I774" i="19"/>
  <c r="L485" i="19"/>
  <c r="H71" i="19" s="1"/>
  <c r="H201" i="19" s="1"/>
  <c r="M485" i="19"/>
  <c r="G493" i="19" s="1"/>
  <c r="G627" i="19"/>
  <c r="M620" i="19"/>
  <c r="G562" i="19"/>
  <c r="I234" i="19"/>
  <c r="G492" i="19"/>
  <c r="K486" i="19"/>
  <c r="K487" i="19" s="1"/>
  <c r="H329" i="19"/>
  <c r="I329" i="19" s="1"/>
  <c r="H328" i="19"/>
  <c r="I328" i="19" s="1"/>
  <c r="H327" i="19"/>
  <c r="H330" i="19"/>
  <c r="I330" i="19" s="1"/>
  <c r="H558" i="19"/>
  <c r="H560" i="19"/>
  <c r="I560" i="19" s="1"/>
  <c r="H561" i="19"/>
  <c r="I561" i="19" s="1"/>
  <c r="H559" i="19"/>
  <c r="I559" i="19" s="1"/>
  <c r="G702" i="19"/>
  <c r="M695" i="19"/>
  <c r="M436" i="29" l="1"/>
  <c r="G444" i="29" s="1"/>
  <c r="L436" i="29"/>
  <c r="H71" i="29" s="1"/>
  <c r="H161" i="29" s="1"/>
  <c r="M435" i="29"/>
  <c r="G443" i="29" s="1"/>
  <c r="L435" i="29"/>
  <c r="G71" i="29" s="1"/>
  <c r="G161" i="29" s="1"/>
  <c r="K437" i="29"/>
  <c r="K603" i="29"/>
  <c r="K604" i="29" s="1"/>
  <c r="K605" i="29" s="1"/>
  <c r="M602" i="29"/>
  <c r="G610" i="29" s="1"/>
  <c r="H619" i="29" s="1"/>
  <c r="I449" i="26"/>
  <c r="J449" i="26" s="1"/>
  <c r="R256" i="19"/>
  <c r="R245" i="19"/>
  <c r="I190" i="19"/>
  <c r="R190" i="19" s="1"/>
  <c r="H374" i="26"/>
  <c r="I374" i="26"/>
  <c r="J374" i="26" s="1"/>
  <c r="K370" i="26" s="1"/>
  <c r="L370" i="26" s="1"/>
  <c r="G59" i="26" s="1"/>
  <c r="H525" i="26"/>
  <c r="H486" i="29"/>
  <c r="H340" i="29"/>
  <c r="H331" i="29"/>
  <c r="L325" i="29"/>
  <c r="I53" i="29" s="1"/>
  <c r="I143" i="29" s="1"/>
  <c r="M325" i="29"/>
  <c r="G333" i="29" s="1"/>
  <c r="K239" i="29"/>
  <c r="L238" i="29"/>
  <c r="M238" i="29"/>
  <c r="G246" i="29" s="1"/>
  <c r="H255" i="29" s="1"/>
  <c r="K326" i="29"/>
  <c r="G245" i="29"/>
  <c r="H254" i="29" s="1"/>
  <c r="G143" i="29"/>
  <c r="L324" i="29"/>
  <c r="H53" i="29" s="1"/>
  <c r="H143" i="29" s="1"/>
  <c r="M324" i="29"/>
  <c r="G126" i="29"/>
  <c r="G188" i="29"/>
  <c r="L603" i="29"/>
  <c r="H98" i="29" s="1"/>
  <c r="H188" i="29" s="1"/>
  <c r="I486" i="29"/>
  <c r="J486" i="29" s="1"/>
  <c r="I244" i="29"/>
  <c r="G253" i="29" s="1"/>
  <c r="I127" i="26"/>
  <c r="E77" i="8" s="1"/>
  <c r="I234" i="26"/>
  <c r="R102" i="26"/>
  <c r="M592" i="26"/>
  <c r="H600" i="26" s="1"/>
  <c r="I600" i="26" s="1"/>
  <c r="J675" i="26"/>
  <c r="I280" i="26"/>
  <c r="H284" i="26"/>
  <c r="R234" i="26"/>
  <c r="D42" i="7"/>
  <c r="R60" i="19"/>
  <c r="R234" i="19"/>
  <c r="M412" i="19"/>
  <c r="G421" i="19"/>
  <c r="G704" i="19"/>
  <c r="L486" i="19"/>
  <c r="I71" i="19" s="1"/>
  <c r="I201" i="19" s="1"/>
  <c r="R201" i="19" s="1"/>
  <c r="M486" i="19"/>
  <c r="H331" i="19"/>
  <c r="I327" i="19"/>
  <c r="H626" i="19"/>
  <c r="I626" i="19" s="1"/>
  <c r="H627" i="19"/>
  <c r="I627" i="19" s="1"/>
  <c r="H628" i="19"/>
  <c r="I628" i="19" s="1"/>
  <c r="H625" i="19"/>
  <c r="I778" i="19"/>
  <c r="J778" i="19" s="1"/>
  <c r="K774" i="19" s="1"/>
  <c r="H700" i="19"/>
  <c r="H701" i="19"/>
  <c r="I701" i="19" s="1"/>
  <c r="H562" i="19"/>
  <c r="I558" i="19"/>
  <c r="G629" i="19"/>
  <c r="M603" i="29" l="1"/>
  <c r="G611" i="29" s="1"/>
  <c r="H620" i="29" s="1"/>
  <c r="H452" i="29"/>
  <c r="G73" i="29" s="1"/>
  <c r="H443" i="29"/>
  <c r="K438" i="29"/>
  <c r="M437" i="29"/>
  <c r="L437" i="29"/>
  <c r="I71" i="29" s="1"/>
  <c r="I161" i="29" s="1"/>
  <c r="P161" i="29" s="1"/>
  <c r="H453" i="29"/>
  <c r="H73" i="29" s="1"/>
  <c r="H444" i="29"/>
  <c r="H72" i="29" s="1"/>
  <c r="H162" i="29" s="1"/>
  <c r="I37" i="29"/>
  <c r="I35" i="29"/>
  <c r="I125" i="29" s="1"/>
  <c r="P125" i="29" s="1"/>
  <c r="H37" i="29"/>
  <c r="K445" i="26"/>
  <c r="R280" i="19"/>
  <c r="I151" i="19"/>
  <c r="E42" i="7" s="1"/>
  <c r="I280" i="19"/>
  <c r="M370" i="26"/>
  <c r="G379" i="26" s="1"/>
  <c r="H389" i="26" s="1"/>
  <c r="K371" i="26"/>
  <c r="K372" i="26" s="1"/>
  <c r="L372" i="26" s="1"/>
  <c r="I59" i="26" s="1"/>
  <c r="I167" i="26" s="1"/>
  <c r="I525" i="26"/>
  <c r="I526" i="26" s="1"/>
  <c r="J526" i="26" s="1"/>
  <c r="K522" i="26" s="1"/>
  <c r="H526" i="26"/>
  <c r="M239" i="29"/>
  <c r="H245" i="29"/>
  <c r="H36" i="29" s="1"/>
  <c r="G54" i="29"/>
  <c r="P53" i="29"/>
  <c r="H333" i="29"/>
  <c r="I54" i="29" s="1"/>
  <c r="I144" i="29" s="1"/>
  <c r="H342" i="29"/>
  <c r="I55" i="29" s="1"/>
  <c r="G55" i="29"/>
  <c r="G332" i="29"/>
  <c r="M326" i="29"/>
  <c r="P143" i="29"/>
  <c r="I331" i="29"/>
  <c r="G127" i="29"/>
  <c r="H611" i="29"/>
  <c r="H99" i="29" s="1"/>
  <c r="H189" i="29" s="1"/>
  <c r="H100" i="29"/>
  <c r="L604" i="29"/>
  <c r="I98" i="29" s="1"/>
  <c r="M604" i="29"/>
  <c r="G100" i="29"/>
  <c r="H610" i="29"/>
  <c r="K483" i="29"/>
  <c r="H246" i="29"/>
  <c r="I375" i="29"/>
  <c r="J375" i="29" s="1"/>
  <c r="E97" i="8"/>
  <c r="H597" i="26"/>
  <c r="I597" i="26" s="1"/>
  <c r="H599" i="26"/>
  <c r="I599" i="26" s="1"/>
  <c r="H598" i="26"/>
  <c r="I598" i="26" s="1"/>
  <c r="K671" i="26"/>
  <c r="I284" i="26"/>
  <c r="G167" i="26"/>
  <c r="R71" i="19"/>
  <c r="R151" i="19" s="1"/>
  <c r="H418" i="19"/>
  <c r="I418" i="19" s="1"/>
  <c r="H419" i="19"/>
  <c r="I419" i="19" s="1"/>
  <c r="H420" i="19"/>
  <c r="I420" i="19" s="1"/>
  <c r="H417" i="19"/>
  <c r="H702" i="19"/>
  <c r="I702" i="19" s="1"/>
  <c r="I562" i="19"/>
  <c r="J562" i="19" s="1"/>
  <c r="K558" i="19" s="1"/>
  <c r="L774" i="19"/>
  <c r="G494" i="19"/>
  <c r="M487" i="19"/>
  <c r="I700" i="19"/>
  <c r="K775" i="19"/>
  <c r="K776" i="19" s="1"/>
  <c r="H629" i="19"/>
  <c r="I625" i="19"/>
  <c r="I331" i="19"/>
  <c r="J331" i="19" s="1"/>
  <c r="M774" i="19"/>
  <c r="G783" i="19" s="1"/>
  <c r="H793" i="19" s="1"/>
  <c r="H163" i="29" l="1"/>
  <c r="I444" i="29"/>
  <c r="G453" i="29" s="1"/>
  <c r="I453" i="29" s="1"/>
  <c r="G445" i="29"/>
  <c r="M438" i="29"/>
  <c r="I443" i="29"/>
  <c r="G452" i="29" s="1"/>
  <c r="I452" i="29" s="1"/>
  <c r="G72" i="29"/>
  <c r="G162" i="29" s="1"/>
  <c r="G163" i="29" s="1"/>
  <c r="P71" i="29"/>
  <c r="P37" i="29"/>
  <c r="P35" i="29"/>
  <c r="L445" i="26"/>
  <c r="G70" i="26" s="1"/>
  <c r="M445" i="26"/>
  <c r="K446" i="26"/>
  <c r="G116" i="19"/>
  <c r="G246" i="19" s="1"/>
  <c r="G257" i="19"/>
  <c r="M372" i="26"/>
  <c r="G381" i="26" s="1"/>
  <c r="H391" i="26" s="1"/>
  <c r="K373" i="26"/>
  <c r="K374" i="26" s="1"/>
  <c r="M371" i="26"/>
  <c r="G380" i="26" s="1"/>
  <c r="H390" i="26" s="1"/>
  <c r="L371" i="26"/>
  <c r="H59" i="26" s="1"/>
  <c r="H167" i="26" s="1"/>
  <c r="I245" i="29"/>
  <c r="G254" i="29" s="1"/>
  <c r="I145" i="29"/>
  <c r="H332" i="29"/>
  <c r="I332" i="29" s="1"/>
  <c r="G341" i="29" s="1"/>
  <c r="H341" i="29"/>
  <c r="G335" i="29"/>
  <c r="G144" i="29"/>
  <c r="G340" i="29"/>
  <c r="I333" i="29"/>
  <c r="G342" i="29" s="1"/>
  <c r="I342" i="29" s="1"/>
  <c r="I611" i="29"/>
  <c r="G620" i="29" s="1"/>
  <c r="I620" i="29" s="1"/>
  <c r="H190" i="29"/>
  <c r="H126" i="29"/>
  <c r="I188" i="29"/>
  <c r="P98" i="29"/>
  <c r="I610" i="29"/>
  <c r="G619" i="29" s="1"/>
  <c r="G99" i="29"/>
  <c r="K375" i="29"/>
  <c r="G380" i="29" s="1"/>
  <c r="G60" i="29"/>
  <c r="I246" i="29"/>
  <c r="G255" i="29" s="1"/>
  <c r="I255" i="29" s="1"/>
  <c r="I36" i="29"/>
  <c r="G612" i="29"/>
  <c r="M605" i="29"/>
  <c r="L483" i="29"/>
  <c r="G80" i="29" s="1"/>
  <c r="M483" i="29"/>
  <c r="K484" i="29"/>
  <c r="K485" i="29" s="1"/>
  <c r="I256" i="29"/>
  <c r="I253" i="29"/>
  <c r="P192" i="29"/>
  <c r="P191" i="29"/>
  <c r="H601" i="26"/>
  <c r="L671" i="26"/>
  <c r="G114" i="26" s="1"/>
  <c r="M671" i="26"/>
  <c r="K672" i="26"/>
  <c r="M522" i="26"/>
  <c r="G531" i="26" s="1"/>
  <c r="H541" i="26" s="1"/>
  <c r="L522" i="26"/>
  <c r="G92" i="26" s="1"/>
  <c r="G200" i="26" s="1"/>
  <c r="K523" i="26"/>
  <c r="L523" i="26" s="1"/>
  <c r="H92" i="26" s="1"/>
  <c r="H200" i="26" s="1"/>
  <c r="J284" i="26"/>
  <c r="I601" i="26"/>
  <c r="J601" i="26" s="1"/>
  <c r="H379" i="26"/>
  <c r="H421" i="19"/>
  <c r="I417" i="19"/>
  <c r="H783" i="19"/>
  <c r="H703" i="19"/>
  <c r="D62" i="7"/>
  <c r="L776" i="19"/>
  <c r="I257" i="19" s="1"/>
  <c r="M776" i="19"/>
  <c r="G785" i="19" s="1"/>
  <c r="L775" i="19"/>
  <c r="H257" i="19" s="1"/>
  <c r="M775" i="19"/>
  <c r="G784" i="19" s="1"/>
  <c r="H794" i="19" s="1"/>
  <c r="K559" i="19"/>
  <c r="G496" i="19"/>
  <c r="L558" i="19"/>
  <c r="G83" i="19" s="1"/>
  <c r="I629" i="19"/>
  <c r="J629" i="19" s="1"/>
  <c r="K327" i="19"/>
  <c r="K328" i="19" s="1"/>
  <c r="K777" i="19"/>
  <c r="H493" i="19"/>
  <c r="I493" i="19" s="1"/>
  <c r="H495" i="19"/>
  <c r="I495" i="19" s="1"/>
  <c r="H494" i="19"/>
  <c r="I494" i="19" s="1"/>
  <c r="H492" i="19"/>
  <c r="M558" i="19"/>
  <c r="G567" i="19" s="1"/>
  <c r="H577" i="19" s="1"/>
  <c r="H445" i="29" l="1"/>
  <c r="I445" i="29" s="1"/>
  <c r="G447" i="29"/>
  <c r="H454" i="29"/>
  <c r="K447" i="26"/>
  <c r="K448" i="26" s="1"/>
  <c r="G454" i="26"/>
  <c r="L446" i="26"/>
  <c r="H70" i="26" s="1"/>
  <c r="M446" i="26"/>
  <c r="G455" i="26" s="1"/>
  <c r="L373" i="26"/>
  <c r="J59" i="26" s="1"/>
  <c r="J167" i="26" s="1"/>
  <c r="R167" i="26" s="1"/>
  <c r="H381" i="26"/>
  <c r="I60" i="26" s="1"/>
  <c r="I168" i="26" s="1"/>
  <c r="G117" i="19"/>
  <c r="G247" i="19" s="1"/>
  <c r="G258" i="19"/>
  <c r="M373" i="26"/>
  <c r="G382" i="26" s="1"/>
  <c r="H382" i="26" s="1"/>
  <c r="J60" i="26" s="1"/>
  <c r="H380" i="26"/>
  <c r="H60" i="26" s="1"/>
  <c r="H168" i="26" s="1"/>
  <c r="I341" i="29"/>
  <c r="I335" i="29"/>
  <c r="H55" i="29"/>
  <c r="P55" i="29" s="1"/>
  <c r="H345" i="29"/>
  <c r="C365" i="29" s="1"/>
  <c r="G212" i="29" s="1"/>
  <c r="D98" i="5" s="1"/>
  <c r="I340" i="29"/>
  <c r="G345" i="29"/>
  <c r="H54" i="29"/>
  <c r="H335" i="29"/>
  <c r="C364" i="29" s="1"/>
  <c r="G145" i="29"/>
  <c r="G614" i="29"/>
  <c r="H621" i="29"/>
  <c r="I100" i="29" s="1"/>
  <c r="P100" i="29" s="1"/>
  <c r="H380" i="29"/>
  <c r="H381" i="29" s="1"/>
  <c r="I381" i="29" s="1"/>
  <c r="H127" i="29"/>
  <c r="G170" i="29"/>
  <c r="P60" i="29"/>
  <c r="P108" i="29" s="1"/>
  <c r="G150" i="29"/>
  <c r="G108" i="29"/>
  <c r="C101" i="22" s="1"/>
  <c r="H612" i="29"/>
  <c r="I126" i="29"/>
  <c r="P126" i="29" s="1"/>
  <c r="P188" i="29"/>
  <c r="G189" i="29"/>
  <c r="P36" i="29"/>
  <c r="I619" i="29"/>
  <c r="G382" i="29"/>
  <c r="L485" i="29"/>
  <c r="I80" i="29" s="1"/>
  <c r="M485" i="29"/>
  <c r="G493" i="29" s="1"/>
  <c r="H502" i="29" s="1"/>
  <c r="G491" i="29"/>
  <c r="H500" i="29" s="1"/>
  <c r="L484" i="29"/>
  <c r="H80" i="29" s="1"/>
  <c r="M484" i="29"/>
  <c r="G492" i="29" s="1"/>
  <c r="H501" i="29" s="1"/>
  <c r="K486" i="29"/>
  <c r="H248" i="29"/>
  <c r="C277" i="29" s="1"/>
  <c r="H258" i="29"/>
  <c r="C278" i="29" s="1"/>
  <c r="G248" i="29"/>
  <c r="M523" i="26"/>
  <c r="G532" i="26" s="1"/>
  <c r="H542" i="26" s="1"/>
  <c r="G178" i="26"/>
  <c r="H785" i="19"/>
  <c r="H795" i="19"/>
  <c r="L672" i="26"/>
  <c r="H114" i="26" s="1"/>
  <c r="H222" i="26" s="1"/>
  <c r="M672" i="26"/>
  <c r="G681" i="26" s="1"/>
  <c r="G680" i="26"/>
  <c r="H690" i="26" s="1"/>
  <c r="G222" i="26"/>
  <c r="K673" i="26"/>
  <c r="K597" i="26"/>
  <c r="H531" i="26"/>
  <c r="G93" i="26" s="1"/>
  <c r="G201" i="26" s="1"/>
  <c r="K524" i="26"/>
  <c r="K280" i="26"/>
  <c r="G60" i="26"/>
  <c r="I379" i="26"/>
  <c r="G213" i="19"/>
  <c r="I116" i="19"/>
  <c r="I246" i="19" s="1"/>
  <c r="H116" i="19"/>
  <c r="H246" i="19" s="1"/>
  <c r="I421" i="19"/>
  <c r="J421" i="19" s="1"/>
  <c r="K417" i="19" s="1"/>
  <c r="I783" i="19"/>
  <c r="G793" i="19" s="1"/>
  <c r="H784" i="19"/>
  <c r="H258" i="19" s="1"/>
  <c r="H259" i="19" s="1"/>
  <c r="I703" i="19"/>
  <c r="I704" i="19" s="1"/>
  <c r="J704" i="19" s="1"/>
  <c r="K700" i="19" s="1"/>
  <c r="L700" i="19" s="1"/>
  <c r="G105" i="19" s="1"/>
  <c r="H704" i="19"/>
  <c r="H567" i="19"/>
  <c r="G84" i="19" s="1"/>
  <c r="E62" i="7"/>
  <c r="L559" i="19"/>
  <c r="M559" i="19"/>
  <c r="G568" i="19" s="1"/>
  <c r="H578" i="19" s="1"/>
  <c r="L777" i="19"/>
  <c r="M777" i="19"/>
  <c r="L328" i="19"/>
  <c r="H39" i="19" s="1"/>
  <c r="M328" i="19"/>
  <c r="G337" i="19" s="1"/>
  <c r="H347" i="19" s="1"/>
  <c r="K560" i="19"/>
  <c r="H496" i="19"/>
  <c r="I492" i="19"/>
  <c r="L327" i="19"/>
  <c r="G39" i="19" s="1"/>
  <c r="M327" i="19"/>
  <c r="G336" i="19" s="1"/>
  <c r="H346" i="19" s="1"/>
  <c r="G41" i="19" s="1"/>
  <c r="K625" i="19"/>
  <c r="K626" i="19" s="1"/>
  <c r="K778" i="19"/>
  <c r="K329" i="19"/>
  <c r="J168" i="26" l="1"/>
  <c r="H456" i="29"/>
  <c r="C461" i="29" s="1"/>
  <c r="I73" i="29"/>
  <c r="P73" i="29" s="1"/>
  <c r="G454" i="29"/>
  <c r="I447" i="29"/>
  <c r="I72" i="29"/>
  <c r="H447" i="29"/>
  <c r="C460" i="29" s="1"/>
  <c r="I381" i="26"/>
  <c r="G391" i="26" s="1"/>
  <c r="I61" i="26" s="1"/>
  <c r="I169" i="26" s="1"/>
  <c r="R59" i="26"/>
  <c r="M447" i="26"/>
  <c r="G456" i="26" s="1"/>
  <c r="H466" i="26" s="1"/>
  <c r="I72" i="26" s="1"/>
  <c r="L447" i="26"/>
  <c r="I70" i="26" s="1"/>
  <c r="I178" i="26" s="1"/>
  <c r="K449" i="26"/>
  <c r="L448" i="26"/>
  <c r="J70" i="26" s="1"/>
  <c r="M448" i="26"/>
  <c r="G457" i="26" s="1"/>
  <c r="H457" i="26" s="1"/>
  <c r="H455" i="26"/>
  <c r="H465" i="26"/>
  <c r="H72" i="26" s="1"/>
  <c r="H454" i="26"/>
  <c r="G71" i="26" s="1"/>
  <c r="H464" i="26"/>
  <c r="G72" i="26" s="1"/>
  <c r="M374" i="26"/>
  <c r="H392" i="26"/>
  <c r="G384" i="26"/>
  <c r="G259" i="19"/>
  <c r="R127" i="19"/>
  <c r="J257" i="19"/>
  <c r="H169" i="19"/>
  <c r="I117" i="19"/>
  <c r="I247" i="19" s="1"/>
  <c r="I258" i="19"/>
  <c r="I259" i="19" s="1"/>
  <c r="H41" i="19"/>
  <c r="H624" i="29"/>
  <c r="C643" i="29" s="1"/>
  <c r="G214" i="29" s="1"/>
  <c r="D179" i="5" s="1"/>
  <c r="E179" i="5" s="1"/>
  <c r="I380" i="26"/>
  <c r="G390" i="26" s="1"/>
  <c r="I345" i="29"/>
  <c r="I785" i="19"/>
  <c r="G795" i="19" s="1"/>
  <c r="I795" i="19" s="1"/>
  <c r="H144" i="29"/>
  <c r="P54" i="29"/>
  <c r="I380" i="29"/>
  <c r="I382" i="29" s="1"/>
  <c r="J382" i="29" s="1"/>
  <c r="H382" i="29"/>
  <c r="L101" i="22"/>
  <c r="C119" i="22"/>
  <c r="G190" i="29"/>
  <c r="I127" i="29"/>
  <c r="P150" i="29"/>
  <c r="P197" i="29" s="1"/>
  <c r="G197" i="29"/>
  <c r="I170" i="29"/>
  <c r="I612" i="29"/>
  <c r="I99" i="29"/>
  <c r="P80" i="29"/>
  <c r="H170" i="29"/>
  <c r="H614" i="29"/>
  <c r="C642" i="29" s="1"/>
  <c r="M486" i="29"/>
  <c r="G495" i="29"/>
  <c r="G82" i="29"/>
  <c r="H491" i="29"/>
  <c r="G81" i="29" s="1"/>
  <c r="G171" i="29" s="1"/>
  <c r="H492" i="29"/>
  <c r="H82" i="29"/>
  <c r="H493" i="29"/>
  <c r="I82" i="29"/>
  <c r="H178" i="26"/>
  <c r="H532" i="26"/>
  <c r="H93" i="26" s="1"/>
  <c r="H201" i="26" s="1"/>
  <c r="H681" i="26"/>
  <c r="I681" i="26" s="1"/>
  <c r="G691" i="26" s="1"/>
  <c r="H691" i="26"/>
  <c r="I567" i="19"/>
  <c r="G577" i="19" s="1"/>
  <c r="I531" i="26"/>
  <c r="G541" i="26" s="1"/>
  <c r="G94" i="26" s="1"/>
  <c r="H680" i="26"/>
  <c r="L673" i="26"/>
  <c r="I114" i="26" s="1"/>
  <c r="M673" i="26"/>
  <c r="K674" i="26"/>
  <c r="K675" i="26" s="1"/>
  <c r="L597" i="26"/>
  <c r="G103" i="26" s="1"/>
  <c r="G211" i="26" s="1"/>
  <c r="M597" i="26"/>
  <c r="G606" i="26" s="1"/>
  <c r="H616" i="26" s="1"/>
  <c r="K598" i="26"/>
  <c r="K599" i="26" s="1"/>
  <c r="M524" i="26"/>
  <c r="G533" i="26" s="1"/>
  <c r="H543" i="26" s="1"/>
  <c r="L524" i="26"/>
  <c r="I92" i="26" s="1"/>
  <c r="I200" i="26" s="1"/>
  <c r="K525" i="26"/>
  <c r="K526" i="26" s="1"/>
  <c r="I382" i="26"/>
  <c r="G392" i="26" s="1"/>
  <c r="I391" i="26"/>
  <c r="L280" i="26"/>
  <c r="G37" i="26" s="1"/>
  <c r="M280" i="26"/>
  <c r="K281" i="26"/>
  <c r="R60" i="26"/>
  <c r="G168" i="26"/>
  <c r="G389" i="26"/>
  <c r="H384" i="26"/>
  <c r="C414" i="26" s="1"/>
  <c r="H61" i="26"/>
  <c r="H169" i="26" s="1"/>
  <c r="M700" i="19"/>
  <c r="G709" i="19" s="1"/>
  <c r="H719" i="19" s="1"/>
  <c r="G235" i="19"/>
  <c r="G214" i="19"/>
  <c r="G169" i="19"/>
  <c r="L417" i="19"/>
  <c r="G61" i="19" s="1"/>
  <c r="M417" i="19"/>
  <c r="G426" i="19" s="1"/>
  <c r="H436" i="19" s="1"/>
  <c r="J116" i="19"/>
  <c r="I784" i="19"/>
  <c r="G794" i="19" s="1"/>
  <c r="H117" i="19"/>
  <c r="H247" i="19" s="1"/>
  <c r="H83" i="19"/>
  <c r="K418" i="19"/>
  <c r="I118" i="19"/>
  <c r="G118" i="19"/>
  <c r="G248" i="19" s="1"/>
  <c r="M778" i="19"/>
  <c r="G786" i="19"/>
  <c r="H796" i="19" s="1"/>
  <c r="R129" i="19" s="1"/>
  <c r="K701" i="19"/>
  <c r="K702" i="19" s="1"/>
  <c r="L702" i="19" s="1"/>
  <c r="H568" i="19"/>
  <c r="H337" i="19"/>
  <c r="H40" i="19" s="1"/>
  <c r="H336" i="19"/>
  <c r="G40" i="19" s="1"/>
  <c r="L626" i="19"/>
  <c r="M626" i="19"/>
  <c r="G635" i="19" s="1"/>
  <c r="H645" i="19" s="1"/>
  <c r="I496" i="19"/>
  <c r="J496" i="19" s="1"/>
  <c r="K492" i="19" s="1"/>
  <c r="M492" i="19" s="1"/>
  <c r="G501" i="19" s="1"/>
  <c r="H511" i="19" s="1"/>
  <c r="L625" i="19"/>
  <c r="G94" i="19" s="1"/>
  <c r="M625" i="19"/>
  <c r="G634" i="19" s="1"/>
  <c r="H644" i="19" s="1"/>
  <c r="L329" i="19"/>
  <c r="I39" i="19" s="1"/>
  <c r="M329" i="19"/>
  <c r="G338" i="19" s="1"/>
  <c r="H348" i="19" s="1"/>
  <c r="L560" i="19"/>
  <c r="I83" i="19" s="1"/>
  <c r="I213" i="19" s="1"/>
  <c r="M560" i="19"/>
  <c r="G569" i="19" s="1"/>
  <c r="K561" i="19"/>
  <c r="K627" i="19"/>
  <c r="K330" i="19"/>
  <c r="I454" i="29" l="1"/>
  <c r="I456" i="29" s="1"/>
  <c r="G456" i="29"/>
  <c r="P72" i="29"/>
  <c r="I162" i="29"/>
  <c r="M449" i="26"/>
  <c r="H456" i="26"/>
  <c r="I456" i="26" s="1"/>
  <c r="G466" i="26" s="1"/>
  <c r="I466" i="26" s="1"/>
  <c r="G459" i="26"/>
  <c r="I455" i="26"/>
  <c r="G465" i="26" s="1"/>
  <c r="I465" i="26" s="1"/>
  <c r="H71" i="26"/>
  <c r="H179" i="26" s="1"/>
  <c r="H180" i="26" s="1"/>
  <c r="I457" i="26"/>
  <c r="G467" i="26" s="1"/>
  <c r="J71" i="26"/>
  <c r="H467" i="26"/>
  <c r="H470" i="26" s="1"/>
  <c r="C481" i="26" s="1"/>
  <c r="I454" i="26"/>
  <c r="J61" i="26"/>
  <c r="J169" i="26" s="1"/>
  <c r="R257" i="19"/>
  <c r="G280" i="19"/>
  <c r="R116" i="19"/>
  <c r="J246" i="19"/>
  <c r="R246" i="19" s="1"/>
  <c r="I248" i="19"/>
  <c r="H170" i="19"/>
  <c r="I169" i="19"/>
  <c r="H709" i="19"/>
  <c r="G106" i="19" s="1"/>
  <c r="I41" i="19"/>
  <c r="H145" i="29"/>
  <c r="P145" i="29" s="1"/>
  <c r="P144" i="29"/>
  <c r="G170" i="19"/>
  <c r="I492" i="29"/>
  <c r="G501" i="29" s="1"/>
  <c r="I501" i="29" s="1"/>
  <c r="H81" i="29"/>
  <c r="H171" i="29" s="1"/>
  <c r="G172" i="29"/>
  <c r="L119" i="22"/>
  <c r="I493" i="29"/>
  <c r="G502" i="29" s="1"/>
  <c r="I502" i="29" s="1"/>
  <c r="I81" i="29"/>
  <c r="P82" i="29"/>
  <c r="P127" i="29"/>
  <c r="P99" i="29"/>
  <c r="I189" i="29"/>
  <c r="G621" i="29"/>
  <c r="I614" i="29"/>
  <c r="P170" i="29"/>
  <c r="N101" i="22"/>
  <c r="K380" i="29"/>
  <c r="H505" i="29"/>
  <c r="C524" i="29" s="1"/>
  <c r="G213" i="29" s="1"/>
  <c r="D125" i="5" s="1"/>
  <c r="H495" i="29"/>
  <c r="C523" i="29" s="1"/>
  <c r="I491" i="29"/>
  <c r="I248" i="29"/>
  <c r="L598" i="26"/>
  <c r="H103" i="26" s="1"/>
  <c r="H211" i="26" s="1"/>
  <c r="I532" i="26"/>
  <c r="G542" i="26" s="1"/>
  <c r="G128" i="26"/>
  <c r="C78" i="8" s="1"/>
  <c r="G179" i="26"/>
  <c r="G180" i="26" s="1"/>
  <c r="I691" i="26"/>
  <c r="M598" i="26"/>
  <c r="G607" i="26" s="1"/>
  <c r="H617" i="26" s="1"/>
  <c r="H115" i="26"/>
  <c r="H223" i="26" s="1"/>
  <c r="H569" i="19"/>
  <c r="I569" i="19" s="1"/>
  <c r="G579" i="19" s="1"/>
  <c r="H579" i="19"/>
  <c r="I541" i="26"/>
  <c r="I384" i="26"/>
  <c r="G682" i="26"/>
  <c r="H692" i="26" s="1"/>
  <c r="H116" i="26"/>
  <c r="I222" i="26"/>
  <c r="L674" i="26"/>
  <c r="J114" i="26" s="1"/>
  <c r="J222" i="26" s="1"/>
  <c r="M674" i="26"/>
  <c r="G683" i="26" s="1"/>
  <c r="H693" i="26" s="1"/>
  <c r="I680" i="26"/>
  <c r="G115" i="26"/>
  <c r="K600" i="26"/>
  <c r="K601" i="26" s="1"/>
  <c r="M525" i="26"/>
  <c r="L525" i="26"/>
  <c r="J92" i="26" s="1"/>
  <c r="H533" i="26"/>
  <c r="I93" i="26" s="1"/>
  <c r="I201" i="26" s="1"/>
  <c r="H94" i="26"/>
  <c r="H202" i="26" s="1"/>
  <c r="I390" i="26"/>
  <c r="L281" i="26"/>
  <c r="H37" i="26" s="1"/>
  <c r="H145" i="26" s="1"/>
  <c r="M281" i="26"/>
  <c r="G290" i="26" s="1"/>
  <c r="H300" i="26" s="1"/>
  <c r="G289" i="26"/>
  <c r="H299" i="26" s="1"/>
  <c r="G145" i="26"/>
  <c r="G235" i="26" s="1"/>
  <c r="K282" i="26"/>
  <c r="L599" i="26"/>
  <c r="I103" i="26" s="1"/>
  <c r="M599" i="26"/>
  <c r="G608" i="26" s="1"/>
  <c r="H618" i="26" s="1"/>
  <c r="I392" i="26"/>
  <c r="H606" i="26"/>
  <c r="I606" i="26" s="1"/>
  <c r="R168" i="26"/>
  <c r="G202" i="26"/>
  <c r="I389" i="26"/>
  <c r="G395" i="26"/>
  <c r="G224" i="19"/>
  <c r="H213" i="19"/>
  <c r="G191" i="19"/>
  <c r="M701" i="19"/>
  <c r="G710" i="19" s="1"/>
  <c r="M702" i="19"/>
  <c r="G711" i="19" s="1"/>
  <c r="I105" i="19"/>
  <c r="I235" i="19" s="1"/>
  <c r="H94" i="19"/>
  <c r="H224" i="19" s="1"/>
  <c r="K419" i="19"/>
  <c r="M418" i="19"/>
  <c r="G427" i="19" s="1"/>
  <c r="L418" i="19"/>
  <c r="K703" i="19"/>
  <c r="K704" i="19" s="1"/>
  <c r="I336" i="19"/>
  <c r="G346" i="19" s="1"/>
  <c r="I568" i="19"/>
  <c r="G578" i="19" s="1"/>
  <c r="H84" i="19"/>
  <c r="I794" i="19"/>
  <c r="H118" i="19"/>
  <c r="H248" i="19" s="1"/>
  <c r="I337" i="19"/>
  <c r="G347" i="19" s="1"/>
  <c r="H426" i="19"/>
  <c r="G62" i="19" s="1"/>
  <c r="L701" i="19"/>
  <c r="H786" i="19"/>
  <c r="G788" i="19"/>
  <c r="I793" i="19"/>
  <c r="H501" i="19"/>
  <c r="G73" i="19" s="1"/>
  <c r="H634" i="19"/>
  <c r="G95" i="19" s="1"/>
  <c r="H635" i="19"/>
  <c r="G85" i="19"/>
  <c r="G215" i="19" s="1"/>
  <c r="H338" i="19"/>
  <c r="I40" i="19" s="1"/>
  <c r="L330" i="19"/>
  <c r="M330" i="19"/>
  <c r="G339" i="19" s="1"/>
  <c r="H349" i="19" s="1"/>
  <c r="K331" i="19"/>
  <c r="L627" i="19"/>
  <c r="M627" i="19"/>
  <c r="G636" i="19" s="1"/>
  <c r="K628" i="19"/>
  <c r="K629" i="19" s="1"/>
  <c r="L561" i="19"/>
  <c r="M561" i="19"/>
  <c r="K562" i="19"/>
  <c r="K493" i="19"/>
  <c r="L492" i="19"/>
  <c r="G72" i="19" s="1"/>
  <c r="I163" i="29" l="1"/>
  <c r="P163" i="29" s="1"/>
  <c r="P162" i="29"/>
  <c r="H459" i="26"/>
  <c r="C480" i="26" s="1"/>
  <c r="I71" i="26"/>
  <c r="I467" i="26"/>
  <c r="J72" i="26"/>
  <c r="G464" i="26"/>
  <c r="I459" i="26"/>
  <c r="I709" i="19"/>
  <c r="G719" i="19" s="1"/>
  <c r="G171" i="19"/>
  <c r="H171" i="19"/>
  <c r="G236" i="19"/>
  <c r="G153" i="19"/>
  <c r="C44" i="7" s="1"/>
  <c r="G152" i="19"/>
  <c r="C43" i="7" s="1"/>
  <c r="I170" i="19"/>
  <c r="J117" i="19"/>
  <c r="R117" i="19" s="1"/>
  <c r="J41" i="19"/>
  <c r="J39" i="19"/>
  <c r="E125" i="5"/>
  <c r="E98" i="5"/>
  <c r="I84" i="19"/>
  <c r="I214" i="19" s="1"/>
  <c r="H172" i="29"/>
  <c r="I171" i="29"/>
  <c r="G624" i="29"/>
  <c r="I621" i="29"/>
  <c r="I624" i="29" s="1"/>
  <c r="I190" i="29"/>
  <c r="P190" i="29" s="1"/>
  <c r="P189" i="29"/>
  <c r="P81" i="29"/>
  <c r="L380" i="29"/>
  <c r="G61" i="29" s="1"/>
  <c r="M380" i="29"/>
  <c r="K381" i="29"/>
  <c r="K382" i="29" s="1"/>
  <c r="I495" i="29"/>
  <c r="G500" i="29"/>
  <c r="I254" i="29"/>
  <c r="I258" i="29" s="1"/>
  <c r="G258" i="29"/>
  <c r="R70" i="26"/>
  <c r="H607" i="26"/>
  <c r="H104" i="26" s="1"/>
  <c r="H212" i="26" s="1"/>
  <c r="H224" i="26"/>
  <c r="H128" i="26"/>
  <c r="D78" i="8" s="1"/>
  <c r="D98" i="8" s="1"/>
  <c r="H711" i="19"/>
  <c r="I106" i="19" s="1"/>
  <c r="I236" i="19" s="1"/>
  <c r="H721" i="19"/>
  <c r="H636" i="19"/>
  <c r="I636" i="19" s="1"/>
  <c r="G646" i="19" s="1"/>
  <c r="H646" i="19"/>
  <c r="H710" i="19"/>
  <c r="H720" i="19"/>
  <c r="H107" i="19" s="1"/>
  <c r="H427" i="19"/>
  <c r="I427" i="19" s="1"/>
  <c r="G437" i="19" s="1"/>
  <c r="H437" i="19"/>
  <c r="M675" i="26"/>
  <c r="G690" i="26"/>
  <c r="R222" i="26"/>
  <c r="H683" i="26"/>
  <c r="J115" i="26" s="1"/>
  <c r="J223" i="26" s="1"/>
  <c r="G223" i="26"/>
  <c r="R114" i="26"/>
  <c r="H682" i="26"/>
  <c r="I682" i="26" s="1"/>
  <c r="G685" i="26"/>
  <c r="R92" i="26"/>
  <c r="J200" i="26"/>
  <c r="R200" i="26" s="1"/>
  <c r="I533" i="26"/>
  <c r="G543" i="26" s="1"/>
  <c r="M526" i="26"/>
  <c r="G534" i="26"/>
  <c r="H544" i="26" s="1"/>
  <c r="I395" i="26"/>
  <c r="I542" i="26"/>
  <c r="M282" i="26"/>
  <c r="G291" i="26" s="1"/>
  <c r="H301" i="26" s="1"/>
  <c r="L282" i="26"/>
  <c r="I37" i="26" s="1"/>
  <c r="I145" i="26" s="1"/>
  <c r="H289" i="26"/>
  <c r="I289" i="26" s="1"/>
  <c r="H290" i="26"/>
  <c r="H38" i="26" s="1"/>
  <c r="K283" i="26"/>
  <c r="G616" i="26"/>
  <c r="L600" i="26"/>
  <c r="J103" i="26" s="1"/>
  <c r="J211" i="26" s="1"/>
  <c r="M600" i="26"/>
  <c r="G609" i="26" s="1"/>
  <c r="H619" i="26" s="1"/>
  <c r="H608" i="26"/>
  <c r="I104" i="26" s="1"/>
  <c r="H235" i="26"/>
  <c r="I211" i="26"/>
  <c r="H395" i="26"/>
  <c r="C415" i="26" s="1"/>
  <c r="G61" i="26"/>
  <c r="G104" i="26"/>
  <c r="I426" i="19"/>
  <c r="G436" i="19" s="1"/>
  <c r="G63" i="19" s="1"/>
  <c r="G225" i="19"/>
  <c r="H214" i="19"/>
  <c r="G202" i="19"/>
  <c r="G192" i="19"/>
  <c r="I501" i="19"/>
  <c r="G511" i="19" s="1"/>
  <c r="I94" i="19"/>
  <c r="I224" i="19" s="1"/>
  <c r="L419" i="19"/>
  <c r="M419" i="19"/>
  <c r="G428" i="19" s="1"/>
  <c r="I579" i="19"/>
  <c r="I85" i="19"/>
  <c r="M703" i="19"/>
  <c r="M704" i="19" s="1"/>
  <c r="J83" i="19"/>
  <c r="I338" i="19"/>
  <c r="G348" i="19" s="1"/>
  <c r="I635" i="19"/>
  <c r="G645" i="19" s="1"/>
  <c r="H95" i="19"/>
  <c r="H225" i="19" s="1"/>
  <c r="H105" i="19"/>
  <c r="L703" i="19"/>
  <c r="J105" i="19" s="1"/>
  <c r="J235" i="19" s="1"/>
  <c r="I346" i="19"/>
  <c r="I634" i="19"/>
  <c r="G644" i="19" s="1"/>
  <c r="K420" i="19"/>
  <c r="H61" i="19"/>
  <c r="I578" i="19"/>
  <c r="H85" i="19"/>
  <c r="I786" i="19"/>
  <c r="H788" i="19"/>
  <c r="C818" i="19" s="1"/>
  <c r="M562" i="19"/>
  <c r="G570" i="19"/>
  <c r="H580" i="19" s="1"/>
  <c r="I577" i="19"/>
  <c r="I347" i="19"/>
  <c r="H339" i="19"/>
  <c r="J40" i="19" s="1"/>
  <c r="M331" i="19"/>
  <c r="G341" i="19"/>
  <c r="L493" i="19"/>
  <c r="H72" i="19" s="1"/>
  <c r="H202" i="19" s="1"/>
  <c r="M493" i="19"/>
  <c r="G502" i="19" s="1"/>
  <c r="H512" i="19" s="1"/>
  <c r="L628" i="19"/>
  <c r="J94" i="19" s="1"/>
  <c r="J224" i="19" s="1"/>
  <c r="M628" i="19"/>
  <c r="K494" i="19"/>
  <c r="G248" i="26" l="1"/>
  <c r="D95" i="5" s="1"/>
  <c r="E95" i="5" s="1"/>
  <c r="B37" i="4"/>
  <c r="G470" i="26"/>
  <c r="I464" i="26"/>
  <c r="I470" i="26" s="1"/>
  <c r="R128" i="19"/>
  <c r="J258" i="19"/>
  <c r="I171" i="19"/>
  <c r="J247" i="19"/>
  <c r="R247" i="19" s="1"/>
  <c r="J169" i="19"/>
  <c r="J170" i="19" s="1"/>
  <c r="H152" i="19"/>
  <c r="D43" i="7" s="1"/>
  <c r="D63" i="7" s="1"/>
  <c r="I215" i="19"/>
  <c r="R39" i="19"/>
  <c r="C42" i="7"/>
  <c r="J178" i="26"/>
  <c r="R178" i="26" s="1"/>
  <c r="I711" i="19"/>
  <c r="G721" i="19" s="1"/>
  <c r="I436" i="19"/>
  <c r="G712" i="19"/>
  <c r="H722" i="19" s="1"/>
  <c r="I172" i="29"/>
  <c r="P171" i="29"/>
  <c r="G109" i="29"/>
  <c r="C102" i="22" s="1"/>
  <c r="G151" i="29"/>
  <c r="H546" i="29"/>
  <c r="H547" i="29" s="1"/>
  <c r="I547" i="29" s="1"/>
  <c r="G549" i="29"/>
  <c r="L381" i="29"/>
  <c r="H61" i="29" s="1"/>
  <c r="P61" i="29" s="1"/>
  <c r="P109" i="29" s="1"/>
  <c r="M381" i="29"/>
  <c r="G388" i="29" s="1"/>
  <c r="G387" i="29"/>
  <c r="I500" i="29"/>
  <c r="I505" i="29" s="1"/>
  <c r="G505" i="29"/>
  <c r="P182" i="29"/>
  <c r="I179" i="26"/>
  <c r="I180" i="26" s="1"/>
  <c r="I607" i="26"/>
  <c r="G617" i="26" s="1"/>
  <c r="H105" i="26" s="1"/>
  <c r="H213" i="26" s="1"/>
  <c r="H62" i="19"/>
  <c r="I95" i="19"/>
  <c r="I225" i="19" s="1"/>
  <c r="H428" i="19"/>
  <c r="I428" i="19" s="1"/>
  <c r="G438" i="19" s="1"/>
  <c r="H438" i="19"/>
  <c r="H106" i="19"/>
  <c r="I710" i="19"/>
  <c r="G720" i="19" s="1"/>
  <c r="I720" i="19" s="1"/>
  <c r="I128" i="26"/>
  <c r="E78" i="8" s="1"/>
  <c r="E98" i="8" s="1"/>
  <c r="I683" i="26"/>
  <c r="G693" i="26" s="1"/>
  <c r="G692" i="26"/>
  <c r="J116" i="26"/>
  <c r="J224" i="26" s="1"/>
  <c r="I115" i="26"/>
  <c r="H685" i="26"/>
  <c r="C715" i="26" s="1"/>
  <c r="I94" i="26"/>
  <c r="I202" i="26" s="1"/>
  <c r="G536" i="26"/>
  <c r="H534" i="26"/>
  <c r="I290" i="26"/>
  <c r="G300" i="26" s="1"/>
  <c r="I300" i="26" s="1"/>
  <c r="R103" i="26"/>
  <c r="M283" i="26"/>
  <c r="G292" i="26" s="1"/>
  <c r="H302" i="26" s="1"/>
  <c r="L283" i="26"/>
  <c r="K284" i="26"/>
  <c r="G299" i="26"/>
  <c r="H129" i="26"/>
  <c r="D79" i="8" s="1"/>
  <c r="D99" i="8" s="1"/>
  <c r="H146" i="26"/>
  <c r="H236" i="26" s="1"/>
  <c r="G38" i="26"/>
  <c r="G129" i="26" s="1"/>
  <c r="C79" i="8" s="1"/>
  <c r="H291" i="26"/>
  <c r="I38" i="26" s="1"/>
  <c r="I146" i="26" s="1"/>
  <c r="G212" i="26"/>
  <c r="R61" i="26"/>
  <c r="G169" i="26"/>
  <c r="R169" i="26" s="1"/>
  <c r="I235" i="26"/>
  <c r="I212" i="26"/>
  <c r="R211" i="26"/>
  <c r="M601" i="26"/>
  <c r="H39" i="26"/>
  <c r="I608" i="26"/>
  <c r="H609" i="26"/>
  <c r="I609" i="26" s="1"/>
  <c r="G619" i="26" s="1"/>
  <c r="G611" i="26"/>
  <c r="H191" i="19"/>
  <c r="G193" i="19"/>
  <c r="G203" i="19"/>
  <c r="G282" i="19" s="1"/>
  <c r="H215" i="19"/>
  <c r="R224" i="19"/>
  <c r="H235" i="19"/>
  <c r="R105" i="19"/>
  <c r="J213" i="19"/>
  <c r="R83" i="19"/>
  <c r="R94" i="19"/>
  <c r="I645" i="19"/>
  <c r="H96" i="19"/>
  <c r="H226" i="19" s="1"/>
  <c r="I61" i="19"/>
  <c r="K421" i="19"/>
  <c r="L420" i="19"/>
  <c r="J61" i="19" s="1"/>
  <c r="J191" i="19" s="1"/>
  <c r="M420" i="19"/>
  <c r="I719" i="19"/>
  <c r="G107" i="19"/>
  <c r="H341" i="19"/>
  <c r="C370" i="19" s="1"/>
  <c r="I646" i="19"/>
  <c r="I96" i="19"/>
  <c r="I348" i="19"/>
  <c r="I437" i="19"/>
  <c r="H63" i="19"/>
  <c r="G796" i="19"/>
  <c r="I788" i="19"/>
  <c r="H502" i="19"/>
  <c r="H73" i="19" s="1"/>
  <c r="G74" i="19"/>
  <c r="M629" i="19"/>
  <c r="G637" i="19"/>
  <c r="H647" i="19" s="1"/>
  <c r="H570" i="19"/>
  <c r="J84" i="19" s="1"/>
  <c r="R84" i="19" s="1"/>
  <c r="G572" i="19"/>
  <c r="I339" i="19"/>
  <c r="G349" i="19" s="1"/>
  <c r="L494" i="19"/>
  <c r="I72" i="19" s="1"/>
  <c r="I202" i="19" s="1"/>
  <c r="M494" i="19"/>
  <c r="G503" i="19" s="1"/>
  <c r="K495" i="19"/>
  <c r="D220" i="5" l="1"/>
  <c r="B20" i="4" s="1"/>
  <c r="H281" i="19"/>
  <c r="J37" i="26"/>
  <c r="R37" i="26" s="1"/>
  <c r="R128" i="26" s="1"/>
  <c r="H153" i="19"/>
  <c r="D44" i="7" s="1"/>
  <c r="J259" i="19"/>
  <c r="R259" i="19" s="1"/>
  <c r="R258" i="19"/>
  <c r="R169" i="19"/>
  <c r="J171" i="19"/>
  <c r="I191" i="19"/>
  <c r="I281" i="19" s="1"/>
  <c r="I152" i="19"/>
  <c r="E43" i="7" s="1"/>
  <c r="E63" i="7" s="1"/>
  <c r="H712" i="19"/>
  <c r="I712" i="19" s="1"/>
  <c r="C62" i="7"/>
  <c r="N42" i="7"/>
  <c r="P42" i="7" s="1"/>
  <c r="G714" i="19"/>
  <c r="H548" i="29"/>
  <c r="I548" i="29" s="1"/>
  <c r="C120" i="22"/>
  <c r="P172" i="29"/>
  <c r="G198" i="29"/>
  <c r="H151" i="29"/>
  <c r="P151" i="29" s="1"/>
  <c r="P198" i="29" s="1"/>
  <c r="H109" i="29"/>
  <c r="D102" i="22" s="1"/>
  <c r="I546" i="29"/>
  <c r="M382" i="29"/>
  <c r="G390" i="29"/>
  <c r="P202" i="29"/>
  <c r="P203" i="29"/>
  <c r="J179" i="26"/>
  <c r="R179" i="26" s="1"/>
  <c r="R71" i="26"/>
  <c r="I617" i="26"/>
  <c r="I685" i="26"/>
  <c r="I291" i="26"/>
  <c r="G301" i="26" s="1"/>
  <c r="I62" i="19"/>
  <c r="H503" i="19"/>
  <c r="I73" i="19" s="1"/>
  <c r="H513" i="19"/>
  <c r="G696" i="26"/>
  <c r="I543" i="26"/>
  <c r="I693" i="26"/>
  <c r="I690" i="26"/>
  <c r="G116" i="26"/>
  <c r="I223" i="26"/>
  <c r="R115" i="26"/>
  <c r="I116" i="26"/>
  <c r="R72" i="26"/>
  <c r="I534" i="26"/>
  <c r="H536" i="26"/>
  <c r="C566" i="26" s="1"/>
  <c r="J93" i="26"/>
  <c r="M284" i="26"/>
  <c r="I299" i="26"/>
  <c r="H292" i="26"/>
  <c r="J38" i="26" s="1"/>
  <c r="R38" i="26" s="1"/>
  <c r="I39" i="26"/>
  <c r="I147" i="26" s="1"/>
  <c r="G146" i="26"/>
  <c r="J145" i="26"/>
  <c r="G294" i="26"/>
  <c r="J105" i="26"/>
  <c r="H130" i="26"/>
  <c r="D80" i="8" s="1"/>
  <c r="H147" i="26"/>
  <c r="G105" i="26"/>
  <c r="G213" i="26" s="1"/>
  <c r="J104" i="26"/>
  <c r="H611" i="26"/>
  <c r="C640" i="26" s="1"/>
  <c r="G618" i="26"/>
  <c r="I611" i="26"/>
  <c r="I616" i="26"/>
  <c r="G237" i="19"/>
  <c r="G281" i="19" s="1"/>
  <c r="R40" i="19"/>
  <c r="H236" i="19"/>
  <c r="R235" i="19"/>
  <c r="G204" i="19"/>
  <c r="H203" i="19"/>
  <c r="I226" i="19"/>
  <c r="R170" i="19"/>
  <c r="J214" i="19"/>
  <c r="R213" i="19"/>
  <c r="R61" i="19"/>
  <c r="H192" i="19"/>
  <c r="R191" i="19"/>
  <c r="I438" i="19"/>
  <c r="I63" i="19"/>
  <c r="G429" i="19"/>
  <c r="H439" i="19" s="1"/>
  <c r="M421" i="19"/>
  <c r="I644" i="19"/>
  <c r="G96" i="19"/>
  <c r="G154" i="19" s="1"/>
  <c r="I502" i="19"/>
  <c r="G512" i="19" s="1"/>
  <c r="G799" i="19"/>
  <c r="I107" i="19"/>
  <c r="I237" i="19" s="1"/>
  <c r="I511" i="19"/>
  <c r="H637" i="19"/>
  <c r="J95" i="19" s="1"/>
  <c r="G639" i="19"/>
  <c r="I570" i="19"/>
  <c r="H572" i="19"/>
  <c r="C594" i="19" s="1"/>
  <c r="G352" i="19"/>
  <c r="L495" i="19"/>
  <c r="J72" i="19" s="1"/>
  <c r="J152" i="19" s="1"/>
  <c r="M495" i="19"/>
  <c r="K496" i="19"/>
  <c r="J128" i="26" l="1"/>
  <c r="F78" i="8" s="1"/>
  <c r="F98" i="8" s="1"/>
  <c r="R127" i="26"/>
  <c r="G127" i="26"/>
  <c r="C77" i="8" s="1"/>
  <c r="H282" i="19"/>
  <c r="J106" i="19"/>
  <c r="R106" i="19" s="1"/>
  <c r="H714" i="19"/>
  <c r="C743" i="19" s="1"/>
  <c r="I192" i="19"/>
  <c r="I193" i="19" s="1"/>
  <c r="I153" i="19"/>
  <c r="E44" i="7" s="1"/>
  <c r="N62" i="7"/>
  <c r="C63" i="7"/>
  <c r="I503" i="19"/>
  <c r="G513" i="19" s="1"/>
  <c r="I513" i="19" s="1"/>
  <c r="H387" i="29"/>
  <c r="I387" i="29" s="1"/>
  <c r="H549" i="29"/>
  <c r="D120" i="22"/>
  <c r="L120" i="22" s="1"/>
  <c r="H198" i="29"/>
  <c r="L102" i="22"/>
  <c r="I549" i="29"/>
  <c r="J549" i="29" s="1"/>
  <c r="J180" i="26"/>
  <c r="R180" i="26" s="1"/>
  <c r="I619" i="26"/>
  <c r="I692" i="26"/>
  <c r="I696" i="26" s="1"/>
  <c r="H696" i="26"/>
  <c r="C716" i="26" s="1"/>
  <c r="R116" i="26"/>
  <c r="G224" i="26"/>
  <c r="I224" i="26"/>
  <c r="R223" i="26"/>
  <c r="J201" i="26"/>
  <c r="R93" i="26"/>
  <c r="G544" i="26"/>
  <c r="I536" i="26"/>
  <c r="H294" i="26"/>
  <c r="C323" i="26" s="1"/>
  <c r="I292" i="26"/>
  <c r="G302" i="26" s="1"/>
  <c r="G305" i="26" s="1"/>
  <c r="I301" i="26"/>
  <c r="G236" i="26"/>
  <c r="R145" i="26"/>
  <c r="R235" i="26" s="1"/>
  <c r="J146" i="26"/>
  <c r="J235" i="26"/>
  <c r="G39" i="26"/>
  <c r="D83" i="8"/>
  <c r="D67" i="8" s="1"/>
  <c r="D100" i="8"/>
  <c r="H237" i="26"/>
  <c r="I618" i="26"/>
  <c r="G622" i="26"/>
  <c r="I129" i="26"/>
  <c r="E79" i="8" s="1"/>
  <c r="J129" i="26"/>
  <c r="F79" i="8" s="1"/>
  <c r="J212" i="26"/>
  <c r="R104" i="26"/>
  <c r="I349" i="19"/>
  <c r="I352" i="19" s="1"/>
  <c r="R171" i="19"/>
  <c r="J202" i="19"/>
  <c r="J281" i="19" s="1"/>
  <c r="R72" i="19"/>
  <c r="R152" i="19" s="1"/>
  <c r="R41" i="19"/>
  <c r="H237" i="19"/>
  <c r="G226" i="19"/>
  <c r="G283" i="19" s="1"/>
  <c r="H193" i="19"/>
  <c r="R214" i="19"/>
  <c r="R95" i="19"/>
  <c r="J225" i="19"/>
  <c r="J236" i="19"/>
  <c r="R236" i="19" s="1"/>
  <c r="I203" i="19"/>
  <c r="I721" i="19"/>
  <c r="H799" i="19"/>
  <c r="C819" i="19" s="1"/>
  <c r="G296" i="19" s="1"/>
  <c r="D173" i="5" s="1"/>
  <c r="J118" i="19"/>
  <c r="I74" i="19"/>
  <c r="C45" i="7"/>
  <c r="D64" i="7"/>
  <c r="H429" i="19"/>
  <c r="G431" i="19"/>
  <c r="I796" i="19"/>
  <c r="I799" i="19" s="1"/>
  <c r="G722" i="19"/>
  <c r="I714" i="19"/>
  <c r="M496" i="19"/>
  <c r="G504" i="19"/>
  <c r="H514" i="19" s="1"/>
  <c r="H74" i="19"/>
  <c r="H154" i="19" s="1"/>
  <c r="I637" i="19"/>
  <c r="H639" i="19"/>
  <c r="C669" i="19" s="1"/>
  <c r="G580" i="19"/>
  <c r="I572" i="19"/>
  <c r="H352" i="19"/>
  <c r="C371" i="19" s="1"/>
  <c r="G250" i="26" l="1"/>
  <c r="D176" i="5" s="1"/>
  <c r="E176" i="5" s="1"/>
  <c r="B54" i="4"/>
  <c r="H388" i="29"/>
  <c r="F99" i="8"/>
  <c r="N78" i="8"/>
  <c r="P78" i="8" s="1"/>
  <c r="H240" i="26"/>
  <c r="C97" i="8"/>
  <c r="N77" i="8"/>
  <c r="P77" i="8" s="1"/>
  <c r="I282" i="19"/>
  <c r="R118" i="19"/>
  <c r="J248" i="19"/>
  <c r="R248" i="19" s="1"/>
  <c r="I154" i="19"/>
  <c r="E45" i="7" s="1"/>
  <c r="E48" i="7" s="1"/>
  <c r="E32" i="7" s="1"/>
  <c r="F43" i="7"/>
  <c r="F63" i="7" s="1"/>
  <c r="N63" i="7" s="1"/>
  <c r="E64" i="7"/>
  <c r="N102" i="22"/>
  <c r="K546" i="29"/>
  <c r="I622" i="26"/>
  <c r="I294" i="26"/>
  <c r="R129" i="26"/>
  <c r="R224" i="26"/>
  <c r="G547" i="26"/>
  <c r="I544" i="26"/>
  <c r="I547" i="26" s="1"/>
  <c r="R201" i="26"/>
  <c r="J39" i="26"/>
  <c r="R39" i="26" s="1"/>
  <c r="I302" i="26"/>
  <c r="I305" i="26" s="1"/>
  <c r="H305" i="26"/>
  <c r="C324" i="26" s="1"/>
  <c r="G147" i="26"/>
  <c r="R146" i="26"/>
  <c r="E99" i="8"/>
  <c r="N79" i="8"/>
  <c r="J213" i="26"/>
  <c r="R212" i="26"/>
  <c r="J236" i="26"/>
  <c r="I236" i="26"/>
  <c r="I105" i="26"/>
  <c r="H622" i="26"/>
  <c r="C641" i="26" s="1"/>
  <c r="G130" i="26"/>
  <c r="C80" i="8" s="1"/>
  <c r="R225" i="19"/>
  <c r="R202" i="19"/>
  <c r="R281" i="19" s="1"/>
  <c r="I204" i="19"/>
  <c r="I283" i="19" s="1"/>
  <c r="H204" i="19"/>
  <c r="H283" i="19" s="1"/>
  <c r="D45" i="7"/>
  <c r="D48" i="7" s="1"/>
  <c r="J62" i="19"/>
  <c r="H431" i="19"/>
  <c r="C461" i="19" s="1"/>
  <c r="I429" i="19"/>
  <c r="J107" i="19"/>
  <c r="R107" i="19" s="1"/>
  <c r="G725" i="19"/>
  <c r="I512" i="19"/>
  <c r="H504" i="19"/>
  <c r="J73" i="19" s="1"/>
  <c r="R73" i="19" s="1"/>
  <c r="G506" i="19"/>
  <c r="G647" i="19"/>
  <c r="I639" i="19"/>
  <c r="G583" i="19"/>
  <c r="H359" i="19"/>
  <c r="C372" i="19" s="1"/>
  <c r="G359" i="19"/>
  <c r="I388" i="29" l="1"/>
  <c r="H389" i="29"/>
  <c r="G247" i="26"/>
  <c r="D27" i="5" s="1"/>
  <c r="N97" i="8"/>
  <c r="C98" i="8"/>
  <c r="E65" i="7"/>
  <c r="J153" i="19"/>
  <c r="F44" i="7" s="1"/>
  <c r="I286" i="19"/>
  <c r="N43" i="7"/>
  <c r="P43" i="7" s="1"/>
  <c r="R236" i="26"/>
  <c r="L546" i="29"/>
  <c r="G89" i="29" s="1"/>
  <c r="M546" i="29"/>
  <c r="K547" i="29"/>
  <c r="J147" i="26"/>
  <c r="R147" i="26" s="1"/>
  <c r="H547" i="26"/>
  <c r="C567" i="26" s="1"/>
  <c r="J94" i="26"/>
  <c r="J130" i="26" s="1"/>
  <c r="F80" i="8" s="1"/>
  <c r="P79" i="8"/>
  <c r="C83" i="8"/>
  <c r="I213" i="26"/>
  <c r="R213" i="26" s="1"/>
  <c r="R105" i="26"/>
  <c r="G237" i="26"/>
  <c r="J237" i="19"/>
  <c r="R237" i="19" s="1"/>
  <c r="R62" i="19"/>
  <c r="R153" i="19" s="1"/>
  <c r="J192" i="19"/>
  <c r="J203" i="19"/>
  <c r="D32" i="7"/>
  <c r="D65" i="7"/>
  <c r="G439" i="19"/>
  <c r="I431" i="19"/>
  <c r="H583" i="19"/>
  <c r="C595" i="19" s="1"/>
  <c r="J85" i="19"/>
  <c r="I722" i="19"/>
  <c r="I725" i="19" s="1"/>
  <c r="H725" i="19"/>
  <c r="C744" i="19" s="1"/>
  <c r="I580" i="19"/>
  <c r="I583" i="19" s="1"/>
  <c r="I504" i="19"/>
  <c r="H506" i="19"/>
  <c r="C527" i="19" s="1"/>
  <c r="J96" i="19"/>
  <c r="G650" i="19"/>
  <c r="I359" i="19"/>
  <c r="G249" i="26" l="1"/>
  <c r="D122" i="5" s="1"/>
  <c r="B39" i="4"/>
  <c r="I389" i="29"/>
  <c r="I390" i="29" s="1"/>
  <c r="J390" i="29" s="1"/>
  <c r="H390" i="29"/>
  <c r="E27" i="5"/>
  <c r="C99" i="8"/>
  <c r="N98" i="8"/>
  <c r="J282" i="19"/>
  <c r="E190" i="5"/>
  <c r="E225" i="5" s="1"/>
  <c r="B25" i="4"/>
  <c r="B22" i="4"/>
  <c r="E67" i="5"/>
  <c r="F83" i="8"/>
  <c r="F67" i="8" s="1"/>
  <c r="F100" i="8"/>
  <c r="G179" i="29"/>
  <c r="L547" i="29"/>
  <c r="H89" i="29" s="1"/>
  <c r="H179" i="29" s="1"/>
  <c r="M547" i="29"/>
  <c r="G555" i="29" s="1"/>
  <c r="H564" i="29" s="1"/>
  <c r="G554" i="29"/>
  <c r="H563" i="29" s="1"/>
  <c r="K548" i="29"/>
  <c r="K549" i="29" s="1"/>
  <c r="H286" i="19"/>
  <c r="R94" i="26"/>
  <c r="R130" i="26" s="1"/>
  <c r="J202" i="26"/>
  <c r="C67" i="8"/>
  <c r="I130" i="26"/>
  <c r="E80" i="8" s="1"/>
  <c r="R192" i="19"/>
  <c r="R96" i="19"/>
  <c r="J226" i="19"/>
  <c r="R226" i="19" s="1"/>
  <c r="R85" i="19"/>
  <c r="J215" i="19"/>
  <c r="R215" i="19" s="1"/>
  <c r="R203" i="19"/>
  <c r="I439" i="19"/>
  <c r="I442" i="19" s="1"/>
  <c r="G442" i="19"/>
  <c r="F64" i="7"/>
  <c r="G514" i="19"/>
  <c r="H523" i="19" s="1"/>
  <c r="C529" i="19" s="1"/>
  <c r="I506" i="19"/>
  <c r="I647" i="19"/>
  <c r="I650" i="19" s="1"/>
  <c r="H650" i="19"/>
  <c r="C670" i="19" s="1"/>
  <c r="G295" i="19" s="1"/>
  <c r="D119" i="5" s="1"/>
  <c r="E119" i="5" s="1"/>
  <c r="E122" i="5" l="1"/>
  <c r="E223" i="5" s="1"/>
  <c r="C23" i="4" s="1"/>
  <c r="D223" i="5"/>
  <c r="B23" i="4" s="1"/>
  <c r="G252" i="26"/>
  <c r="K387" i="29"/>
  <c r="K388" i="29" s="1"/>
  <c r="N99" i="8"/>
  <c r="C100" i="8"/>
  <c r="R282" i="19"/>
  <c r="E62" i="5" s="1"/>
  <c r="E61" i="5" s="1"/>
  <c r="E22" i="4"/>
  <c r="C22" i="4"/>
  <c r="C25" i="4"/>
  <c r="E246" i="5"/>
  <c r="E25" i="4" s="1"/>
  <c r="E173" i="5"/>
  <c r="E224" i="5" s="1"/>
  <c r="D224" i="5"/>
  <c r="B24" i="4" s="1"/>
  <c r="H554" i="29"/>
  <c r="G91" i="29"/>
  <c r="H555" i="29"/>
  <c r="H91" i="29"/>
  <c r="L548" i="29"/>
  <c r="I89" i="29" s="1"/>
  <c r="M548" i="29"/>
  <c r="G240" i="26"/>
  <c r="R202" i="26"/>
  <c r="J237" i="26"/>
  <c r="J240" i="26" s="1"/>
  <c r="E83" i="8"/>
  <c r="E100" i="8"/>
  <c r="N80" i="8"/>
  <c r="I237" i="26"/>
  <c r="J63" i="19"/>
  <c r="H442" i="19"/>
  <c r="C462" i="19" s="1"/>
  <c r="G517" i="19"/>
  <c r="L388" i="29" l="1"/>
  <c r="H62" i="29" s="1"/>
  <c r="M388" i="29"/>
  <c r="G396" i="29" s="1"/>
  <c r="K389" i="29"/>
  <c r="K390" i="29" s="1"/>
  <c r="L387" i="29"/>
  <c r="G62" i="29" s="1"/>
  <c r="M387" i="29"/>
  <c r="G395" i="29" s="1"/>
  <c r="N100" i="8"/>
  <c r="D68" i="5" s="1"/>
  <c r="D67" i="5"/>
  <c r="E244" i="5"/>
  <c r="E23" i="4" s="1"/>
  <c r="C21" i="4"/>
  <c r="B21" i="4"/>
  <c r="C24" i="4"/>
  <c r="E245" i="5"/>
  <c r="E24" i="4" s="1"/>
  <c r="I555" i="29"/>
  <c r="G564" i="29" s="1"/>
  <c r="I564" i="29" s="1"/>
  <c r="H90" i="29"/>
  <c r="H180" i="29" s="1"/>
  <c r="H181" i="29" s="1"/>
  <c r="I179" i="29"/>
  <c r="P89" i="29"/>
  <c r="I554" i="29"/>
  <c r="G563" i="29" s="1"/>
  <c r="G90" i="29"/>
  <c r="G556" i="29"/>
  <c r="H565" i="29" s="1"/>
  <c r="M549" i="29"/>
  <c r="R237" i="26"/>
  <c r="E68" i="5" s="1"/>
  <c r="E66" i="5" s="1"/>
  <c r="P80" i="8"/>
  <c r="P83" i="8" s="1"/>
  <c r="N83" i="8"/>
  <c r="E67" i="8"/>
  <c r="R63" i="19"/>
  <c r="J193" i="19"/>
  <c r="H517" i="19"/>
  <c r="C528" i="19" s="1"/>
  <c r="G293" i="19" s="1"/>
  <c r="J74" i="19"/>
  <c r="J154" i="19" s="1"/>
  <c r="F45" i="7" s="1"/>
  <c r="I514" i="19"/>
  <c r="I341" i="19"/>
  <c r="N44" i="7"/>
  <c r="C64" i="7"/>
  <c r="N64" i="7" s="1"/>
  <c r="D62" i="5" s="1"/>
  <c r="C48" i="7"/>
  <c r="C32" i="7" s="1"/>
  <c r="G152" i="29" l="1"/>
  <c r="G110" i="29"/>
  <c r="C103" i="22" s="1"/>
  <c r="C121" i="22" s="1"/>
  <c r="L389" i="29"/>
  <c r="I62" i="29" s="1"/>
  <c r="M389" i="29"/>
  <c r="G397" i="29" s="1"/>
  <c r="G399" i="29" s="1"/>
  <c r="H405" i="29"/>
  <c r="H64" i="29" s="1"/>
  <c r="H112" i="29" s="1"/>
  <c r="D105" i="22" s="1"/>
  <c r="H396" i="29"/>
  <c r="H404" i="29"/>
  <c r="G64" i="29" s="1"/>
  <c r="G112" i="29" s="1"/>
  <c r="C105" i="22" s="1"/>
  <c r="H395" i="29"/>
  <c r="G63" i="29" s="1"/>
  <c r="G111" i="29" s="1"/>
  <c r="C104" i="22" s="1"/>
  <c r="H152" i="29"/>
  <c r="H199" i="29" s="1"/>
  <c r="H110" i="29"/>
  <c r="D103" i="22" s="1"/>
  <c r="D121" i="22" s="1"/>
  <c r="D24" i="5"/>
  <c r="E24" i="5" s="1"/>
  <c r="G299" i="19"/>
  <c r="D66" i="5"/>
  <c r="D83" i="5" s="1"/>
  <c r="E92" i="5"/>
  <c r="E220" i="5" s="1"/>
  <c r="E241" i="5" s="1"/>
  <c r="E65" i="5"/>
  <c r="E83" i="5"/>
  <c r="G180" i="29"/>
  <c r="P179" i="29"/>
  <c r="H556" i="29"/>
  <c r="G558" i="29"/>
  <c r="I563" i="29"/>
  <c r="I240" i="26"/>
  <c r="I517" i="19"/>
  <c r="G286" i="19"/>
  <c r="N67" i="8"/>
  <c r="R74" i="19"/>
  <c r="R154" i="19" s="1"/>
  <c r="J204" i="19"/>
  <c r="R204" i="19" s="1"/>
  <c r="R193" i="19"/>
  <c r="R283" i="19" s="1"/>
  <c r="N45" i="7"/>
  <c r="P45" i="7" s="1"/>
  <c r="F48" i="7"/>
  <c r="F65" i="7"/>
  <c r="P44" i="7"/>
  <c r="C65" i="7"/>
  <c r="M390" i="29" l="1"/>
  <c r="I395" i="29"/>
  <c r="G404" i="29" s="1"/>
  <c r="I404" i="29" s="1"/>
  <c r="I152" i="29"/>
  <c r="I110" i="29"/>
  <c r="E103" i="22" s="1"/>
  <c r="E121" i="22" s="1"/>
  <c r="L121" i="22" s="1"/>
  <c r="I396" i="29"/>
  <c r="G405" i="29" s="1"/>
  <c r="I405" i="29" s="1"/>
  <c r="H63" i="29"/>
  <c r="P62" i="29"/>
  <c r="P199" i="29"/>
  <c r="H406" i="29"/>
  <c r="H397" i="29"/>
  <c r="P152" i="29"/>
  <c r="G153" i="29"/>
  <c r="G154" i="29" s="1"/>
  <c r="G199" i="29"/>
  <c r="D65" i="5"/>
  <c r="J283" i="19"/>
  <c r="E20" i="4"/>
  <c r="C20" i="4"/>
  <c r="H568" i="29"/>
  <c r="C580" i="29" s="1"/>
  <c r="B53" i="4" s="1"/>
  <c r="I91" i="29"/>
  <c r="G181" i="29"/>
  <c r="H558" i="29"/>
  <c r="C579" i="29" s="1"/>
  <c r="I90" i="29"/>
  <c r="C108" i="22"/>
  <c r="C94" i="22" s="1"/>
  <c r="C122" i="22"/>
  <c r="I556" i="29"/>
  <c r="R240" i="26"/>
  <c r="I523" i="19"/>
  <c r="G523" i="19"/>
  <c r="N65" i="7"/>
  <c r="D61" i="5" s="1"/>
  <c r="N48" i="7"/>
  <c r="N32" i="7" s="1"/>
  <c r="P48" i="7"/>
  <c r="F32" i="7"/>
  <c r="G200" i="29" l="1"/>
  <c r="L103" i="22"/>
  <c r="N103" i="22" s="1"/>
  <c r="I64" i="29"/>
  <c r="P64" i="29" s="1"/>
  <c r="H408" i="29"/>
  <c r="C413" i="29" s="1"/>
  <c r="I63" i="29"/>
  <c r="P63" i="29" s="1"/>
  <c r="I397" i="29"/>
  <c r="G406" i="29" s="1"/>
  <c r="I406" i="29" s="1"/>
  <c r="I408" i="29" s="1"/>
  <c r="H399" i="29"/>
  <c r="C412" i="29" s="1"/>
  <c r="H153" i="29"/>
  <c r="H111" i="29"/>
  <c r="D104" i="22" s="1"/>
  <c r="I199" i="29"/>
  <c r="I111" i="29"/>
  <c r="E104" i="22" s="1"/>
  <c r="I180" i="29"/>
  <c r="P90" i="29"/>
  <c r="C123" i="22"/>
  <c r="G201" i="29"/>
  <c r="G204" i="29" s="1"/>
  <c r="P91" i="29"/>
  <c r="G565" i="29"/>
  <c r="I558" i="29"/>
  <c r="G408" i="29"/>
  <c r="J286" i="19"/>
  <c r="R286" i="19"/>
  <c r="G211" i="29" l="1"/>
  <c r="G216" i="29" s="1"/>
  <c r="I153" i="29"/>
  <c r="I154" i="29" s="1"/>
  <c r="I112" i="29"/>
  <c r="E105" i="22" s="1"/>
  <c r="L105" i="22" s="1"/>
  <c r="N105" i="22" s="1"/>
  <c r="I399" i="29"/>
  <c r="D108" i="22"/>
  <c r="D94" i="22" s="1"/>
  <c r="D122" i="22"/>
  <c r="D123" i="22" s="1"/>
  <c r="H200" i="29"/>
  <c r="H154" i="29"/>
  <c r="P153" i="29"/>
  <c r="I181" i="29"/>
  <c r="P180" i="29"/>
  <c r="P112" i="29"/>
  <c r="P110" i="29"/>
  <c r="P111" i="29"/>
  <c r="L104" i="22"/>
  <c r="E122" i="22"/>
  <c r="I565" i="29"/>
  <c r="I568" i="29" s="1"/>
  <c r="G568" i="29"/>
  <c r="D30" i="5" l="1"/>
  <c r="E30" i="5" s="1"/>
  <c r="I200" i="29"/>
  <c r="E108" i="22"/>
  <c r="E94" i="22" s="1"/>
  <c r="H201" i="29"/>
  <c r="H204" i="29" s="1"/>
  <c r="P154" i="29"/>
  <c r="E123" i="22"/>
  <c r="L123" i="22" s="1"/>
  <c r="L122" i="22"/>
  <c r="P181" i="29"/>
  <c r="P200" i="29" s="1"/>
  <c r="I201" i="29"/>
  <c r="N104" i="22"/>
  <c r="N108" i="22" s="1"/>
  <c r="L108" i="22"/>
  <c r="L94" i="22" s="1"/>
  <c r="I204" i="29" l="1"/>
  <c r="D73" i="5"/>
  <c r="E73" i="5"/>
  <c r="D74" i="5"/>
  <c r="P201" i="29"/>
  <c r="E74" i="5" s="1"/>
  <c r="E72" i="5" l="1"/>
  <c r="E71" i="5" s="1"/>
  <c r="E219" i="5" s="1"/>
  <c r="P204" i="29"/>
  <c r="D72" i="5"/>
  <c r="D71" i="5" s="1"/>
  <c r="D219" i="5" l="1"/>
  <c r="E240" i="5" s="1"/>
  <c r="B36" i="4"/>
  <c r="B56" i="4" s="1"/>
  <c r="B58" i="4" s="1"/>
  <c r="C19" i="4"/>
  <c r="C27" i="4" s="1"/>
  <c r="E227" i="5"/>
  <c r="D227" i="5" l="1"/>
  <c r="B19" i="4"/>
  <c r="B27" i="4" s="1"/>
  <c r="E239" i="5" l="1"/>
  <c r="E19" i="4"/>
  <c r="E27" i="4" s="1"/>
</calcChain>
</file>

<file path=xl/sharedStrings.xml><?xml version="1.0" encoding="utf-8"?>
<sst xmlns="http://schemas.openxmlformats.org/spreadsheetml/2006/main" count="1782" uniqueCount="471">
  <si>
    <t>Budget</t>
  </si>
  <si>
    <t>Realiteit</t>
  </si>
  <si>
    <t>boekjaar</t>
  </si>
  <si>
    <t>Codes</t>
  </si>
  <si>
    <t>+</t>
  </si>
  <si>
    <t>Aangekochte GSC</t>
  </si>
  <si>
    <t>Aangekochte WKC</t>
  </si>
  <si>
    <t>Verkochte GSC</t>
  </si>
  <si>
    <t>-</t>
  </si>
  <si>
    <t>Verkochte WKC</t>
  </si>
  <si>
    <t>DISTRIBUTIENETBEHEERDER :</t>
  </si>
  <si>
    <t>ONDERNEMINGSNUMMER:</t>
  </si>
  <si>
    <t>In het kader van volgende reguleringsperiode:</t>
  </si>
  <si>
    <t>van</t>
  </si>
  <si>
    <t>tot en met</t>
  </si>
  <si>
    <t>Distributienetbeheerder:</t>
  </si>
  <si>
    <t>Activiteit:</t>
  </si>
  <si>
    <t>jaar</t>
  </si>
  <si>
    <t>INVLOED OP HET RESULTAAT</t>
  </si>
  <si>
    <t>Saldo van het jaar</t>
  </si>
  <si>
    <t>TOTAAL</t>
  </si>
  <si>
    <r>
      <rPr>
        <b/>
        <sz val="10"/>
        <rFont val="Arial"/>
        <family val="2"/>
      </rPr>
      <t>Boeking</t>
    </r>
    <r>
      <rPr>
        <sz val="10"/>
        <rFont val="Arial"/>
        <family val="2"/>
      </rPr>
      <t xml:space="preserve"> van het saldo </t>
    </r>
    <r>
      <rPr>
        <sz val="10"/>
        <rFont val="Arial"/>
        <family val="2"/>
      </rPr>
      <t>in het resultaat van het exploitatiejaar</t>
    </r>
  </si>
  <si>
    <t>Totaal</t>
  </si>
  <si>
    <t>(1)</t>
  </si>
  <si>
    <t>(2)</t>
  </si>
  <si>
    <t xml:space="preserve">in het </t>
  </si>
  <si>
    <t xml:space="preserve">resultaat </t>
  </si>
  <si>
    <t xml:space="preserve">    Totale jaarlijkse impact</t>
  </si>
  <si>
    <t xml:space="preserve">    op de resultaten</t>
  </si>
  <si>
    <t>Overlopende rekeningen</t>
  </si>
  <si>
    <t>(+) Debet saldo</t>
  </si>
  <si>
    <t>Beslissing van de VREG</t>
  </si>
  <si>
    <t>(+) ==&gt; Teruggave overschot, verlaging van de tarieven;</t>
  </si>
  <si>
    <t xml:space="preserve">(-) ==&gt; Recuperatie tekort, verhoging van de tarieven </t>
  </si>
  <si>
    <t>Resterend saldo terug te nemen</t>
  </si>
  <si>
    <t>X</t>
  </si>
  <si>
    <t>Berekende of overgenomen waarde waarvoor dus geen manuele input vereist is</t>
  </si>
  <si>
    <t>Opmerking</t>
  </si>
  <si>
    <t xml:space="preserve">(-) ==&gt; Minder werkelijke exogene kosten dan werkelijke ontvangsten voor exogene kosten; </t>
  </si>
  <si>
    <t>(+) ==&gt; Meer werkelijke exogene kosten dan werkelijke ontvangsten voor exogene kosten.</t>
  </si>
  <si>
    <t>REGULATOIRE SALDI M.B.T. VOLUMEVERSCHILLEN</t>
  </si>
  <si>
    <t xml:space="preserve">(-) ==&gt; Minder werkelijke exogene kosten dan werkelijke ontvangsten voor exogene kosten (overschot); </t>
  </si>
  <si>
    <t xml:space="preserve">Lasten van niet-gekapitaliseerde pensioenen </t>
  </si>
  <si>
    <t>OPBRENGSTEN</t>
  </si>
  <si>
    <t>A. Omzet</t>
  </si>
  <si>
    <t>C. Geproduceerde vaste activa</t>
  </si>
  <si>
    <t>D. Andere bedrijfsopbrengsten</t>
  </si>
  <si>
    <t>KOSTEN</t>
  </si>
  <si>
    <t>A. Handelsgoederen, grond- en hulpstoffen</t>
  </si>
  <si>
    <t>B. Diensten en diverse goederen</t>
  </si>
  <si>
    <t>C. Bezoldigingen, sociale lasten en pensioenen</t>
  </si>
  <si>
    <t>631/4</t>
  </si>
  <si>
    <t>G. Andere bedrijfskosten</t>
  </si>
  <si>
    <t>640/8</t>
  </si>
  <si>
    <t>670/3</t>
  </si>
  <si>
    <t>Netbeheer elektriciteit</t>
  </si>
  <si>
    <t>Netbeheer gas</t>
  </si>
  <si>
    <t>Niet-gereguleerde activiteiten</t>
  </si>
  <si>
    <t>Totaal opbrengsten</t>
  </si>
  <si>
    <t>Totaal kosten</t>
  </si>
  <si>
    <t>Resultaat</t>
  </si>
  <si>
    <t>In te vullen door de distributienetbeheerder</t>
  </si>
  <si>
    <t>In te vullen door de VREG</t>
  </si>
  <si>
    <t>TABEL 7</t>
  </si>
  <si>
    <t>TABEL 8</t>
  </si>
  <si>
    <t>Tariefcomponent</t>
  </si>
  <si>
    <t>Het tarief voor het systeembeheer</t>
  </si>
  <si>
    <t>Het tarief voor openbare dienstverplichtingen</t>
  </si>
  <si>
    <t>(+) ==&gt; Tekort, meer kosten dan gebudgetteerd</t>
  </si>
  <si>
    <t>(-) ==&gt; Overschot, minder kosten dan gebudgetteerd</t>
  </si>
  <si>
    <t>1.</t>
  </si>
  <si>
    <t>2.</t>
  </si>
  <si>
    <t>Tarief openbare dienstverplichtingen</t>
  </si>
  <si>
    <t>3.</t>
  </si>
  <si>
    <t>Tarief reactieve energie</t>
  </si>
  <si>
    <t>4.</t>
  </si>
  <si>
    <t>Toeslagen</t>
  </si>
  <si>
    <t>5.</t>
  </si>
  <si>
    <t>Overdrachten en/of terugnames</t>
  </si>
  <si>
    <t>Gereguleerde activiteiten</t>
  </si>
  <si>
    <r>
      <t xml:space="preserve">Gelieve </t>
    </r>
    <r>
      <rPr>
        <b/>
        <i/>
        <sz val="10"/>
        <rFont val="Arial"/>
        <family val="2"/>
      </rPr>
      <t>positieve</t>
    </r>
    <r>
      <rPr>
        <i/>
        <sz val="10"/>
        <rFont val="Arial"/>
        <family val="2"/>
      </rPr>
      <t xml:space="preserve"> waarden in te geven (voor kosten indien debetsaldo en voor opbrengsten indien creditsaldo).</t>
    </r>
  </si>
  <si>
    <r>
      <t xml:space="preserve">Gelieve </t>
    </r>
    <r>
      <rPr>
        <b/>
        <i/>
        <sz val="10"/>
        <rFont val="Arial"/>
        <family val="2"/>
      </rPr>
      <t>positieve</t>
    </r>
    <r>
      <rPr>
        <i/>
        <sz val="10"/>
        <rFont val="Arial"/>
        <family val="2"/>
      </rPr>
      <t xml:space="preserve"> waarden in te geven (voor activa (indien debetsaldo), passiva (indien creditsaldo), kosten (indien debetsaldo) en opbrengsten (indien creditsaldo)), tenzij anders aangegeven in kolom B.</t>
    </r>
  </si>
  <si>
    <t>Aanvullend capaciteitstarief voor prosumenten met terugdraaiende teller</t>
  </si>
  <si>
    <t>Rapportering over boekjaren</t>
  </si>
  <si>
    <t>TABEL 4B</t>
  </si>
  <si>
    <t>OMSCHRIJVING RUBRIEKEN</t>
  </si>
  <si>
    <t>FORMULE</t>
  </si>
  <si>
    <t>Rapportering over boekjaar:</t>
  </si>
  <si>
    <t>Recuperatie van kosten van de openbaredienstverplichtingen m.b.t. het stimuleren van rationeel energiegebruik (REG):</t>
  </si>
  <si>
    <t>M.b.t. het basistarief voor het gebruik van het net</t>
  </si>
  <si>
    <t>M.b.t. het tarief voor het systeembeheer</t>
  </si>
  <si>
    <t>M.b.t. het tarief voor openbare dienstverplichtingen</t>
  </si>
  <si>
    <t>M.b.t. het tarief voor de compensatie van de netverliezen</t>
  </si>
  <si>
    <r>
      <rPr>
        <b/>
        <sz val="10"/>
        <rFont val="Arial"/>
        <family val="2"/>
      </rPr>
      <t>Terugname</t>
    </r>
    <r>
      <rPr>
        <sz val="10"/>
        <rFont val="Arial"/>
        <family val="2"/>
      </rPr>
      <t xml:space="preserve"> van het saldo in het resultaat van het exploitatiejaar (zoals vastgelegd in de tariefmethodologie)</t>
    </r>
  </si>
  <si>
    <t>Relatief aandeel endogene kosten (%)</t>
  </si>
  <si>
    <t>TABEL 5B</t>
  </si>
  <si>
    <t>Het tarief voor de compensatie van de netverliezen</t>
  </si>
  <si>
    <t>Controle met TABEL 4A:</t>
  </si>
  <si>
    <t>Controle met TABEL 5A:</t>
  </si>
  <si>
    <t>Opmerking:</t>
  </si>
  <si>
    <t>Afbouw regulatoir saldo inzake herindexering van het budget voor endogene kosten, zoals vastgelegd in de tariefmethodologie (positieve waarde voor recuperatie tekort, en omgekeerd)</t>
  </si>
  <si>
    <t>(-) ==&gt; Meer werkelijke ontvangsten dan budget endogene kosten (overschot)</t>
  </si>
  <si>
    <t>TABEL 6A: Opvolging regulatoir saldo inzake herindexering van het budget voor endogene kosten</t>
  </si>
  <si>
    <t>(-) ==&gt; Lagere inflatie dan verwacht (overschot)</t>
  </si>
  <si>
    <t>Evolutie saldo m.b.t. herindexering budget endogene kosten op overlopende rekeningen</t>
  </si>
  <si>
    <t>Boeking regulatoir saldo inzake herindexering budget endogene kosten per tariefcomponent</t>
  </si>
  <si>
    <t>Afgebouwd regulatoir saldo inzake herindexering endogene kosten per tariefcomponent</t>
  </si>
  <si>
    <t>Nog af te bouwen regulatoir saldo inzake herindexering budget endogene kosten per tariefcomponent</t>
  </si>
  <si>
    <t>Controle met TABEL 6A:</t>
  </si>
  <si>
    <t>TABEL 6B</t>
  </si>
  <si>
    <t>REGULATOIRE SALDI M.B.T. HERINDEXERING BUDGET ENDOGENE KOSTEN</t>
  </si>
  <si>
    <t>TABEL 7: Opvolging regulatoir saldo inzake vennootschapsbelasting</t>
  </si>
  <si>
    <t>Afbouw regulatoir saldo inzake vennootschapsbelasting, zoals vastgelegd in de tariefmethodologie (positieve waarde voor recuperatie tekort, en omgekeerd)</t>
  </si>
  <si>
    <t>Omschrijving</t>
  </si>
  <si>
    <t>ONDERBOUWING BUDGET</t>
  </si>
  <si>
    <t>TOTAAL EXOGENE KOSTEN</t>
  </si>
  <si>
    <t>Overzicht gerapporteerde waarden per tariefcomponent:</t>
  </si>
  <si>
    <t>TABEL 6B: Overzicht regulatoir saldo inzake herindexering van het budget voor endogene kosten per tariefcomponent</t>
  </si>
  <si>
    <r>
      <t xml:space="preserve">Kost m.b.t. de door Elia aan de distributienetbeheerder aangerekende vergoeding voor het gebruik van het transmissienet (elektriciteit) - </t>
    </r>
    <r>
      <rPr>
        <b/>
        <sz val="10"/>
        <rFont val="Arial"/>
        <family val="2"/>
      </rPr>
      <t xml:space="preserve">exclusief </t>
    </r>
    <r>
      <rPr>
        <sz val="10"/>
        <rFont val="Arial"/>
        <family val="2"/>
      </rPr>
      <t>federale bijdrage elektriciteit</t>
    </r>
  </si>
  <si>
    <r>
      <t xml:space="preserve">Kost m.b.t. de door een andere distributienetbeheerder (via doorvoer) aangerekende vergoeding voor het gebruik van het transmissienet (elektriciteit) - </t>
    </r>
    <r>
      <rPr>
        <b/>
        <sz val="10"/>
        <rFont val="Arial"/>
        <family val="2"/>
      </rPr>
      <t xml:space="preserve">exclusief </t>
    </r>
    <r>
      <rPr>
        <sz val="10"/>
        <rFont val="Arial"/>
        <family val="2"/>
      </rPr>
      <t>federale bijdrage elektriciteit</t>
    </r>
  </si>
  <si>
    <r>
      <t xml:space="preserve">Opbrengst uit de aan een andere distributienetbeheer (via doorvoer) aangerekende vergoeding voor het gebruik van het transmissienet (elektriciteit) - </t>
    </r>
    <r>
      <rPr>
        <b/>
        <sz val="10"/>
        <rFont val="Arial"/>
        <family val="2"/>
      </rPr>
      <t>exclusief</t>
    </r>
    <r>
      <rPr>
        <sz val="10"/>
        <rFont val="Arial"/>
        <family val="2"/>
      </rPr>
      <t xml:space="preserve"> federale bijdrage elektriciteit</t>
    </r>
  </si>
  <si>
    <t>Budget endogene kosten, volgens tariefvoorstel</t>
  </si>
  <si>
    <r>
      <t>Werkelijke inflatie jaar op jaar voor de maand juli van dat jaar (CPI</t>
    </r>
    <r>
      <rPr>
        <b/>
        <vertAlign val="subscript"/>
        <sz val="10"/>
        <rFont val="Arial"/>
        <family val="2"/>
      </rPr>
      <t>j</t>
    </r>
    <r>
      <rPr>
        <b/>
        <sz val="10"/>
        <rFont val="Arial"/>
        <family val="2"/>
      </rPr>
      <t>)</t>
    </r>
  </si>
  <si>
    <r>
      <t>Inflatie jaar op jaar voor de maand juli die in het jaar voordien werd verwacht, gehanteerd door de VREG bij vaststelling toegelaten inkomen voor het betreffende boekjaar (CPI</t>
    </r>
    <r>
      <rPr>
        <b/>
        <vertAlign val="subscript"/>
        <sz val="10"/>
        <rFont val="Arial"/>
        <family val="2"/>
      </rPr>
      <t>j,v</t>
    </r>
    <r>
      <rPr>
        <b/>
        <sz val="10"/>
        <rFont val="Arial"/>
        <family val="2"/>
      </rPr>
      <t>)</t>
    </r>
  </si>
  <si>
    <t>REGULATOIR SALDO VOLUMEVERSCHILLEN</t>
  </si>
  <si>
    <t>Totaal nog af te bouwen regulatoir saldo</t>
  </si>
  <si>
    <t>Totaal afgebouwd regulatoir saldo</t>
  </si>
  <si>
    <t>(+) ==&gt; Hogere inflatie dan verwacht (tekort);</t>
  </si>
  <si>
    <t>(+) ==&gt; Tekort, meer kosten dan gebudgetteerd;</t>
  </si>
  <si>
    <t>(-) ==&gt; Recuperatie tekort, verhoging van de tarieven ;</t>
  </si>
  <si>
    <t>(+) ==&gt; Teruggave overschot, verlaging van de tarieven</t>
  </si>
  <si>
    <t>(-) Credit saldo;</t>
  </si>
  <si>
    <t>(+) ==&gt; Minder werkelijke ontvangsten dan budget endogene kosten (tekort);</t>
  </si>
  <si>
    <t>(+) ==&gt; Meer werkelijke exogene kosten dan werkelijke ontvangsten voor exogene kosten (tekort)</t>
  </si>
  <si>
    <t>Evolutie saldo m.b.t. venootschapsbelasting op overlopende rekeningen</t>
  </si>
  <si>
    <t>Het eventueel voorschot zoals toegekend door de VREG en opgenomen in het tariefvoorstel</t>
  </si>
  <si>
    <t>Werkelijke ontvangsten m.b.t. endogene kosten</t>
  </si>
  <si>
    <t>De eventuele, geheel of gedeeltelijke, terugname van een eerder toegekend voorschot door de VREG en opgenomen in het tariefvoorstel</t>
  </si>
  <si>
    <t>6.</t>
  </si>
  <si>
    <t>Bepaling van het af te bouwen regulatoir saldo over boekjaar:</t>
  </si>
  <si>
    <t>Regulatoir saldo ontstaan in boekjaar</t>
  </si>
  <si>
    <t>Afbouw regulatoir saldo op te nemen in het toegelaten inkomen van boekjaar:</t>
  </si>
  <si>
    <t>OVERLOPENDE REKENINGEN</t>
  </si>
  <si>
    <t>GEREGULEERDE ACTIVITEIT :</t>
  </si>
  <si>
    <t>Bedrijfsopbrengsten</t>
  </si>
  <si>
    <t>Financiële opbrengsten</t>
  </si>
  <si>
    <t>B. Wijziging in de voorraad goederen in bewerking, gereed product en bestellingen in uitvoering (toename +, afname -)</t>
  </si>
  <si>
    <t>Regularisering van belastingen en terugneming van voorzieningen</t>
  </si>
  <si>
    <t>Onttrekkingen aan de belastingvrije reserves en uitgestelde belastingen</t>
  </si>
  <si>
    <t>Verlies van het boekjaar</t>
  </si>
  <si>
    <t>Bedrijfskosten</t>
  </si>
  <si>
    <t>D. Afschrijvingen en waardeverminderingen op vaste activa</t>
  </si>
  <si>
    <t>E. Waardeverminderingen op voorraden, bestellingen in uitvoering en handelsvorderingen (toevoegingen +, terugnemingen -)</t>
  </si>
  <si>
    <t>F. Voorzieningen voor risico's en kosten (toevoegingen +, terugnemingen -)</t>
  </si>
  <si>
    <t>Financiële kosten</t>
  </si>
  <si>
    <t>Overboeking naar de uitgestelde belastingen en naar de belastingvrije reserves</t>
  </si>
  <si>
    <t>Belastingen op het resultaat</t>
  </si>
  <si>
    <t>Winst van het boekjaar</t>
  </si>
  <si>
    <t>Gereguleerde activiteit:</t>
  </si>
  <si>
    <t>Endogene opbrengsten</t>
  </si>
  <si>
    <t>Exogene opbrengsten</t>
  </si>
  <si>
    <t>Overige opbrengsten</t>
  </si>
  <si>
    <t>Endogene kosten</t>
  </si>
  <si>
    <t>Exogene kosten</t>
  </si>
  <si>
    <t>Overige kosten</t>
  </si>
  <si>
    <t>TABEL 3: Detail inzake samenstelling exogene kosten</t>
  </si>
  <si>
    <t>Onderbouwing van het gebudgetteerde bedrag in afzonderlijk verklarende nota vereist:</t>
  </si>
  <si>
    <t>In kolom H wordt met 'X' aangegeven voor welke rubrieken de distributienetbeheerder een gedetailleerde onderbouwing van het ex-ante budget dient op te geven in een afzonderlijk verklarende nota.</t>
  </si>
  <si>
    <t>M.b.t. het tarief voor het databeheer</t>
  </si>
  <si>
    <t>Het tarief voor het databeheer</t>
  </si>
  <si>
    <t>Afbouw regulatoir saldo inzake herwaarderingsmeerwaarden</t>
  </si>
  <si>
    <t>Kosten m.b.t. REG-premies</t>
  </si>
  <si>
    <t xml:space="preserve">Kosten m.b.t. de actieverplichting energiescans </t>
  </si>
  <si>
    <t>Kosten m.b.t. de actieverplichting sociale energie efficiëntieprojecten</t>
  </si>
  <si>
    <t>Solidarisering GSC</t>
  </si>
  <si>
    <t>Solidarisering WKC</t>
  </si>
  <si>
    <t>Tarief beheer en ontwikkeling netwerkinfrastructuur</t>
  </si>
  <si>
    <t>Tarief beheer elektrisch systeem</t>
  </si>
  <si>
    <t>Tarief vermogensreserve en blackstart</t>
  </si>
  <si>
    <t>Tarief marktintegratie</t>
  </si>
  <si>
    <t>ODV - financiering van de aansluiting offshore windturbineparken</t>
  </si>
  <si>
    <t>ODV - financiering groenestroomcertificaten</t>
  </si>
  <si>
    <t>ODV - financiering strategische reserve</t>
  </si>
  <si>
    <t>ODV - financiering steunmaatregelen hernieuwbare energie en WKK</t>
  </si>
  <si>
    <t>ODV - financiering maatregelen ter bevordering REG</t>
  </si>
  <si>
    <t>Toeslag voor de taksen op masten en sleuven</t>
  </si>
  <si>
    <t>Verkopen t.a.v. de Vlaamse Overheid</t>
  </si>
  <si>
    <t>Overige verkopen</t>
  </si>
  <si>
    <t>Recuperatie van kosten m.b.t. REG-premies</t>
  </si>
  <si>
    <t xml:space="preserve">Recuperatie van kosten m.b.t. de actieverplichting energiescans </t>
  </si>
  <si>
    <t>Recuperatie van kosten m.b.t. de actieverplichting sociale energie efficiëntieprojecten</t>
  </si>
  <si>
    <t>Opbrengsten uit niet-recurrente recuperatie van exogene kosten uit bijvoorbeeld fraudezaken</t>
  </si>
  <si>
    <t>m.b.t. onterecht uitgekeerde REG-premies</t>
  </si>
  <si>
    <t>m.b.t. onterecht aangekochte GSC en WKC aan minimumwaarde</t>
  </si>
  <si>
    <t>Waardeverminderingen op vorderingen t.g.v. fraudedossiers</t>
  </si>
  <si>
    <t>Kosten t.g.v. terugvorderingen door de Vlaamse Overheid van onterechte financiering van openbaredienstverplichtingen</t>
  </si>
  <si>
    <t>Totale werkelijke ontvangsten uit periodieke distributienettarieven voor exogene kosten</t>
  </si>
  <si>
    <t>Kosten van de openbaredienstverplichtingen m.b.t. het stimuleren van rationeel energiegebruik (REG) volgens Energiebesluit:</t>
  </si>
  <si>
    <t>Kapitaalkostvergoeding voor het regulatoir saldo inzake herindexering van het budget voor endogene kosten</t>
  </si>
  <si>
    <t>Kapitaalkostvergoeding voor het regulatoir saldo inzake vennootschapsbelasting</t>
  </si>
  <si>
    <t>Kapitaalkostvergoeding voor het regulatoir saldo inzake herwaarderingsmeerwaarden</t>
  </si>
  <si>
    <t xml:space="preserve">Het basistarief voor het gebruik van het net </t>
  </si>
  <si>
    <t>Bepaling van het af te bouwen regulatoir saldo over de boekjaar:</t>
  </si>
  <si>
    <t>TABEL 5A: Opvolging regulatoir saldo inzake volumerisico endogeen budget</t>
  </si>
  <si>
    <t>Boeking regulatoir saldo inzake volumeverschillen m.b.t. endogene kosten per tariefcomponent</t>
  </si>
  <si>
    <t>Afgebouwd regulatoir saldo inzake volumeverschillen m.b.t. endogene kosten per tariefcomponent</t>
  </si>
  <si>
    <t>Nog af te bouwen regulatoir saldo inzake volumeverschillen m.b.t. endogene kosten per tariefcomponent</t>
  </si>
  <si>
    <t>TABEL 5B: Overzicht regulatoir saldo inzake volumerisico endogeen budget per tariefcomponent</t>
  </si>
  <si>
    <t>Trans HS</t>
  </si>
  <si>
    <t>&gt;26-36 kV</t>
  </si>
  <si>
    <t>26-1 kV</t>
  </si>
  <si>
    <t>Trans LS</t>
  </si>
  <si>
    <t>LS</t>
  </si>
  <si>
    <t>Tarief databeheer</t>
  </si>
  <si>
    <t>Indien in een boekjaar periodieke elektriciteitsdistributienettarieven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</si>
  <si>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elektriciteitsdistributienettarieven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</si>
  <si>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aardgasdistributienettarieven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</si>
  <si>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 Tarief gebruik van het net</t>
  </si>
  <si>
    <t>1.2. Tarief systeembeheer</t>
  </si>
  <si>
    <t>1.3. Tarief databeheer</t>
  </si>
  <si>
    <t>3. Toeslagen</t>
  </si>
  <si>
    <t>T1</t>
  </si>
  <si>
    <t>T2</t>
  </si>
  <si>
    <t>T3</t>
  </si>
  <si>
    <t>T4</t>
  </si>
  <si>
    <t>T5</t>
  </si>
  <si>
    <t>T6</t>
  </si>
  <si>
    <t>Doorvoer</t>
  </si>
  <si>
    <t>Indien in een boekjaar periodieke aardgasdistributienettarieven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</si>
  <si>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1.1. Tarief systeembeheer</t>
  </si>
  <si>
    <t>1.2. Tarief databeheer</t>
  </si>
  <si>
    <t>TOTAAL (GAS-AFNAME)</t>
  </si>
  <si>
    <t>TOTAAL (GAS-INJECTIE)</t>
  </si>
  <si>
    <t>1.1. Basistarief voor gebruik van het net</t>
  </si>
  <si>
    <t xml:space="preserve">De ex-ante correctie voor vennootschapsbelasting, zoals vastgesteld door de VREG m.b.t. het toegelaten inkomen voor endogene kosten </t>
  </si>
  <si>
    <t>De ex-ante aanvullende endogene term voor de kosten m.b.t. herwaarderingsmeerwaarden (zowel afschrijvingen als kapitaalkostvergoeding), zoals vastgesteld door de VREG m.b.t. het toegelaten inkomen voor endogene kosten</t>
  </si>
  <si>
    <t>De door de VREG gegeven financiële incentives op het toegelaten inkomen voor endogene kosten</t>
  </si>
  <si>
    <t>2. Tarief openbare dienstverplichtingen</t>
  </si>
  <si>
    <t>x'-waarde voor het betreffende boekjaar</t>
  </si>
  <si>
    <t>x''-waarde voor de betreffende reguleringsperiode</t>
  </si>
  <si>
    <t>TABEL 8: Opvolging regulatoir saldo inzake herwaarderingsmeerwaarden</t>
  </si>
  <si>
    <t>REGULATOIRE SALDI M.B.T. HERWAARDERINGSMEERWAARDEN</t>
  </si>
  <si>
    <r>
      <rPr>
        <b/>
        <sz val="10"/>
        <color theme="1"/>
        <rFont val="Arial"/>
        <family val="2"/>
      </rPr>
      <t>Boeking</t>
    </r>
    <r>
      <rPr>
        <sz val="10"/>
        <color theme="1"/>
        <rFont val="Arial"/>
        <family val="2"/>
      </rPr>
      <t xml:space="preserve"> van het saldo in het resultaat van het exploitatiejaar</t>
    </r>
  </si>
  <si>
    <r>
      <t xml:space="preserve">Terugname </t>
    </r>
    <r>
      <rPr>
        <sz val="10"/>
        <color theme="1"/>
        <rFont val="Arial"/>
        <family val="2"/>
      </rPr>
      <t>van het saldo in het resultaat van het exploitatiejaar (zoals vastgelegd in de tariefmethodologie)</t>
    </r>
  </si>
  <si>
    <t>Retributies</t>
  </si>
  <si>
    <t>Heffing volgens het Decreet houdende het Grootschalig Referentiebestand</t>
  </si>
  <si>
    <t>TABEL 5C, 5D, 5E en 5F</t>
  </si>
  <si>
    <t>Fiscaal niet-aftrekbare afschrijvingen op herwaarderingsmeerwaarden (+)</t>
  </si>
  <si>
    <t>Notionele intrestaftrek (-)</t>
  </si>
  <si>
    <t>Regulatoir saldo m.b.t. vennootschapsbelasting</t>
  </si>
  <si>
    <t>Bijkomende opmerking:</t>
  </si>
  <si>
    <t>Statutaire aanslagvoet</t>
  </si>
  <si>
    <t>Fiscaal niet-aftrekbare afschrijvingen op herwaarderingsmeerwaarden</t>
  </si>
  <si>
    <t>Gelieve positieve waarden in te geven voor activa (indien debetsaldo) en passiva (indien creditsaldo), en omgekeerd.</t>
  </si>
  <si>
    <t>Notionele intrestaftrek</t>
  </si>
  <si>
    <t>In rekening te brengen notionele intrestaftrek</t>
  </si>
  <si>
    <t xml:space="preserve">Gereguleerde activiteit: </t>
  </si>
  <si>
    <t>Regulatoir saldo m.b.t. herwaarderingsmeerwaarden</t>
  </si>
  <si>
    <t>Afschrijvingen van de herwaarderingsmeerwaarden o.b.v. de historische indexatie</t>
  </si>
  <si>
    <t>Afschrijvingen van de herwaarderingsmeerwaarden o.b.v. de iRAB</t>
  </si>
  <si>
    <t>Gecorrigeerd bedrag aan risicokapitaal (cfr bepalingen in WIB 1992)</t>
  </si>
  <si>
    <t>Basistarief voor de notionele intrestaftrek (cfr bepalingen in WIB 1992)</t>
  </si>
  <si>
    <t>Evolutie van de meerwaarden op basis van de historische indexatie (materiële vaste acitva):</t>
  </si>
  <si>
    <t>De tekens die in de kolomhoofden van de tabellen opgenomen zijn, dienen te worden geïnterpreteerd als:</t>
  </si>
  <si>
    <t>+: gelieve positieve waarde in te geven</t>
  </si>
  <si>
    <t>-: gelieve negatieve waarde in te geven</t>
  </si>
  <si>
    <t>Activaposten (boekhoudkundige rubrieken 22, 23, 24, 25, 26 en 27)</t>
  </si>
  <si>
    <t>Terreinen</t>
  </si>
  <si>
    <t>Industriële gebouwen</t>
  </si>
  <si>
    <t>Administratieve gebouwen</t>
  </si>
  <si>
    <t>Kabels - Transformatie MS</t>
  </si>
  <si>
    <t>Kabels - Transformatie LS</t>
  </si>
  <si>
    <t>Lijnen - Transformatie MS</t>
  </si>
  <si>
    <t>Lijnen - Transformatie LS</t>
  </si>
  <si>
    <t>Posten &amp; cabines - Transformatie MS</t>
  </si>
  <si>
    <t>Posten &amp; cabines - Transformatie LS</t>
  </si>
  <si>
    <t>Hergebruikte uitrusting cabines</t>
  </si>
  <si>
    <t>Aansluitingen - Transformatie MS</t>
  </si>
  <si>
    <t>Aansluitingen - Transformatie LS</t>
  </si>
  <si>
    <t>Meetapparatuur - Transformatie MS</t>
  </si>
  <si>
    <t>Meetapparatuur - Transformatie LS</t>
  </si>
  <si>
    <t>Teletransmissie en optische vezels</t>
  </si>
  <si>
    <t>Gereedschap en meubilair</t>
  </si>
  <si>
    <t>Rollend materieel</t>
  </si>
  <si>
    <t>CAB, telebediening, uitrusting dispatching</t>
  </si>
  <si>
    <t>Labo uitrusting</t>
  </si>
  <si>
    <t>Administratieve uitrusting (informatica en kantoor)</t>
  </si>
  <si>
    <t>Telegelezen meters</t>
  </si>
  <si>
    <t>Budgetmeters</t>
  </si>
  <si>
    <t>WKK installaties</t>
  </si>
  <si>
    <t>Unieke Operator</t>
  </si>
  <si>
    <t>Project slimme netten</t>
  </si>
  <si>
    <t>Project clearing house</t>
  </si>
  <si>
    <t>Project slimme meters</t>
  </si>
  <si>
    <t>Oplaadpunten voor elektrische voertuigen</t>
  </si>
  <si>
    <t>Activa in aanbouw</t>
  </si>
  <si>
    <t xml:space="preserve">TOTAAL  </t>
  </si>
  <si>
    <t>Afschrijvingspercentage</t>
  </si>
  <si>
    <t>Digitale meters</t>
  </si>
  <si>
    <t>Evolutie van de meerwaarden op basis van de iRAB (materiële vaste acitva):</t>
  </si>
  <si>
    <t>BUDGET</t>
  </si>
  <si>
    <t>REALITEIT</t>
  </si>
  <si>
    <t>Leidingen - MD</t>
  </si>
  <si>
    <t>Leidingen - LD</t>
  </si>
  <si>
    <t>Cabines/Stations - MD</t>
  </si>
  <si>
    <t>Cabines/Stations - LD</t>
  </si>
  <si>
    <t>Aansluitingen - MD</t>
  </si>
  <si>
    <t>Aansluitingen - LD</t>
  </si>
  <si>
    <t>Meetapparatuur - MD</t>
  </si>
  <si>
    <t>Meetapparatuur - LD</t>
  </si>
  <si>
    <t>Labo-uitrusting</t>
  </si>
  <si>
    <t>m.b.t. historische indexatie</t>
  </si>
  <si>
    <t>m.b.t. iRAB</t>
  </si>
  <si>
    <t>Afschrijvingen</t>
  </si>
  <si>
    <t>Kapitaalkostvergoeding herwaarderingsmeerwaarden</t>
  </si>
  <si>
    <t>REGULATOIRE SALDI M.B.T. VENNOOTSCHAPSBELASTING</t>
  </si>
  <si>
    <t xml:space="preserve">Realiteit </t>
  </si>
  <si>
    <t xml:space="preserve">RICHTLIJNEN BIJ HET INVULLEN EN DE INTERPRETATIE VAN HET RAPPORTERINGSMODEL </t>
  </si>
  <si>
    <t>TABEL 2: Algemeen overzicht exogene kosten</t>
  </si>
  <si>
    <t>EXOGEEN</t>
  </si>
  <si>
    <t>AANVULLENDE ENDOGENE TERMEN</t>
  </si>
  <si>
    <t>Gelieve in een afzonderlijk verklarende nota aan te tonen dat bij de berekening van het gecorrigeerd bedrag aan risicokapitaal de bepalingen in het WIB 1992 werden gevolgd. Hierbij dient de distributienetbeheerder rekening te houden met het eigen vermogen en de correctieposten zoals deze blijken uit de fiscale berekening voor het opstellen van de jaarrekening, waarna het hieruit resulterende gecorrigeerde bedrag aan risicokapitaal vervolgens a.d.h.v. een verdeelsleutel aan de verschillende activiteiten van de distributienetbeheerder wordt toegewezen.</t>
  </si>
  <si>
    <t>RAPPORTERINGSMODEL EXOGENE KOSTEN EN AANVULLENDE ENDOGENE TERMEN 2022-2024</t>
  </si>
  <si>
    <t>Exogene kosten i.h.k.v. het tarief reactieve energie</t>
  </si>
  <si>
    <t>Exogene kosten i.h.k.v. het tarief databeheer</t>
  </si>
  <si>
    <t>Exogene kosten i.h.k.v. het tarief openbare dienstverplichtingen</t>
  </si>
  <si>
    <t>Exogene kosten i.h.k.v. het tarief toeslagen</t>
  </si>
  <si>
    <t>Exogene kosten i.h.k.v. het tarief overige transmissie</t>
  </si>
  <si>
    <t>Afbouw regulatoir saldo inzake exogene kosten, zoals vastgelegd in de tariefmethodologie (positieve waarde voor recuperatie tekort, en omgekeerd)</t>
  </si>
  <si>
    <t>Afbouw regulatoir saldo inzake volumerisico endogeen budget, zoals vastgelegd in de tariefmethodologie (positieve waarde voor recuperatie tekort, en omgekeerd)</t>
  </si>
  <si>
    <t>Kapitaalkostvergoeding voor het regulatoir saldo inzake volumerisico endogeen budget</t>
  </si>
  <si>
    <t>M.b.t. het tarief netgebruik</t>
  </si>
  <si>
    <t>M.b.t. het tarief reactieve energie</t>
  </si>
  <si>
    <t>M.b.t. het tarief databeheer</t>
  </si>
  <si>
    <t>M.b.t. het tarief openbare dienstverplichtingen</t>
  </si>
  <si>
    <t>M.b.t. het tarief toeslagen</t>
  </si>
  <si>
    <t>M.b.t. het tarief overige transmissie</t>
  </si>
  <si>
    <t>Tarief aanvullende afname of injectie reactieve energie</t>
  </si>
  <si>
    <t>Exogene kosten i.h.k.v. het tarief systeembeheer</t>
  </si>
  <si>
    <t>M.b.t. het tarief systeembeheer</t>
  </si>
  <si>
    <t>M.b.t. het tarief netgebruik / basistarief gebruik net</t>
  </si>
  <si>
    <t>Exogene kosten i.h.k.v. het tarief netgebruik / basistarief gebruik net</t>
  </si>
  <si>
    <t xml:space="preserve">Kapitaalkostvergoeding voor het regulatoir saldo inzake exogene kosten </t>
  </si>
  <si>
    <t>TABEL 4A: Opvolging regulatoir saldo inzake exogene kosten</t>
  </si>
  <si>
    <t>REGULATOIRE SALDI INZAKE EXOGENE KOSTEN</t>
  </si>
  <si>
    <t>TABEL 4B: Overzicht regulatoir saldo inzake exogene kosten per tariefcomponent</t>
  </si>
  <si>
    <t>Boeking regulatoir saldo inzake exogene kosten per tariefcomponent</t>
  </si>
  <si>
    <t>Het tarief netgebruik</t>
  </si>
  <si>
    <t>Afgebouwd regulatoir saldo inzake exogene kosten per tariefcomponent</t>
  </si>
  <si>
    <t>Transmissie</t>
  </si>
  <si>
    <t>Het tarief reactieve energie</t>
  </si>
  <si>
    <t>Nog af te bouwen regulatoir saldo inzake exogene kosten per tariefcomponent</t>
  </si>
  <si>
    <t>Het tarief voor overige transmissie</t>
  </si>
  <si>
    <t>Het tarief systeembeheer</t>
  </si>
  <si>
    <t>Het tarief openbare dienstverplichtingen</t>
  </si>
  <si>
    <t>Het tarief overige transmissie</t>
  </si>
  <si>
    <t>Het tarief toeslagen</t>
  </si>
  <si>
    <t>Het tarief voor toeslagen</t>
  </si>
  <si>
    <t>Evolutie saldo exogene kosten op overlopende rekeningen</t>
  </si>
  <si>
    <t>M.b.t. het tarief voor toeslagen</t>
  </si>
  <si>
    <t>Tarief netgebruik</t>
  </si>
  <si>
    <t>Tarief toeslagen</t>
  </si>
  <si>
    <t>Tarief overige transmissie</t>
  </si>
  <si>
    <t>7.</t>
  </si>
  <si>
    <t>TOTAAL (ELEKTRICITEIT - AFNAME)</t>
  </si>
  <si>
    <t>TOTAAL (ELEKTRICITEIT - INJECTIE)</t>
  </si>
  <si>
    <t>Evolutie saldo m.b.t. herwaarderingsmeerwaarden op overlopende rekeningen</t>
  </si>
  <si>
    <t>Evolutie saldo m.b.t. volumerisico op overlopende rekeningen</t>
  </si>
  <si>
    <t xml:space="preserve">Het tarief netgebruik </t>
  </si>
  <si>
    <t>Het tarief netgebruik / basistarief gebruik net</t>
  </si>
  <si>
    <r>
      <t xml:space="preserve">Dit rapporteringsmodel heeft als doel om via een standaardformaat tegemoet te komen aan de informatiebehoeften van de VREG teneinde voor elke distributienetbeheerder een toegelaten inkomen m.b.t. de exogene kosten enerzijds en de aanvullende endogene termen anderzijds te bepalen.
Het model is voorzien van een aantal automatisch berekende waarden teneinde de verwerking van het rapporteringsmodel, zowel voor de distributienetbeheerder als voor de VREG, efficiënt te laten verlopen. Deze waarden werden door de VREG dan ook beveiligd. Het rapporteringsmodel dient door de distributienetbeheerder in één afgedrukt exemplaar te worden opgeleverd, alsook onder elektronische vorm (Excel-formaat). In de elektronische vorm zijn geen verwijzingen naar externe bestanden (koppelingen) toegelaten.
In geval van rapportering van de werkelijke cijfers </t>
    </r>
    <r>
      <rPr>
        <b/>
        <sz val="10"/>
        <rFont val="Arial"/>
        <family val="2"/>
      </rPr>
      <t>ex-post</t>
    </r>
    <r>
      <rPr>
        <sz val="10"/>
        <rFont val="Arial"/>
        <family val="2"/>
      </rPr>
      <t xml:space="preserve"> dient het ingevulde rapporteringsmodel te zijn gewaarmerkt door een rapport van feitelijke bevindingen van de commissaris van de distributienetbeheerder. Op </t>
    </r>
    <r>
      <rPr>
        <b/>
        <sz val="10"/>
        <rFont val="Arial"/>
        <family val="2"/>
      </rPr>
      <t>ex-ante</t>
    </r>
    <r>
      <rPr>
        <sz val="10"/>
        <rFont val="Arial"/>
        <family val="2"/>
      </rPr>
      <t xml:space="preserve"> basis (gebudgetteerde waarden) is een rapport van feitelijke bevindingen van de commissaris dus niet vereist. </t>
    </r>
  </si>
  <si>
    <t>Niet relevante waarde voor de betreffende rapportering</t>
  </si>
  <si>
    <t>ENDO</t>
  </si>
  <si>
    <t>EXO</t>
  </si>
  <si>
    <r>
      <t>q</t>
    </r>
    <r>
      <rPr>
        <b/>
        <vertAlign val="subscript"/>
        <sz val="10"/>
        <rFont val="Arial"/>
        <family val="2"/>
      </rPr>
      <t>i</t>
    </r>
    <r>
      <rPr>
        <b/>
        <sz val="10"/>
        <rFont val="Arial"/>
        <family val="2"/>
      </rPr>
      <t>-waarde kwaliteitsprestaties 2017-2019</t>
    </r>
  </si>
  <si>
    <t>REGULATOIR SALDO HERINDEXERING BUDGET ENDOGENE KOSTEN</t>
  </si>
  <si>
    <t>BEPALING VAN HET AF TE BOUWEN REGULATOIR SALDO INZAKE HERWAARDERINGSMEERWAARDEN</t>
  </si>
  <si>
    <t>BEPALING VAN HET AF TE BOUWEN REGULATOIR SALDO M.B.T. VENNOOTSCHAPSBELASTING</t>
  </si>
  <si>
    <t>Endogene kosten m.b.t. herwaarderingsmeerwaarden</t>
  </si>
  <si>
    <t>Endogene kosten m.b.t. vennootschapsbelasting</t>
  </si>
  <si>
    <t>Regulatoir saldo inzake exogene kosten</t>
  </si>
  <si>
    <t>LEGENDE CELKLEUREN</t>
  </si>
  <si>
    <t>OVERZICHT TABELLEN</t>
  </si>
  <si>
    <t>Kabels - &gt;26-36 kV</t>
  </si>
  <si>
    <t>Kabels - MS</t>
  </si>
  <si>
    <t>Kabels - LS</t>
  </si>
  <si>
    <t>Lijnen - &gt;26-36 kV</t>
  </si>
  <si>
    <t>Lijnen - MS</t>
  </si>
  <si>
    <t>Lijnen - LS</t>
  </si>
  <si>
    <t>Posten &amp; cabines - &gt;26-36 kV</t>
  </si>
  <si>
    <t>Posten &amp; cabines - MS</t>
  </si>
  <si>
    <t>Posten &amp; cabines - LS</t>
  </si>
  <si>
    <t>Aansluitingen - &gt;26-36 kV</t>
  </si>
  <si>
    <t>Aansluitingen - MS</t>
  </si>
  <si>
    <t>Aansluitingen - LS</t>
  </si>
  <si>
    <t>Meetapparatuur - &gt;26-36 kV</t>
  </si>
  <si>
    <t>Meetapparatuur - MS</t>
  </si>
  <si>
    <t>Meetapparatuur - LS</t>
  </si>
  <si>
    <t>H. Als herstructureringskosten geactiveerde bedrijfskosten (-)</t>
  </si>
  <si>
    <t>MAR-code</t>
  </si>
  <si>
    <t>635/8</t>
  </si>
  <si>
    <t>Tarief netgebruik / Basistarief gebruik net</t>
  </si>
  <si>
    <t>Tarief systeembeheer</t>
  </si>
  <si>
    <t>TABEL 9: Algemeen overzicht aanvullende endogene termen</t>
  </si>
  <si>
    <t>TABEL 10: Fiscaal niet-aftrekbare afschrijvingen op herwaarderingsmeerwaarden</t>
  </si>
  <si>
    <t>Tarief beheer en ontwikkeling netwerkinfrastructuur - maandpiek voor afname</t>
  </si>
  <si>
    <t>Tarief beheer en ontwikkeling netwerkinfrastructuur - jaarpiek voor afname</t>
  </si>
  <si>
    <t>Tarief beheer en ontwikkeling netwerkinfrastructuur - ter beschikking gesteld vermogen voor afname</t>
  </si>
  <si>
    <t>Tarief beheer en ontwikkeling netwerkinfrastructuur - aansluitingstarieven</t>
  </si>
  <si>
    <t>Kapitaalkostvergoeding groenestroom- en warmtekrachtcertificaten (GSC en WKC)</t>
  </si>
  <si>
    <t>Gemiddelde voorraad GSC en WKC (boekhoudkundige waarde) voor boekjaar 2021</t>
  </si>
  <si>
    <t>Beginvoorraad GSC en WKC (01/01/2021)</t>
  </si>
  <si>
    <t>Beginvoorraad GSC (01/01/2021)</t>
  </si>
  <si>
    <t>Beginvoorraad WKC (01/01/2021)</t>
  </si>
  <si>
    <t>Eindvoorraad GSC en WKC (31/12/2021)</t>
  </si>
  <si>
    <t>Eindvoorraad GSC (31/12/2021)</t>
  </si>
  <si>
    <t>Eindvoorraad WKC (31/12/2021)</t>
  </si>
  <si>
    <t>Verplicht aangekochte GSC en WKC aan minimumwaarde volgens Energiedecreet</t>
  </si>
  <si>
    <t>Voorraadwijziging GSC (toename voorraad: negatieve waarde, afname voorraad: positieve waarde)</t>
  </si>
  <si>
    <t>Voorraadwijziging WKC (toename voorraad: negatieve waarde, afname voorraad: positieve waarde)</t>
  </si>
  <si>
    <t>Netto-uitgaven/ -inkomsten (positieve waarde voor een netto-uitgave, en omgekeerd) i.h.k.v. de verrekening van de kost van GSC en WKC onder distributienetbeheerders volgens Energiedecreet (solidarisering opkoopverplichting)</t>
  </si>
  <si>
    <t>Overzicht van aanvullende endogene termen:</t>
  </si>
  <si>
    <t>NAAM DNB</t>
  </si>
  <si>
    <t>Fiscaal niet-aftrekbare heffing volgens het Decreet houdende het Grootschalig Referentiebestand (+)</t>
  </si>
  <si>
    <t>TABEL 11: Fiscaal niet-aftrekbare heffing volgens het Decreet houdende het Grootschalig Referentiebestand</t>
  </si>
  <si>
    <t>Fiscaal niet-aftrekbare heffing volgens het Decreet houdende het Grootschalig Referentiebestand</t>
  </si>
  <si>
    <t>TABEL 12: Notionele intrestaftrek</t>
  </si>
  <si>
    <t>TABEL 13A: Afschrijvingen van de meerwaarde op basis van de historische indexatie (materiële vaste activa) - elektriciteit</t>
  </si>
  <si>
    <t>TABEL 13B: Afschrijvingen van de meerwaarde op basis van de iRAB (materiële vaste activa) - elektriciteit</t>
  </si>
  <si>
    <t>TABEL 13C: Afschrijvingen van de meerwaarde op basis van de historische indexatie (materiële vaste activa) - gas</t>
  </si>
  <si>
    <t>TABEL 13D: Afschrijvingen van de meerwaarde op basis van de iRAB (materiële vaste activa) - gas</t>
  </si>
  <si>
    <t>TABEL 14: Kapitaalkostvergoeding herwaarderingsmeerwaarden</t>
  </si>
  <si>
    <t>Tarief overige transmissie - gedeelte overige kWh-componenten</t>
  </si>
  <si>
    <t>In rekening te brengen afschrijvingen voor</t>
  </si>
  <si>
    <t>Afschrijvingen op herwaarderingsmeerwaarden</t>
  </si>
  <si>
    <t>Desinvesteringen (n.a.v. verkoop of structuurwijziging)</t>
  </si>
  <si>
    <t>Tarief overige transmissie - gedeelte toeslagen, excl ODV financiering GSC</t>
  </si>
  <si>
    <t>Tarief overige transmissie - gedeelte ODV financiering GSC</t>
  </si>
  <si>
    <t>E. Niet-recurrente bedrijfsopbrengsten</t>
  </si>
  <si>
    <t>76A</t>
  </si>
  <si>
    <t>70/76A</t>
  </si>
  <si>
    <t>A. Recurrente financiële opbrengsten</t>
  </si>
  <si>
    <t>B. Niet-recurrente financiële opbrengsten</t>
  </si>
  <si>
    <t>76B</t>
  </si>
  <si>
    <t>75/76B</t>
  </si>
  <si>
    <t>I. Niet-recurrente bedrijfskosten</t>
  </si>
  <si>
    <t>66A</t>
  </si>
  <si>
    <t>A. Recurrente financiële kosten</t>
  </si>
  <si>
    <t>B. Niet-recurrente financiële kosten</t>
  </si>
  <si>
    <t>66B</t>
  </si>
  <si>
    <t>65/66B</t>
  </si>
  <si>
    <t>60/66A</t>
  </si>
  <si>
    <t>Exogene kosten i.h.k.v. het basistarief voor het gebruik van het net</t>
  </si>
  <si>
    <t>Exogene kosten i.h.k.v. het tarief voor het systeembeheer</t>
  </si>
  <si>
    <t>Exogene kosten i.h.k.v. het tarief voor het databeheer</t>
  </si>
  <si>
    <t>Exogene kosten i.h.k.v. het tarief voor openbare dienstverplichtingen</t>
  </si>
  <si>
    <t>Exogene kosten i.h.k.v. transmissienetkosten</t>
  </si>
  <si>
    <t>Exogene kosten i.h.k.v. het tarief voor de regeling van de spanning en het reactief vermogen</t>
  </si>
  <si>
    <t>Exogene kosten i.h.k.v. het tarief voor de compensatie van de netverliezen</t>
  </si>
  <si>
    <t>Exogene kosten i.h.k.v. het tarief voor belastingen, heffingen, toeslagen, bijdragen en retributies</t>
  </si>
  <si>
    <t>M.B.T. DISTRIBUTIE</t>
  </si>
  <si>
    <t>M.B.T. TRANSMISSIE</t>
  </si>
  <si>
    <t>Enkel van toepassing voor de ex-ante rapportering inzake de gereguleerde activiteit elektriciteit voor het boekjaar 2022:</t>
  </si>
  <si>
    <t>[Toegevoegd bij beslissing van de VREG van 25 juni 2021]</t>
  </si>
  <si>
    <t>ex-ante</t>
  </si>
  <si>
    <t>Kosten m.b.t. financiering OCMW-recuperaties inzake de minimale levering aardgas</t>
  </si>
  <si>
    <t>Opbrengsten m.b.t. financiering OCMW-recuperaties inzake de minimale levering aardgas</t>
  </si>
  <si>
    <t>[Toegevoegd bij beslissing van de VREG van 8 oktober 2021]</t>
  </si>
  <si>
    <t>[Gewijzigd bij beslissing van de VREG van 8 oktober 2021]</t>
  </si>
  <si>
    <r>
      <t>[</t>
    </r>
    <r>
      <rPr>
        <i/>
        <sz val="10"/>
        <color theme="6" tint="-0.499984740745262"/>
        <rFont val="Arial"/>
        <family val="2"/>
      </rPr>
      <t>Toegevoegd bij beslissing van de VREG van 8 oktober 2021]</t>
    </r>
  </si>
  <si>
    <t>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</si>
</sst>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 &quot;€&quot;;\-#,##0.00\ &quot;€&quot;"/>
    <numFmt numFmtId="165" formatCode="_-* #,##0.00\ &quot;€&quot;_-;\-* #,##0.00\ &quot;€&quot;_-;_-* &quot;-&quot;??\ &quot;€&quot;_-;_-@_-"/>
    <numFmt numFmtId="166" formatCode="_-* #,##0.00\ _€_-;\-* #,##0.00\ _€_-;_-* &quot;-&quot;??\ _€_-;_-@_-"/>
    <numFmt numFmtId="167" formatCode="#,##0.00\ &quot;€&quot;"/>
    <numFmt numFmtId="168" formatCode="#,##0.0000"/>
    <numFmt numFmtId="169" formatCode="#,##0.00000"/>
    <numFmt numFmtId="170" formatCode="0.000%"/>
    <numFmt numFmtId="171" formatCode="#,##0.0000000000"/>
    <numFmt numFmtId="172" formatCode="0.0000%"/>
  </numFmts>
  <fonts count="98" x14ac:knownFonts="1">
    <font>
      <sz val="10"/>
      <name val="Arial"/>
      <family val="2"/>
    </font>
    <font>
      <sz val="11"/>
      <color theme="1"/>
      <name val="Calibri"/>
      <family val="2"/>
      <scheme val="minor"/>
    </font>
    <font>
      <sz val="11"/>
      <color indexed="8"/>
      <name val="Calibri"/>
      <family val="2"/>
    </font>
    <font>
      <sz val="10"/>
      <name val="Arial"/>
      <family val="2"/>
    </font>
    <font>
      <b/>
      <sz val="12"/>
      <name val="Arial"/>
      <family val="2"/>
    </font>
    <font>
      <b/>
      <u/>
      <sz val="10"/>
      <name val="Arial"/>
      <family val="2"/>
    </font>
    <font>
      <i/>
      <sz val="10"/>
      <name val="Arial"/>
      <family val="2"/>
    </font>
    <font>
      <b/>
      <sz val="10"/>
      <name val="Arial"/>
      <family val="2"/>
    </font>
    <font>
      <sz val="10"/>
      <color indexed="8"/>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u/>
      <sz val="14"/>
      <name val="Arial"/>
      <family val="2"/>
    </font>
    <font>
      <sz val="11"/>
      <name val="Arial"/>
      <family val="2"/>
    </font>
    <font>
      <b/>
      <sz val="11"/>
      <name val="Arial"/>
      <family val="2"/>
    </font>
    <font>
      <u/>
      <sz val="10"/>
      <color indexed="12"/>
      <name val="Arial"/>
      <family val="2"/>
    </font>
    <font>
      <b/>
      <i/>
      <sz val="10"/>
      <name val="Arial"/>
      <family val="2"/>
    </font>
    <font>
      <b/>
      <sz val="14"/>
      <name val="Arial"/>
      <family val="2"/>
    </font>
    <font>
      <b/>
      <sz val="8"/>
      <name val="Arial"/>
      <family val="2"/>
    </font>
    <font>
      <b/>
      <u/>
      <sz val="12"/>
      <name val="Arial"/>
      <family val="2"/>
    </font>
    <font>
      <b/>
      <sz val="13"/>
      <name val="Arial"/>
      <family val="2"/>
    </font>
    <font>
      <b/>
      <sz val="10"/>
      <color indexed="10"/>
      <name val="Arial"/>
      <family val="2"/>
    </font>
    <font>
      <i/>
      <sz val="9"/>
      <name val="Arial"/>
      <family val="2"/>
    </font>
    <font>
      <b/>
      <u/>
      <sz val="11"/>
      <name val="Arial"/>
      <family val="2"/>
    </font>
    <font>
      <sz val="12"/>
      <name val="Arial"/>
      <family val="2"/>
    </font>
    <font>
      <sz val="14"/>
      <name val="Arial"/>
      <family val="2"/>
    </font>
    <font>
      <sz val="8"/>
      <name val="Arial"/>
      <family val="2"/>
    </font>
    <font>
      <sz val="10"/>
      <name val="Arial"/>
      <family val="2"/>
    </font>
    <font>
      <sz val="10"/>
      <color indexed="8"/>
      <name val="MS Sans Serif"/>
      <family val="2"/>
    </font>
    <font>
      <sz val="9"/>
      <name val="Arial"/>
      <family val="2"/>
    </font>
    <font>
      <sz val="10"/>
      <name val="Tahoma"/>
      <family val="2"/>
    </font>
    <font>
      <sz val="10"/>
      <color indexed="8"/>
      <name val="Tahoma"/>
      <family val="2"/>
    </font>
    <font>
      <i/>
      <sz val="8"/>
      <name val="Arial"/>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u/>
      <sz val="8"/>
      <name val="Arial"/>
      <family val="2"/>
    </font>
    <font>
      <u/>
      <sz val="10"/>
      <name val="Arial"/>
      <family val="2"/>
    </font>
    <font>
      <sz val="10"/>
      <color indexed="12"/>
      <name val="Arial"/>
      <family val="2"/>
    </font>
    <font>
      <b/>
      <u/>
      <sz val="9"/>
      <name val="Arial"/>
      <family val="2"/>
    </font>
    <font>
      <b/>
      <sz val="18"/>
      <color indexed="62"/>
      <name val="Cambria"/>
      <family val="2"/>
    </font>
    <font>
      <b/>
      <vertAlign val="subscript"/>
      <sz val="10"/>
      <name val="Arial"/>
      <family val="2"/>
    </font>
    <font>
      <sz val="11"/>
      <color theme="1"/>
      <name val="Calibri"/>
      <family val="2"/>
      <scheme val="minor"/>
    </font>
    <font>
      <b/>
      <sz val="8"/>
      <color theme="4" tint="-0.249977111117893"/>
      <name val="Arial"/>
      <family val="2"/>
    </font>
    <font>
      <sz val="10"/>
      <color theme="4" tint="-0.249977111117893"/>
      <name val="Arial"/>
      <family val="2"/>
    </font>
    <font>
      <b/>
      <i/>
      <sz val="12"/>
      <color theme="4" tint="-0.249977111117893"/>
      <name val="Arial"/>
      <family val="2"/>
    </font>
    <font>
      <b/>
      <sz val="12"/>
      <color theme="4" tint="-0.249977111117893"/>
      <name val="Arial"/>
      <family val="2"/>
    </font>
    <font>
      <i/>
      <sz val="10"/>
      <color theme="4" tint="-0.249977111117893"/>
      <name val="Arial"/>
      <family val="2"/>
    </font>
    <font>
      <b/>
      <sz val="10"/>
      <color theme="4" tint="-0.249977111117893"/>
      <name val="Arial"/>
      <family val="2"/>
    </font>
    <font>
      <sz val="10"/>
      <color theme="0"/>
      <name val="Arial"/>
      <family val="2"/>
    </font>
    <font>
      <b/>
      <sz val="8"/>
      <color theme="0"/>
      <name val="Arial"/>
      <family val="2"/>
    </font>
    <font>
      <sz val="8"/>
      <color theme="0"/>
      <name val="Arial"/>
      <family val="2"/>
    </font>
    <font>
      <b/>
      <sz val="12"/>
      <color theme="0"/>
      <name val="Arial"/>
      <family val="2"/>
    </font>
    <font>
      <sz val="14"/>
      <color theme="0"/>
      <name val="Arial"/>
      <family val="2"/>
    </font>
    <font>
      <sz val="10"/>
      <color rgb="FF00B050"/>
      <name val="Arial"/>
      <family val="2"/>
    </font>
    <font>
      <b/>
      <sz val="10"/>
      <color rgb="FF00B050"/>
      <name val="Arial"/>
      <family val="2"/>
    </font>
    <font>
      <i/>
      <sz val="10"/>
      <color rgb="FF00B050"/>
      <name val="Arial"/>
      <family val="2"/>
    </font>
    <font>
      <i/>
      <sz val="10"/>
      <color theme="0"/>
      <name val="Arial"/>
      <family val="2"/>
    </font>
    <font>
      <b/>
      <sz val="8"/>
      <color rgb="FFFF0000"/>
      <name val="Arial"/>
      <family val="2"/>
    </font>
    <font>
      <sz val="10"/>
      <color rgb="FFFF0000"/>
      <name val="Arial"/>
      <family val="2"/>
    </font>
    <font>
      <b/>
      <sz val="14"/>
      <color rgb="FFFF0000"/>
      <name val="Arial"/>
      <family val="2"/>
    </font>
    <font>
      <sz val="10"/>
      <color theme="1"/>
      <name val="Arial"/>
      <family val="2"/>
    </font>
    <font>
      <b/>
      <u/>
      <sz val="12"/>
      <color rgb="FFFF0000"/>
      <name val="Arial"/>
      <family val="2"/>
    </font>
    <font>
      <b/>
      <u/>
      <sz val="11"/>
      <color rgb="FFFF0000"/>
      <name val="Arial"/>
      <family val="2"/>
    </font>
    <font>
      <b/>
      <sz val="12"/>
      <color rgb="FFFF0000"/>
      <name val="Arial"/>
      <family val="2"/>
    </font>
    <font>
      <i/>
      <sz val="10"/>
      <color rgb="FFFF0000"/>
      <name val="Arial"/>
      <family val="2"/>
    </font>
    <font>
      <b/>
      <sz val="10"/>
      <color indexed="12"/>
      <name val="Arial"/>
      <family val="2"/>
    </font>
    <font>
      <sz val="8"/>
      <color rgb="FFFF0000"/>
      <name val="Arial"/>
      <family val="2"/>
    </font>
    <font>
      <sz val="14"/>
      <color rgb="FFFF0000"/>
      <name val="Arial"/>
      <family val="2"/>
    </font>
    <font>
      <b/>
      <sz val="10"/>
      <color theme="0"/>
      <name val="Arial"/>
      <family val="2"/>
    </font>
    <font>
      <b/>
      <sz val="14"/>
      <color theme="0"/>
      <name val="Arial"/>
      <family val="2"/>
    </font>
    <font>
      <b/>
      <sz val="10"/>
      <color theme="1"/>
      <name val="Arial"/>
      <family val="2"/>
    </font>
    <font>
      <b/>
      <i/>
      <sz val="9"/>
      <name val="Arial"/>
      <family val="2"/>
    </font>
    <font>
      <b/>
      <sz val="20"/>
      <color theme="0"/>
      <name val="Arial"/>
      <family val="2"/>
    </font>
    <font>
      <u/>
      <sz val="10"/>
      <color theme="0" tint="-0.499984740745262"/>
      <name val="Arial"/>
      <family val="2"/>
    </font>
    <font>
      <sz val="10"/>
      <color theme="0" tint="-0.499984740745262"/>
      <name val="Arial"/>
      <family val="2"/>
    </font>
    <font>
      <b/>
      <u/>
      <sz val="10"/>
      <color theme="6" tint="-0.499984740745262"/>
      <name val="Arial"/>
      <family val="2"/>
    </font>
    <font>
      <sz val="10"/>
      <color theme="6" tint="-0.499984740745262"/>
      <name val="Arial"/>
      <family val="2"/>
    </font>
    <font>
      <b/>
      <sz val="10"/>
      <color theme="6" tint="-0.499984740745262"/>
      <name val="Arial"/>
      <family val="2"/>
    </font>
    <font>
      <b/>
      <i/>
      <sz val="10"/>
      <color theme="6" tint="-0.499984740745262"/>
      <name val="Arial"/>
      <family val="2"/>
    </font>
    <font>
      <i/>
      <sz val="10"/>
      <color theme="6" tint="-0.499984740745262"/>
      <name val="Arial"/>
      <family val="2"/>
    </font>
    <font>
      <b/>
      <sz val="12"/>
      <color theme="6" tint="-0.499984740745262"/>
      <name val="Arial"/>
      <family val="2"/>
    </font>
    <font>
      <i/>
      <sz val="9"/>
      <color theme="6" tint="-0.499984740745262"/>
      <name val="Arial"/>
      <family val="2"/>
    </font>
  </fonts>
  <fills count="42">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lightUp"/>
    </fill>
    <fill>
      <patternFill patternType="solid">
        <fgColor rgb="FFFFFFB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lightUp">
        <bgColor theme="0"/>
      </patternFill>
    </fill>
    <fill>
      <patternFill patternType="solid">
        <fgColor theme="3" tint="0.79995117038483843"/>
        <bgColor indexed="64"/>
      </patternFill>
    </fill>
    <fill>
      <patternFill patternType="solid">
        <fgColor rgb="FFFFFFCC"/>
        <bgColor indexed="64"/>
      </patternFill>
    </fill>
    <fill>
      <patternFill patternType="lightUp">
        <bgColor rgb="FFFFFFB3"/>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bottom/>
      <diagonal/>
    </border>
    <border>
      <left style="medium">
        <color indexed="64"/>
      </left>
      <right/>
      <top/>
      <bottom/>
      <diagonal/>
    </border>
    <border>
      <left/>
      <right/>
      <top/>
      <bottom style="medium">
        <color indexed="64"/>
      </bottom>
      <diagonal/>
    </border>
    <border>
      <left style="double">
        <color indexed="64"/>
      </left>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right/>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style="thin">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medium">
        <color indexed="64"/>
      </right>
      <top style="medium">
        <color indexed="64"/>
      </top>
      <bottom style="thin">
        <color indexed="64"/>
      </bottom>
      <diagonal/>
    </border>
  </borders>
  <cellStyleXfs count="195">
    <xf numFmtId="0" fontId="0" fillId="0" borderId="0"/>
    <xf numFmtId="0" fontId="3" fillId="0" borderId="0"/>
    <xf numFmtId="0" fontId="45" fillId="2" borderId="0" applyNumberFormat="0" applyBorder="0" applyAlignment="0" applyProtection="0"/>
    <xf numFmtId="0" fontId="36" fillId="12" borderId="1" applyNumberFormat="0" applyAlignment="0" applyProtection="0"/>
    <xf numFmtId="0" fontId="37" fillId="13" borderId="2" applyNumberFormat="0" applyAlignment="0" applyProtection="0"/>
    <xf numFmtId="166" fontId="3" fillId="0" borderId="0" applyFont="0" applyFill="0" applyBorder="0" applyAlignment="0" applyProtection="0"/>
    <xf numFmtId="165" fontId="3" fillId="0" borderId="0" applyFont="0" applyFill="0" applyBorder="0" applyAlignment="0" applyProtection="0"/>
    <xf numFmtId="0" fontId="49" fillId="0" borderId="0" applyNumberFormat="0" applyFill="0" applyBorder="0" applyAlignment="0" applyProtection="0"/>
    <xf numFmtId="0" fontId="39" fillId="3" borderId="0" applyNumberFormat="0" applyBorder="0" applyAlignment="0" applyProtection="0"/>
    <xf numFmtId="0" fontId="41" fillId="0" borderId="4" applyNumberFormat="0" applyFill="0" applyAlignment="0" applyProtection="0"/>
    <xf numFmtId="0" fontId="42" fillId="0" borderId="5" applyNumberFormat="0" applyFill="0" applyAlignment="0" applyProtection="0"/>
    <xf numFmtId="0" fontId="43" fillId="0" borderId="6" applyNumberFormat="0" applyFill="0" applyAlignment="0" applyProtection="0"/>
    <xf numFmtId="0" fontId="43" fillId="0" borderId="0" applyNumberFormat="0" applyFill="0" applyBorder="0" applyAlignment="0" applyProtection="0"/>
    <xf numFmtId="0" fontId="18" fillId="0" borderId="0" applyNumberFormat="0" applyFill="0" applyBorder="0" applyAlignment="0" applyProtection="0">
      <alignment vertical="top"/>
      <protection locked="0"/>
    </xf>
    <xf numFmtId="0" fontId="40" fillId="4" borderId="1"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38" fillId="0" borderId="3" applyNumberFormat="0" applyFill="0" applyAlignment="0" applyProtection="0"/>
    <xf numFmtId="166" fontId="3" fillId="0" borderId="0" applyFont="0" applyFill="0" applyBorder="0" applyAlignment="0" applyProtection="0"/>
    <xf numFmtId="166" fontId="57" fillId="0" borderId="0" applyFont="0" applyFill="0" applyBorder="0" applyAlignment="0" applyProtection="0"/>
    <xf numFmtId="166" fontId="3" fillId="0" borderId="0" applyFont="0" applyFill="0" applyBorder="0" applyAlignment="0" applyProtection="0"/>
    <xf numFmtId="0" fontId="44" fillId="14" borderId="0" applyNumberFormat="0" applyBorder="0" applyAlignment="0" applyProtection="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15" borderId="7" applyNumberFormat="0" applyFont="0" applyAlignment="0" applyProtection="0"/>
    <xf numFmtId="0" fontId="48" fillId="12"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4" fontId="9" fillId="14" borderId="9" applyNumberFormat="0" applyProtection="0">
      <alignment vertical="center"/>
    </xf>
    <xf numFmtId="4" fontId="10" fillId="16" borderId="9" applyNumberFormat="0" applyProtection="0">
      <alignment vertical="center"/>
    </xf>
    <xf numFmtId="4" fontId="9" fillId="16" borderId="9" applyNumberFormat="0" applyProtection="0">
      <alignment horizontal="left" vertical="center" indent="1"/>
    </xf>
    <xf numFmtId="0" fontId="9" fillId="16" borderId="9" applyNumberFormat="0" applyProtection="0">
      <alignment horizontal="left" vertical="top" indent="1"/>
    </xf>
    <xf numFmtId="4" fontId="9" fillId="17" borderId="0" applyNumberFormat="0" applyProtection="0">
      <alignment horizontal="left" vertical="center" indent="1"/>
    </xf>
    <xf numFmtId="4" fontId="9" fillId="18" borderId="0" applyNumberFormat="0" applyProtection="0">
      <alignment horizontal="left" vertical="center" indent="1"/>
    </xf>
    <xf numFmtId="4" fontId="8" fillId="2" borderId="9" applyNumberFormat="0" applyProtection="0">
      <alignment horizontal="right" vertical="center"/>
    </xf>
    <xf numFmtId="4" fontId="8" fillId="5" borderId="9" applyNumberFormat="0" applyProtection="0">
      <alignment horizontal="right" vertical="center"/>
    </xf>
    <xf numFmtId="4" fontId="8" fillId="9" borderId="9" applyNumberFormat="0" applyProtection="0">
      <alignment horizontal="right" vertical="center"/>
    </xf>
    <xf numFmtId="4" fontId="8" fillId="7" borderId="9" applyNumberFormat="0" applyProtection="0">
      <alignment horizontal="right" vertical="center"/>
    </xf>
    <xf numFmtId="4" fontId="8" fillId="8" borderId="9" applyNumberFormat="0" applyProtection="0">
      <alignment horizontal="right" vertical="center"/>
    </xf>
    <xf numFmtId="4" fontId="8" fillId="11" borderId="9" applyNumberFormat="0" applyProtection="0">
      <alignment horizontal="right" vertical="center"/>
    </xf>
    <xf numFmtId="4" fontId="8" fillId="10" borderId="9" applyNumberFormat="0" applyProtection="0">
      <alignment horizontal="right" vertical="center"/>
    </xf>
    <xf numFmtId="4" fontId="8" fillId="19" borderId="9" applyNumberFormat="0" applyProtection="0">
      <alignment horizontal="right" vertical="center"/>
    </xf>
    <xf numFmtId="4" fontId="8" fillId="6" borderId="9" applyNumberFormat="0" applyProtection="0">
      <alignment horizontal="right" vertical="center"/>
    </xf>
    <xf numFmtId="4" fontId="9" fillId="20" borderId="10" applyNumberFormat="0" applyProtection="0">
      <alignment horizontal="left" vertical="center" indent="1"/>
    </xf>
    <xf numFmtId="4" fontId="8" fillId="21" borderId="0" applyNumberFormat="0" applyProtection="0">
      <alignment horizontal="left" vertical="center" indent="1"/>
    </xf>
    <xf numFmtId="4" fontId="11" fillId="22" borderId="0" applyNumberFormat="0" applyProtection="0">
      <alignment horizontal="left" vertical="center" indent="1"/>
    </xf>
    <xf numFmtId="4" fontId="8" fillId="18" borderId="9" applyNumberFormat="0" applyProtection="0">
      <alignment horizontal="right" vertical="center"/>
    </xf>
    <xf numFmtId="4" fontId="8" fillId="21" borderId="0" applyNumberFormat="0" applyProtection="0">
      <alignment horizontal="left" vertical="center" indent="1"/>
    </xf>
    <xf numFmtId="4" fontId="8" fillId="17" borderId="0" applyNumberFormat="0" applyProtection="0">
      <alignment horizontal="left" vertical="center" indent="1"/>
    </xf>
    <xf numFmtId="0" fontId="3" fillId="22" borderId="9" applyNumberFormat="0" applyProtection="0">
      <alignment horizontal="left" vertical="center" indent="1"/>
    </xf>
    <xf numFmtId="0" fontId="3" fillId="22" borderId="9" applyNumberFormat="0" applyProtection="0">
      <alignment horizontal="left" vertical="top" indent="1"/>
    </xf>
    <xf numFmtId="0" fontId="3" fillId="17" borderId="9" applyNumberFormat="0" applyProtection="0">
      <alignment horizontal="left" vertical="center" indent="1"/>
    </xf>
    <xf numFmtId="0" fontId="3" fillId="17" borderId="9" applyNumberFormat="0" applyProtection="0">
      <alignment horizontal="left" vertical="top" indent="1"/>
    </xf>
    <xf numFmtId="0" fontId="3" fillId="23" borderId="9" applyNumberFormat="0" applyProtection="0">
      <alignment horizontal="left" vertical="center" indent="1"/>
    </xf>
    <xf numFmtId="0" fontId="3" fillId="23" borderId="9" applyNumberFormat="0" applyProtection="0">
      <alignment horizontal="left" vertical="top" indent="1"/>
    </xf>
    <xf numFmtId="0" fontId="3" fillId="24" borderId="9" applyNumberFormat="0" applyProtection="0">
      <alignment horizontal="left" vertical="center" indent="1"/>
    </xf>
    <xf numFmtId="0" fontId="3" fillId="24" borderId="9" applyNumberFormat="0" applyProtection="0">
      <alignment horizontal="left" vertical="top" indent="1"/>
    </xf>
    <xf numFmtId="0" fontId="3" fillId="25" borderId="11" applyNumberFormat="0">
      <protection locked="0"/>
    </xf>
    <xf numFmtId="4" fontId="8" fillId="26" borderId="9" applyNumberFormat="0" applyProtection="0">
      <alignment vertical="center"/>
    </xf>
    <xf numFmtId="4" fontId="12" fillId="26" borderId="9" applyNumberFormat="0" applyProtection="0">
      <alignment vertical="center"/>
    </xf>
    <xf numFmtId="4" fontId="8" fillId="26" borderId="9" applyNumberFormat="0" applyProtection="0">
      <alignment horizontal="left" vertical="center" indent="1"/>
    </xf>
    <xf numFmtId="0" fontId="8" fillId="26" borderId="9" applyNumberFormat="0" applyProtection="0">
      <alignment horizontal="left" vertical="top" indent="1"/>
    </xf>
    <xf numFmtId="4" fontId="8" fillId="21" borderId="9" applyNumberFormat="0" applyProtection="0">
      <alignment horizontal="right" vertical="center"/>
    </xf>
    <xf numFmtId="4" fontId="12" fillId="21" borderId="9" applyNumberFormat="0" applyProtection="0">
      <alignment horizontal="right" vertical="center"/>
    </xf>
    <xf numFmtId="4" fontId="8" fillId="18" borderId="9" applyNumberFormat="0" applyProtection="0">
      <alignment horizontal="left" vertical="center" indent="1"/>
    </xf>
    <xf numFmtId="4" fontId="8" fillId="18" borderId="9" applyNumberFormat="0" applyProtection="0">
      <alignment horizontal="left" vertical="center" indent="1"/>
    </xf>
    <xf numFmtId="0" fontId="8" fillId="17" borderId="9" applyNumberFormat="0" applyProtection="0">
      <alignment horizontal="left" vertical="top" indent="1"/>
    </xf>
    <xf numFmtId="4" fontId="13" fillId="27" borderId="0" applyNumberFormat="0" applyProtection="0">
      <alignment horizontal="left" vertical="center" indent="1"/>
    </xf>
    <xf numFmtId="4" fontId="14" fillId="21" borderId="9" applyNumberFormat="0" applyProtection="0">
      <alignment horizontal="right" vertical="center"/>
    </xf>
    <xf numFmtId="0" fontId="55" fillId="0" borderId="0" applyNumberFormat="0" applyFill="0" applyBorder="0" applyAlignment="0" applyProtection="0"/>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xf numFmtId="0" fontId="57" fillId="0" borderId="0"/>
    <xf numFmtId="0" fontId="3" fillId="0" borderId="0">
      <alignment vertical="top"/>
    </xf>
    <xf numFmtId="0" fontId="2" fillId="0" borderId="0"/>
    <xf numFmtId="0" fontId="3" fillId="0" borderId="0">
      <alignment vertical="top"/>
    </xf>
    <xf numFmtId="0" fontId="3" fillId="0" borderId="0">
      <alignment vertical="top"/>
    </xf>
    <xf numFmtId="0" fontId="30" fillId="0" borderId="0"/>
    <xf numFmtId="0" fontId="3" fillId="0" borderId="0"/>
    <xf numFmtId="0" fontId="3" fillId="0" borderId="0"/>
    <xf numFmtId="0" fontId="31" fillId="0" borderId="0"/>
    <xf numFmtId="0" fontId="3" fillId="0" borderId="0"/>
    <xf numFmtId="0" fontId="3" fillId="0" borderId="0"/>
    <xf numFmtId="0" fontId="8" fillId="0" borderId="0">
      <alignment vertical="top"/>
    </xf>
    <xf numFmtId="0" fontId="8" fillId="0" borderId="0">
      <alignment vertical="top"/>
    </xf>
    <xf numFmtId="0" fontId="46" fillId="0" borderId="0" applyNumberFormat="0" applyFill="0" applyBorder="0" applyAlignment="0" applyProtection="0"/>
    <xf numFmtId="0" fontId="47" fillId="0" borderId="12" applyNumberFormat="0" applyFill="0" applyAlignment="0" applyProtection="0"/>
    <xf numFmtId="165" fontId="3" fillId="0" borderId="0" applyFont="0" applyFill="0" applyBorder="0" applyAlignment="0" applyProtection="0"/>
    <xf numFmtId="0" fontId="50" fillId="0" borderId="0" applyNumberFormat="0" applyFill="0" applyBorder="0" applyAlignment="0" applyProtection="0"/>
    <xf numFmtId="165" fontId="3" fillId="0" borderId="0" applyFont="0" applyFill="0" applyBorder="0" applyAlignment="0" applyProtection="0"/>
  </cellStyleXfs>
  <cellXfs count="1233">
    <xf numFmtId="0" fontId="0" fillId="0" borderId="0" xfId="0"/>
    <xf numFmtId="0" fontId="18" fillId="32" borderId="0" xfId="13" applyFill="1" applyAlignment="1" applyProtection="1"/>
    <xf numFmtId="0" fontId="18" fillId="0" borderId="11" xfId="13" applyBorder="1" applyAlignment="1" applyProtection="1">
      <alignment horizontal="center" vertical="center"/>
    </xf>
    <xf numFmtId="0" fontId="3" fillId="0" borderId="0" xfId="171" applyFont="1" applyFill="1" applyProtection="1"/>
    <xf numFmtId="0" fontId="7" fillId="0" borderId="0" xfId="171" applyFont="1" applyFill="1" applyProtection="1"/>
    <xf numFmtId="0" fontId="7" fillId="0" borderId="0" xfId="171" applyFont="1" applyFill="1" applyAlignment="1" applyProtection="1">
      <alignment horizontal="center"/>
    </xf>
    <xf numFmtId="0" fontId="5" fillId="0" borderId="0" xfId="171" applyFont="1" applyFill="1" applyAlignment="1" applyProtection="1">
      <alignment horizontal="center"/>
    </xf>
    <xf numFmtId="0" fontId="3" fillId="32" borderId="0" xfId="171" applyFont="1" applyFill="1" applyProtection="1"/>
    <xf numFmtId="0" fontId="7" fillId="32" borderId="0" xfId="171" applyFont="1" applyFill="1" applyProtection="1"/>
    <xf numFmtId="165" fontId="3" fillId="32" borderId="15" xfId="192" applyFont="1" applyFill="1" applyBorder="1" applyAlignment="1" applyProtection="1">
      <alignment horizontal="center"/>
    </xf>
    <xf numFmtId="0" fontId="7" fillId="32" borderId="0" xfId="0" applyFont="1" applyFill="1" applyProtection="1"/>
    <xf numFmtId="0" fontId="5" fillId="0" borderId="0" xfId="171" applyFont="1" applyFill="1" applyProtection="1"/>
    <xf numFmtId="0" fontId="0" fillId="32" borderId="0" xfId="0" applyFill="1" applyProtection="1"/>
    <xf numFmtId="0" fontId="0" fillId="32" borderId="0" xfId="0" applyFill="1" applyBorder="1" applyProtection="1"/>
    <xf numFmtId="0" fontId="7" fillId="0" borderId="0" xfId="171" applyFont="1" applyFill="1" applyAlignment="1" applyProtection="1">
      <alignment horizontal="left"/>
    </xf>
    <xf numFmtId="0" fontId="3" fillId="0" borderId="0" xfId="171" applyFont="1" applyFill="1" applyAlignment="1" applyProtection="1">
      <alignment horizontal="left"/>
    </xf>
    <xf numFmtId="0" fontId="16" fillId="0" borderId="0" xfId="171" applyFont="1" applyAlignment="1" applyProtection="1"/>
    <xf numFmtId="0" fontId="3" fillId="0" borderId="0" xfId="171" applyFont="1" applyAlignment="1" applyProtection="1"/>
    <xf numFmtId="0" fontId="3" fillId="0" borderId="0" xfId="171" applyNumberFormat="1" applyFont="1" applyAlignment="1" applyProtection="1"/>
    <xf numFmtId="0" fontId="3" fillId="0" borderId="0" xfId="1" applyFont="1" applyProtection="1"/>
    <xf numFmtId="0" fontId="33" fillId="16" borderId="11" xfId="185" applyFont="1" applyFill="1" applyBorder="1" applyProtection="1"/>
    <xf numFmtId="0" fontId="33" fillId="0" borderId="0" xfId="171" applyFont="1" applyFill="1" applyProtection="1"/>
    <xf numFmtId="0" fontId="0" fillId="0" borderId="0" xfId="171" applyFont="1" applyAlignment="1" applyProtection="1"/>
    <xf numFmtId="0" fontId="33" fillId="28" borderId="0" xfId="185" applyFont="1" applyFill="1" applyBorder="1" applyProtection="1"/>
    <xf numFmtId="0" fontId="33" fillId="32" borderId="11" xfId="185" applyFont="1" applyFill="1" applyBorder="1" applyAlignment="1" applyProtection="1">
      <alignment horizontal="left" vertical="top" wrapText="1"/>
    </xf>
    <xf numFmtId="0" fontId="33" fillId="32" borderId="0" xfId="171" applyFont="1" applyFill="1" applyBorder="1" applyProtection="1"/>
    <xf numFmtId="0" fontId="33" fillId="0" borderId="0" xfId="171" applyFont="1" applyFill="1" applyAlignment="1" applyProtection="1"/>
    <xf numFmtId="0" fontId="34" fillId="28" borderId="0" xfId="185" applyFont="1" applyFill="1" applyBorder="1" applyProtection="1"/>
    <xf numFmtId="0" fontId="33" fillId="34" borderId="11" xfId="185" applyFont="1" applyFill="1" applyBorder="1" applyProtection="1"/>
    <xf numFmtId="0" fontId="33" fillId="0" borderId="0" xfId="1" applyFont="1" applyProtection="1"/>
    <xf numFmtId="0" fontId="33" fillId="35" borderId="11" xfId="185" applyFont="1" applyFill="1" applyBorder="1" applyAlignment="1" applyProtection="1">
      <alignment horizontal="left" vertical="top" wrapText="1"/>
    </xf>
    <xf numFmtId="0" fontId="33" fillId="0" borderId="0" xfId="171" applyFont="1" applyFill="1" applyAlignment="1" applyProtection="1">
      <alignment vertical="top"/>
    </xf>
    <xf numFmtId="0" fontId="3" fillId="0" borderId="0" xfId="171" applyFont="1" applyFill="1" applyAlignment="1" applyProtection="1">
      <alignment vertical="top"/>
    </xf>
    <xf numFmtId="0" fontId="0" fillId="0" borderId="0" xfId="171" applyFont="1" applyFill="1" applyProtection="1"/>
    <xf numFmtId="0" fontId="20" fillId="32" borderId="0" xfId="186" applyFont="1" applyFill="1" applyProtection="1"/>
    <xf numFmtId="0" fontId="20" fillId="32" borderId="0" xfId="186" applyFont="1" applyFill="1" applyAlignment="1" applyProtection="1">
      <alignment horizontal="center"/>
    </xf>
    <xf numFmtId="0" fontId="0" fillId="32" borderId="0" xfId="0" applyFill="1" applyAlignment="1" applyProtection="1">
      <alignment vertical="top"/>
    </xf>
    <xf numFmtId="0" fontId="5" fillId="32" borderId="0" xfId="0" applyFont="1" applyFill="1" applyAlignment="1" applyProtection="1">
      <alignment vertical="top" wrapText="1"/>
    </xf>
    <xf numFmtId="0" fontId="0" fillId="32" borderId="0" xfId="0" applyFill="1" applyAlignment="1" applyProtection="1">
      <alignment horizontal="center" vertical="top"/>
    </xf>
    <xf numFmtId="0" fontId="6" fillId="32" borderId="0" xfId="0" applyFont="1" applyFill="1" applyAlignment="1" applyProtection="1">
      <alignment vertical="top"/>
    </xf>
    <xf numFmtId="0" fontId="7" fillId="32" borderId="0" xfId="186" applyFont="1" applyFill="1" applyProtection="1"/>
    <xf numFmtId="0" fontId="7" fillId="32" borderId="0" xfId="186" applyFont="1" applyFill="1" applyAlignment="1" applyProtection="1">
      <alignment horizontal="center"/>
    </xf>
    <xf numFmtId="0" fontId="3" fillId="32" borderId="0" xfId="186" applyFont="1" applyFill="1" applyProtection="1"/>
    <xf numFmtId="0" fontId="3" fillId="32" borderId="0" xfId="186" applyFont="1" applyFill="1" applyAlignment="1" applyProtection="1">
      <alignment horizontal="center"/>
    </xf>
    <xf numFmtId="4" fontId="32" fillId="32" borderId="0" xfId="186" applyNumberFormat="1" applyFont="1" applyFill="1" applyBorder="1" applyProtection="1"/>
    <xf numFmtId="4" fontId="5" fillId="32" borderId="16"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xf>
    <xf numFmtId="4" fontId="5" fillId="32" borderId="17" xfId="186" applyNumberFormat="1" applyFont="1" applyFill="1" applyBorder="1" applyAlignment="1" applyProtection="1">
      <alignment horizontal="center"/>
    </xf>
    <xf numFmtId="4" fontId="7" fillId="32" borderId="18" xfId="186" applyNumberFormat="1" applyFont="1" applyFill="1" applyBorder="1" applyAlignment="1" applyProtection="1">
      <alignment horizontal="center" vertical="center" wrapText="1"/>
    </xf>
    <xf numFmtId="4" fontId="7" fillId="32" borderId="18" xfId="186" applyNumberFormat="1" applyFont="1" applyFill="1" applyBorder="1" applyAlignment="1" applyProtection="1">
      <alignment horizontal="center" vertical="center"/>
    </xf>
    <xf numFmtId="4" fontId="7" fillId="32" borderId="17" xfId="186" applyNumberFormat="1" applyFont="1" applyFill="1" applyBorder="1" applyAlignment="1" applyProtection="1">
      <alignment horizontal="center" vertical="center"/>
    </xf>
    <xf numFmtId="4" fontId="3" fillId="32" borderId="16" xfId="186" applyNumberFormat="1" applyFont="1" applyFill="1" applyBorder="1" applyProtection="1"/>
    <xf numFmtId="4" fontId="3" fillId="32" borderId="0" xfId="186" applyNumberFormat="1" applyFont="1" applyFill="1" applyBorder="1" applyProtection="1"/>
    <xf numFmtId="4" fontId="3" fillId="32" borderId="17" xfId="186" applyNumberFormat="1" applyFont="1" applyFill="1" applyBorder="1" applyProtection="1"/>
    <xf numFmtId="4" fontId="5" fillId="32" borderId="16" xfId="186" applyNumberFormat="1" applyFont="1" applyFill="1" applyBorder="1" applyAlignment="1" applyProtection="1">
      <alignment horizontal="left" vertical="center"/>
    </xf>
    <xf numFmtId="4" fontId="5" fillId="32" borderId="0" xfId="186" applyNumberFormat="1" applyFont="1" applyFill="1" applyBorder="1" applyAlignment="1" applyProtection="1">
      <alignment vertical="center"/>
    </xf>
    <xf numFmtId="0" fontId="5" fillId="32" borderId="17" xfId="186" applyNumberFormat="1" applyFont="1" applyFill="1" applyBorder="1" applyAlignment="1" applyProtection="1">
      <alignment horizontal="center" vertical="center"/>
    </xf>
    <xf numFmtId="4" fontId="32" fillId="32" borderId="0" xfId="186" applyNumberFormat="1" applyFont="1" applyFill="1" applyBorder="1" applyAlignment="1" applyProtection="1">
      <alignment vertical="center"/>
    </xf>
    <xf numFmtId="4" fontId="3" fillId="32" borderId="16" xfId="186" applyNumberFormat="1" applyFont="1" applyFill="1" applyBorder="1" applyAlignment="1" applyProtection="1">
      <alignment horizontal="left" vertical="center"/>
    </xf>
    <xf numFmtId="4" fontId="3" fillId="32" borderId="0" xfId="186" applyNumberFormat="1" applyFont="1" applyFill="1" applyBorder="1" applyAlignment="1" applyProtection="1">
      <alignment vertical="center"/>
    </xf>
    <xf numFmtId="0" fontId="3" fillId="32" borderId="17" xfId="186" applyNumberFormat="1" applyFont="1" applyFill="1" applyBorder="1" applyAlignment="1" applyProtection="1">
      <alignment horizontal="center" vertical="center"/>
    </xf>
    <xf numFmtId="4" fontId="3" fillId="32" borderId="16" xfId="186" applyNumberFormat="1" applyFont="1" applyFill="1" applyBorder="1" applyAlignment="1" applyProtection="1">
      <alignment vertical="center"/>
    </xf>
    <xf numFmtId="4" fontId="3" fillId="32" borderId="0" xfId="186" applyNumberFormat="1" applyFont="1" applyFill="1" applyBorder="1" applyAlignment="1" applyProtection="1">
      <alignment horizontal="left" vertical="center"/>
    </xf>
    <xf numFmtId="4" fontId="5" fillId="32" borderId="16" xfId="186" applyNumberFormat="1" applyFont="1" applyFill="1" applyBorder="1" applyAlignment="1" applyProtection="1">
      <alignment vertical="center"/>
    </xf>
    <xf numFmtId="4" fontId="5" fillId="32" borderId="0" xfId="186" applyNumberFormat="1" applyFont="1" applyFill="1" applyBorder="1" applyAlignment="1" applyProtection="1">
      <alignment horizontal="left" vertical="center"/>
    </xf>
    <xf numFmtId="4" fontId="6" fillId="32" borderId="16" xfId="186" applyNumberFormat="1" applyFont="1" applyFill="1" applyBorder="1" applyAlignment="1" applyProtection="1">
      <alignment vertical="center"/>
    </xf>
    <xf numFmtId="4" fontId="6" fillId="32" borderId="0" xfId="186" applyNumberFormat="1" applyFont="1" applyFill="1" applyBorder="1" applyAlignment="1" applyProtection="1">
      <alignment horizontal="left" vertical="center"/>
    </xf>
    <xf numFmtId="4" fontId="6" fillId="32" borderId="0" xfId="186" applyNumberFormat="1" applyFont="1" applyFill="1" applyBorder="1" applyAlignment="1" applyProtection="1">
      <alignment vertical="center"/>
    </xf>
    <xf numFmtId="0" fontId="6" fillId="32" borderId="17" xfId="186" applyNumberFormat="1" applyFont="1" applyFill="1" applyBorder="1" applyAlignment="1" applyProtection="1">
      <alignment horizontal="center" vertical="center"/>
    </xf>
    <xf numFmtId="4" fontId="4" fillId="32" borderId="16" xfId="186" applyNumberFormat="1" applyFont="1" applyFill="1" applyBorder="1" applyAlignment="1" applyProtection="1">
      <alignment horizontal="right" vertical="center"/>
    </xf>
    <xf numFmtId="4" fontId="4" fillId="32" borderId="0" xfId="0" applyNumberFormat="1" applyFont="1" applyFill="1" applyBorder="1" applyAlignment="1" applyProtection="1">
      <alignment horizontal="right" vertical="center"/>
    </xf>
    <xf numFmtId="4" fontId="4" fillId="32" borderId="19" xfId="0" applyNumberFormat="1" applyFont="1" applyFill="1" applyBorder="1" applyAlignment="1" applyProtection="1">
      <alignment horizontal="right" vertical="center"/>
    </xf>
    <xf numFmtId="0" fontId="4" fillId="32" borderId="20" xfId="186" applyNumberFormat="1" applyFont="1" applyFill="1" applyBorder="1" applyAlignment="1" applyProtection="1">
      <alignment horizontal="center" vertical="center"/>
    </xf>
    <xf numFmtId="4" fontId="17" fillId="32" borderId="16" xfId="0" applyNumberFormat="1" applyFont="1" applyFill="1" applyBorder="1" applyAlignment="1" applyProtection="1">
      <alignment horizontal="right" vertical="center"/>
    </xf>
    <xf numFmtId="4" fontId="17" fillId="32" borderId="0" xfId="0" applyNumberFormat="1" applyFont="1" applyFill="1" applyBorder="1" applyAlignment="1" applyProtection="1">
      <alignment horizontal="right" vertical="center"/>
    </xf>
    <xf numFmtId="4" fontId="17" fillId="32" borderId="19" xfId="0" applyNumberFormat="1" applyFont="1" applyFill="1" applyBorder="1" applyAlignment="1" applyProtection="1">
      <alignment horizontal="right" vertical="center"/>
    </xf>
    <xf numFmtId="0" fontId="17" fillId="32" borderId="17" xfId="0" applyNumberFormat="1" applyFont="1" applyFill="1" applyBorder="1" applyAlignment="1" applyProtection="1">
      <alignment horizontal="center" vertical="center"/>
    </xf>
    <xf numFmtId="4" fontId="4" fillId="32" borderId="21" xfId="0" applyNumberFormat="1" applyFont="1" applyFill="1" applyBorder="1" applyAlignment="1" applyProtection="1">
      <alignment horizontal="right" vertical="center"/>
    </xf>
    <xf numFmtId="4" fontId="4" fillId="32" borderId="22" xfId="0" applyNumberFormat="1" applyFont="1" applyFill="1" applyBorder="1" applyAlignment="1" applyProtection="1">
      <alignment horizontal="right" vertical="center"/>
    </xf>
    <xf numFmtId="4" fontId="4" fillId="32" borderId="23" xfId="0" applyNumberFormat="1" applyFont="1" applyFill="1" applyBorder="1" applyAlignment="1" applyProtection="1">
      <alignment horizontal="right" vertical="center"/>
    </xf>
    <xf numFmtId="0" fontId="4" fillId="32" borderId="24" xfId="0" applyNumberFormat="1" applyFont="1" applyFill="1" applyBorder="1" applyAlignment="1" applyProtection="1">
      <alignment horizontal="center" vertical="center"/>
    </xf>
    <xf numFmtId="167" fontId="4" fillId="32" borderId="24" xfId="0" applyNumberFormat="1" applyFont="1" applyFill="1" applyBorder="1" applyAlignment="1" applyProtection="1">
      <alignment vertical="center"/>
    </xf>
    <xf numFmtId="4" fontId="7" fillId="32" borderId="0" xfId="186" applyNumberFormat="1" applyFont="1" applyFill="1" applyBorder="1" applyAlignment="1" applyProtection="1"/>
    <xf numFmtId="4" fontId="3" fillId="32" borderId="0" xfId="186" applyNumberFormat="1" applyFont="1" applyFill="1" applyProtection="1"/>
    <xf numFmtId="0" fontId="3" fillId="32" borderId="0" xfId="186" applyNumberFormat="1" applyFont="1" applyFill="1" applyAlignment="1" applyProtection="1">
      <alignment horizontal="center"/>
    </xf>
    <xf numFmtId="4" fontId="7" fillId="32" borderId="0" xfId="186" applyNumberFormat="1" applyFont="1" applyFill="1" applyProtection="1"/>
    <xf numFmtId="4" fontId="3" fillId="32" borderId="0" xfId="186" applyNumberFormat="1" applyFont="1" applyFill="1" applyAlignment="1" applyProtection="1">
      <alignment vertical="center"/>
    </xf>
    <xf numFmtId="4" fontId="3" fillId="32" borderId="0" xfId="186" applyNumberFormat="1" applyFont="1" applyFill="1" applyAlignment="1" applyProtection="1">
      <alignment horizontal="center" vertical="center"/>
    </xf>
    <xf numFmtId="167" fontId="3" fillId="32" borderId="0" xfId="186" applyNumberFormat="1" applyFont="1" applyFill="1" applyAlignment="1" applyProtection="1">
      <alignment vertical="center"/>
    </xf>
    <xf numFmtId="4" fontId="19" fillId="32" borderId="0" xfId="186" quotePrefix="1" applyNumberFormat="1" applyFont="1" applyFill="1" applyAlignment="1" applyProtection="1">
      <alignment vertical="center"/>
    </xf>
    <xf numFmtId="4" fontId="3" fillId="32" borderId="0" xfId="186" applyNumberFormat="1" applyFont="1" applyFill="1" applyAlignment="1" applyProtection="1">
      <alignment horizontal="center"/>
    </xf>
    <xf numFmtId="0" fontId="25" fillId="32" borderId="0" xfId="30" applyFont="1" applyFill="1" applyProtection="1"/>
    <xf numFmtId="0" fontId="3" fillId="32" borderId="11" xfId="30" applyFont="1" applyFill="1" applyBorder="1" applyAlignment="1" applyProtection="1">
      <alignment horizontal="center" vertical="center"/>
    </xf>
    <xf numFmtId="0" fontId="7" fillId="0" borderId="0" xfId="174" applyFont="1" applyFill="1" applyAlignment="1" applyProtection="1">
      <alignment horizontal="right" vertical="center"/>
    </xf>
    <xf numFmtId="0" fontId="21" fillId="0" borderId="0" xfId="174" applyFont="1" applyFill="1" applyAlignment="1" applyProtection="1">
      <alignment horizontal="right" vertical="center"/>
    </xf>
    <xf numFmtId="0" fontId="3" fillId="0" borderId="0" xfId="174" applyFont="1" applyFill="1" applyAlignment="1" applyProtection="1">
      <alignment vertical="center"/>
    </xf>
    <xf numFmtId="0" fontId="3" fillId="0" borderId="45" xfId="174" applyFont="1" applyFill="1" applyBorder="1" applyAlignment="1" applyProtection="1">
      <alignment vertical="center"/>
    </xf>
    <xf numFmtId="0" fontId="21" fillId="32" borderId="0" xfId="184" applyFont="1" applyFill="1" applyAlignment="1" applyProtection="1">
      <alignment vertical="center"/>
    </xf>
    <xf numFmtId="0" fontId="7" fillId="32" borderId="41" xfId="184" applyFont="1" applyFill="1" applyBorder="1" applyAlignment="1" applyProtection="1">
      <alignment vertical="center"/>
    </xf>
    <xf numFmtId="0" fontId="6" fillId="32" borderId="56" xfId="184" applyFont="1" applyFill="1" applyBorder="1" applyAlignment="1" applyProtection="1">
      <alignment horizontal="right" vertical="center"/>
    </xf>
    <xf numFmtId="0" fontId="3" fillId="32" borderId="0" xfId="184" applyFont="1" applyFill="1" applyAlignment="1" applyProtection="1">
      <alignment vertical="center"/>
    </xf>
    <xf numFmtId="0" fontId="3" fillId="32" borderId="54" xfId="171" applyFont="1" applyFill="1" applyBorder="1" applyAlignment="1" applyProtection="1">
      <alignment vertical="center"/>
    </xf>
    <xf numFmtId="0" fontId="3" fillId="32" borderId="56" xfId="171" applyFont="1" applyFill="1" applyBorder="1" applyAlignment="1" applyProtection="1">
      <alignment vertical="center"/>
    </xf>
    <xf numFmtId="0" fontId="3" fillId="32" borderId="14" xfId="171" applyFont="1" applyFill="1" applyBorder="1" applyAlignment="1" applyProtection="1">
      <alignment vertical="center"/>
    </xf>
    <xf numFmtId="0" fontId="3" fillId="32" borderId="53" xfId="171" applyFont="1" applyFill="1" applyBorder="1" applyAlignment="1" applyProtection="1">
      <alignment vertical="center"/>
    </xf>
    <xf numFmtId="0" fontId="7" fillId="32" borderId="53" xfId="171" applyFont="1" applyFill="1" applyBorder="1" applyAlignment="1" applyProtection="1">
      <alignment horizontal="right" vertical="center"/>
    </xf>
    <xf numFmtId="0" fontId="7" fillId="32" borderId="54" xfId="171" applyFont="1" applyFill="1" applyBorder="1" applyAlignment="1" applyProtection="1">
      <alignment vertical="center"/>
    </xf>
    <xf numFmtId="0" fontId="7" fillId="32" borderId="56" xfId="171" applyFont="1" applyFill="1" applyBorder="1" applyAlignment="1" applyProtection="1">
      <alignment vertical="center"/>
    </xf>
    <xf numFmtId="0" fontId="7" fillId="32" borderId="14" xfId="171" applyFont="1" applyFill="1" applyBorder="1" applyAlignment="1" applyProtection="1">
      <alignment vertical="center"/>
    </xf>
    <xf numFmtId="0" fontId="3" fillId="32" borderId="54" xfId="171" applyFont="1" applyFill="1" applyBorder="1" applyAlignment="1" applyProtection="1">
      <alignment horizontal="right" vertical="center"/>
    </xf>
    <xf numFmtId="3" fontId="6" fillId="32" borderId="56" xfId="192" applyNumberFormat="1" applyFont="1" applyFill="1" applyBorder="1" applyAlignment="1" applyProtection="1">
      <alignment horizontal="right" vertical="center"/>
    </xf>
    <xf numFmtId="3" fontId="6" fillId="32" borderId="14" xfId="192" applyNumberFormat="1" applyFont="1" applyFill="1" applyBorder="1" applyAlignment="1" applyProtection="1">
      <alignment horizontal="right" vertical="center"/>
    </xf>
    <xf numFmtId="0" fontId="3" fillId="32" borderId="56" xfId="171" applyFont="1" applyFill="1" applyBorder="1" applyAlignment="1" applyProtection="1">
      <alignment horizontal="right" vertical="center"/>
    </xf>
    <xf numFmtId="0" fontId="3" fillId="32" borderId="14" xfId="171" applyFont="1" applyFill="1" applyBorder="1" applyAlignment="1" applyProtection="1">
      <alignment horizontal="right" vertical="center"/>
    </xf>
    <xf numFmtId="0" fontId="7" fillId="32" borderId="44" xfId="171" applyFont="1" applyFill="1" applyBorder="1" applyAlignment="1" applyProtection="1">
      <alignment horizontal="right" vertical="center"/>
    </xf>
    <xf numFmtId="0" fontId="7" fillId="32" borderId="0" xfId="171" applyFont="1" applyFill="1" applyBorder="1" applyAlignment="1" applyProtection="1">
      <alignment vertical="center" wrapText="1"/>
    </xf>
    <xf numFmtId="3" fontId="6" fillId="32" borderId="40" xfId="192" applyNumberFormat="1" applyFont="1" applyFill="1" applyBorder="1" applyAlignment="1" applyProtection="1">
      <alignment horizontal="right" vertical="center"/>
    </xf>
    <xf numFmtId="0" fontId="7" fillId="32" borderId="34" xfId="171" applyFont="1" applyFill="1" applyBorder="1" applyAlignment="1" applyProtection="1">
      <alignment horizontal="right" vertical="center"/>
    </xf>
    <xf numFmtId="0" fontId="7" fillId="32" borderId="47" xfId="171" applyFont="1" applyFill="1" applyBorder="1" applyAlignment="1" applyProtection="1">
      <alignment vertical="center" wrapText="1"/>
    </xf>
    <xf numFmtId="3" fontId="6" fillId="32" borderId="39" xfId="192" applyNumberFormat="1" applyFont="1" applyFill="1" applyBorder="1" applyAlignment="1" applyProtection="1">
      <alignment horizontal="right" vertical="center"/>
    </xf>
    <xf numFmtId="0" fontId="3" fillId="32" borderId="0" xfId="171" applyFont="1" applyFill="1" applyAlignment="1" applyProtection="1">
      <alignment vertical="center"/>
    </xf>
    <xf numFmtId="0" fontId="3" fillId="32" borderId="0" xfId="0" applyFont="1" applyFill="1" applyBorder="1" applyAlignment="1" applyProtection="1">
      <alignment vertical="center" wrapText="1"/>
    </xf>
    <xf numFmtId="0" fontId="25" fillId="32" borderId="0" xfId="30" quotePrefix="1" applyFont="1" applyFill="1" applyProtection="1"/>
    <xf numFmtId="0" fontId="7" fillId="0" borderId="25" xfId="174" applyFont="1" applyFill="1" applyBorder="1" applyAlignment="1" applyProtection="1">
      <alignment horizontal="center" vertical="center" wrapText="1"/>
    </xf>
    <xf numFmtId="14" fontId="7" fillId="0" borderId="0" xfId="171" applyNumberFormat="1" applyFont="1" applyFill="1" applyProtection="1"/>
    <xf numFmtId="4" fontId="5" fillId="32" borderId="16" xfId="186" applyNumberFormat="1" applyFont="1" applyFill="1" applyBorder="1" applyAlignment="1" applyProtection="1">
      <alignment horizontal="center" vertical="center"/>
    </xf>
    <xf numFmtId="4" fontId="5" fillId="32" borderId="0" xfId="186" applyNumberFormat="1" applyFont="1" applyFill="1" applyBorder="1" applyAlignment="1" applyProtection="1">
      <alignment horizontal="center" vertical="center"/>
    </xf>
    <xf numFmtId="4" fontId="5" fillId="32" borderId="17" xfId="186" applyNumberFormat="1" applyFont="1" applyFill="1" applyBorder="1" applyAlignment="1" applyProtection="1">
      <alignment horizontal="center" vertical="center"/>
    </xf>
    <xf numFmtId="4" fontId="7" fillId="32" borderId="65" xfId="186" applyNumberFormat="1" applyFont="1" applyFill="1" applyBorder="1" applyAlignment="1" applyProtection="1">
      <alignment horizontal="center" vertical="center" wrapText="1"/>
    </xf>
    <xf numFmtId="167" fontId="5" fillId="32" borderId="17" xfId="186" applyNumberFormat="1" applyFont="1" applyFill="1" applyBorder="1" applyAlignment="1" applyProtection="1">
      <alignment vertical="center"/>
    </xf>
    <xf numFmtId="167" fontId="3" fillId="32" borderId="17" xfId="186" applyNumberFormat="1" applyFont="1" applyFill="1" applyBorder="1" applyAlignment="1" applyProtection="1">
      <alignment vertical="center"/>
    </xf>
    <xf numFmtId="167" fontId="3" fillId="32" borderId="17" xfId="186" applyNumberFormat="1" applyFont="1" applyFill="1" applyBorder="1" applyProtection="1"/>
    <xf numFmtId="167" fontId="6" fillId="32" borderId="17" xfId="186" applyNumberFormat="1" applyFont="1" applyFill="1" applyBorder="1" applyAlignment="1" applyProtection="1">
      <alignment vertical="center"/>
    </xf>
    <xf numFmtId="167" fontId="3" fillId="32" borderId="64" xfId="186" applyNumberFormat="1" applyFont="1" applyFill="1" applyBorder="1" applyAlignment="1" applyProtection="1">
      <alignment vertical="center"/>
    </xf>
    <xf numFmtId="167" fontId="4" fillId="32" borderId="20" xfId="186" applyNumberFormat="1" applyFont="1" applyFill="1" applyBorder="1" applyAlignment="1" applyProtection="1">
      <alignment vertical="center"/>
    </xf>
    <xf numFmtId="167" fontId="17" fillId="32" borderId="17" xfId="186" applyNumberFormat="1" applyFont="1" applyFill="1" applyBorder="1" applyAlignment="1" applyProtection="1">
      <alignment vertical="center"/>
    </xf>
    <xf numFmtId="167" fontId="7" fillId="32" borderId="0" xfId="186" applyNumberFormat="1" applyFont="1" applyFill="1" applyAlignment="1" applyProtection="1">
      <alignment vertical="center"/>
    </xf>
    <xf numFmtId="0" fontId="3" fillId="32" borderId="42" xfId="174" applyFont="1" applyFill="1" applyBorder="1" applyAlignment="1" applyProtection="1">
      <alignment vertical="center"/>
    </xf>
    <xf numFmtId="0" fontId="3" fillId="32" borderId="45" xfId="174" applyFont="1" applyFill="1" applyBorder="1" applyAlignment="1" applyProtection="1">
      <alignment vertical="center" wrapText="1"/>
    </xf>
    <xf numFmtId="0" fontId="64" fillId="32" borderId="0" xfId="186" applyFont="1" applyFill="1" applyProtection="1"/>
    <xf numFmtId="0" fontId="64" fillId="32" borderId="0" xfId="0" applyFont="1" applyFill="1" applyAlignment="1" applyProtection="1">
      <alignment vertical="top"/>
    </xf>
    <xf numFmtId="167" fontId="7" fillId="32" borderId="68" xfId="192" applyNumberFormat="1" applyFont="1" applyFill="1" applyBorder="1" applyAlignment="1" applyProtection="1">
      <alignment vertical="center"/>
    </xf>
    <xf numFmtId="167" fontId="3" fillId="32" borderId="68" xfId="192" applyNumberFormat="1" applyFont="1" applyFill="1" applyBorder="1" applyAlignment="1" applyProtection="1">
      <alignment vertical="center"/>
    </xf>
    <xf numFmtId="169" fontId="7" fillId="32" borderId="68" xfId="192" applyNumberFormat="1" applyFont="1" applyFill="1" applyBorder="1" applyAlignment="1" applyProtection="1">
      <alignment vertical="center"/>
    </xf>
    <xf numFmtId="167" fontId="7" fillId="32" borderId="71" xfId="171" applyNumberFormat="1" applyFont="1" applyFill="1" applyBorder="1" applyAlignment="1" applyProtection="1">
      <alignment vertical="center"/>
    </xf>
    <xf numFmtId="0" fontId="3" fillId="32" borderId="71" xfId="171" applyFont="1" applyFill="1" applyBorder="1" applyAlignment="1" applyProtection="1">
      <alignment vertical="center"/>
    </xf>
    <xf numFmtId="3" fontId="6" fillId="32" borderId="13" xfId="192" applyNumberFormat="1" applyFont="1" applyFill="1" applyBorder="1" applyAlignment="1" applyProtection="1">
      <alignment horizontal="right" vertical="center"/>
    </xf>
    <xf numFmtId="167" fontId="7" fillId="32" borderId="60" xfId="192" applyNumberFormat="1" applyFont="1" applyFill="1" applyBorder="1" applyAlignment="1" applyProtection="1">
      <alignment horizontal="right" vertical="center"/>
    </xf>
    <xf numFmtId="167" fontId="7" fillId="32" borderId="73" xfId="192" applyNumberFormat="1" applyFont="1" applyFill="1" applyBorder="1" applyAlignment="1" applyProtection="1">
      <alignment horizontal="right" vertical="center"/>
    </xf>
    <xf numFmtId="167" fontId="7" fillId="32" borderId="74" xfId="171" applyNumberFormat="1" applyFont="1" applyFill="1" applyBorder="1" applyAlignment="1" applyProtection="1">
      <alignment vertical="center"/>
    </xf>
    <xf numFmtId="0" fontId="3" fillId="32" borderId="74" xfId="171" applyFont="1" applyFill="1" applyBorder="1" applyAlignment="1" applyProtection="1">
      <alignment vertical="center"/>
    </xf>
    <xf numFmtId="167" fontId="3" fillId="32" borderId="74" xfId="171" applyNumberFormat="1" applyFont="1" applyFill="1" applyBorder="1" applyAlignment="1" applyProtection="1">
      <alignment vertical="center"/>
    </xf>
    <xf numFmtId="3" fontId="6" fillId="32" borderId="74" xfId="192" applyNumberFormat="1" applyFont="1" applyFill="1" applyBorder="1" applyAlignment="1" applyProtection="1">
      <alignment horizontal="right" vertical="center"/>
    </xf>
    <xf numFmtId="0" fontId="3" fillId="32" borderId="74" xfId="171" applyFont="1" applyFill="1" applyBorder="1" applyAlignment="1" applyProtection="1">
      <alignment horizontal="right" vertical="center"/>
    </xf>
    <xf numFmtId="167" fontId="3" fillId="29" borderId="74" xfId="171" applyNumberFormat="1" applyFont="1" applyFill="1" applyBorder="1" applyAlignment="1" applyProtection="1">
      <alignment vertical="center"/>
    </xf>
    <xf numFmtId="3" fontId="6" fillId="32" borderId="75" xfId="192" applyNumberFormat="1" applyFont="1" applyFill="1" applyBorder="1" applyAlignment="1" applyProtection="1">
      <alignment horizontal="right" vertical="center"/>
    </xf>
    <xf numFmtId="167" fontId="7" fillId="32" borderId="25" xfId="192" applyNumberFormat="1" applyFont="1" applyFill="1" applyBorder="1" applyAlignment="1" applyProtection="1">
      <alignment horizontal="right" vertical="center"/>
    </xf>
    <xf numFmtId="0" fontId="7" fillId="32" borderId="25" xfId="0" applyFont="1" applyFill="1" applyBorder="1" applyProtection="1"/>
    <xf numFmtId="0" fontId="52" fillId="29" borderId="11" xfId="13" applyFont="1" applyFill="1" applyBorder="1" applyAlignment="1" applyProtection="1">
      <alignment horizontal="center" vertical="center"/>
    </xf>
    <xf numFmtId="0" fontId="18" fillId="0" borderId="0" xfId="13" applyAlignment="1" applyProtection="1">
      <alignment horizontal="center" vertical="center"/>
    </xf>
    <xf numFmtId="3" fontId="6" fillId="32" borderId="53" xfId="192" applyNumberFormat="1" applyFont="1" applyFill="1" applyBorder="1" applyAlignment="1" applyProtection="1">
      <alignment horizontal="right" vertical="center"/>
    </xf>
    <xf numFmtId="0" fontId="3" fillId="32" borderId="53" xfId="171" applyFont="1" applyFill="1" applyBorder="1" applyAlignment="1" applyProtection="1">
      <alignment horizontal="right" vertical="center"/>
    </xf>
    <xf numFmtId="0" fontId="3" fillId="32" borderId="41" xfId="171" applyFont="1" applyFill="1" applyBorder="1" applyAlignment="1" applyProtection="1">
      <alignment horizontal="right" vertical="center"/>
    </xf>
    <xf numFmtId="167" fontId="3" fillId="29" borderId="41" xfId="192" applyNumberFormat="1" applyFont="1" applyFill="1" applyBorder="1" applyAlignment="1" applyProtection="1">
      <alignment vertical="center"/>
    </xf>
    <xf numFmtId="0" fontId="7" fillId="32" borderId="11" xfId="0" applyFont="1" applyFill="1" applyBorder="1" applyAlignment="1" applyProtection="1">
      <alignment horizontal="center" vertical="center" wrapText="1"/>
    </xf>
    <xf numFmtId="0" fontId="0" fillId="32" borderId="0" xfId="0" applyFill="1" applyAlignment="1" applyProtection="1">
      <alignment vertical="center"/>
    </xf>
    <xf numFmtId="0" fontId="0" fillId="32" borderId="11" xfId="0" applyFill="1" applyBorder="1" applyAlignment="1" applyProtection="1">
      <alignment vertical="center"/>
    </xf>
    <xf numFmtId="4" fontId="7" fillId="32" borderId="11" xfId="0" applyNumberFormat="1" applyFont="1" applyFill="1" applyBorder="1" applyAlignment="1" applyProtection="1">
      <alignment horizontal="right" vertical="center"/>
    </xf>
    <xf numFmtId="0" fontId="7" fillId="39" borderId="11" xfId="0" applyFont="1" applyFill="1" applyBorder="1" applyAlignment="1" applyProtection="1">
      <alignment vertical="center"/>
    </xf>
    <xf numFmtId="4" fontId="7" fillId="39" borderId="11" xfId="0" applyNumberFormat="1" applyFont="1" applyFill="1" applyBorder="1" applyAlignment="1" applyProtection="1">
      <alignment horizontal="center" vertical="center"/>
    </xf>
    <xf numFmtId="0" fontId="7" fillId="39" borderId="11" xfId="0" applyFont="1" applyFill="1" applyBorder="1" applyAlignment="1" applyProtection="1">
      <alignment horizontal="center" vertical="center"/>
    </xf>
    <xf numFmtId="0" fontId="19" fillId="39" borderId="11" xfId="0" applyFont="1" applyFill="1" applyBorder="1" applyAlignment="1" applyProtection="1">
      <alignment vertical="center"/>
    </xf>
    <xf numFmtId="4" fontId="19" fillId="39" borderId="11" xfId="0" applyNumberFormat="1" applyFont="1" applyFill="1" applyBorder="1" applyAlignment="1" applyProtection="1">
      <alignment vertical="center"/>
    </xf>
    <xf numFmtId="0" fontId="6" fillId="32" borderId="11" xfId="0" applyFont="1" applyFill="1" applyBorder="1" applyAlignment="1" applyProtection="1">
      <alignment horizontal="left" vertical="center" wrapText="1" indent="2"/>
    </xf>
    <xf numFmtId="0" fontId="0" fillId="32" borderId="0" xfId="0" applyFill="1" applyAlignment="1" applyProtection="1">
      <alignment horizontal="left" vertical="center"/>
    </xf>
    <xf numFmtId="4" fontId="6" fillId="32" borderId="11" xfId="192" applyNumberFormat="1" applyFont="1" applyFill="1" applyBorder="1" applyAlignment="1" applyProtection="1">
      <alignment vertical="center"/>
    </xf>
    <xf numFmtId="0" fontId="3" fillId="32" borderId="0" xfId="30" applyFill="1" applyAlignment="1" applyProtection="1">
      <alignment vertical="center"/>
    </xf>
    <xf numFmtId="0" fontId="3" fillId="0" borderId="0" xfId="30" applyAlignment="1" applyProtection="1">
      <alignment vertical="center"/>
    </xf>
    <xf numFmtId="0" fontId="0" fillId="32" borderId="11" xfId="0" applyFont="1" applyFill="1" applyBorder="1" applyAlignment="1" applyProtection="1">
      <alignment vertical="center" wrapText="1"/>
    </xf>
    <xf numFmtId="10" fontId="6" fillId="32" borderId="11" xfId="121" applyNumberFormat="1" applyFont="1" applyFill="1" applyBorder="1" applyAlignment="1" applyProtection="1">
      <alignment horizontal="right" vertical="center"/>
    </xf>
    <xf numFmtId="0" fontId="19" fillId="32" borderId="11" xfId="0" applyFont="1" applyFill="1" applyBorder="1" applyAlignment="1" applyProtection="1">
      <alignment vertical="center"/>
    </xf>
    <xf numFmtId="4" fontId="7" fillId="0" borderId="11" xfId="186" applyNumberFormat="1" applyFont="1" applyBorder="1" applyAlignment="1" applyProtection="1">
      <alignment horizontal="left" vertical="center" wrapText="1"/>
    </xf>
    <xf numFmtId="167" fontId="7" fillId="0" borderId="11" xfId="192" applyNumberFormat="1" applyFont="1" applyFill="1" applyBorder="1" applyAlignment="1" applyProtection="1">
      <alignment vertical="center"/>
    </xf>
    <xf numFmtId="167" fontId="7" fillId="32" borderId="11" xfId="0" quotePrefix="1" applyNumberFormat="1" applyFont="1" applyFill="1" applyBorder="1" applyAlignment="1" applyProtection="1">
      <alignment horizontal="right" vertical="center"/>
    </xf>
    <xf numFmtId="167" fontId="6" fillId="32" borderId="11" xfId="192" applyNumberFormat="1" applyFont="1" applyFill="1" applyBorder="1" applyAlignment="1" applyProtection="1">
      <alignment vertical="center"/>
    </xf>
    <xf numFmtId="0" fontId="5" fillId="30" borderId="41" xfId="174" applyFont="1" applyFill="1" applyBorder="1" applyAlignment="1" applyProtection="1">
      <alignment vertical="center"/>
    </xf>
    <xf numFmtId="0" fontId="6" fillId="32" borderId="11" xfId="0" applyFont="1" applyFill="1" applyBorder="1" applyAlignment="1" applyProtection="1">
      <alignment horizontal="left" vertical="center" wrapText="1"/>
    </xf>
    <xf numFmtId="0" fontId="18" fillId="32" borderId="11" xfId="13" applyNumberFormat="1" applyFill="1" applyBorder="1" applyAlignment="1" applyProtection="1">
      <alignment horizontal="left" vertical="center"/>
    </xf>
    <xf numFmtId="0" fontId="6" fillId="32" borderId="11" xfId="192" applyNumberFormat="1" applyFont="1" applyFill="1" applyBorder="1" applyAlignment="1" applyProtection="1">
      <alignment horizontal="center" vertical="center"/>
    </xf>
    <xf numFmtId="0" fontId="18" fillId="32" borderId="11" xfId="13" applyNumberFormat="1" applyFill="1" applyBorder="1" applyAlignment="1" applyProtection="1">
      <alignment horizontal="center" vertical="center"/>
    </xf>
    <xf numFmtId="0" fontId="3" fillId="32" borderId="11" xfId="192" applyNumberFormat="1" applyFont="1" applyFill="1" applyBorder="1" applyAlignment="1" applyProtection="1">
      <alignment horizontal="center" vertical="center"/>
    </xf>
    <xf numFmtId="167" fontId="3" fillId="31" borderId="11" xfId="192" applyNumberFormat="1" applyFont="1" applyFill="1" applyBorder="1" applyAlignment="1" applyProtection="1">
      <alignment vertical="center"/>
      <protection locked="0"/>
    </xf>
    <xf numFmtId="167" fontId="3" fillId="32" borderId="11" xfId="192" applyNumberFormat="1" applyFont="1" applyFill="1" applyBorder="1" applyAlignment="1" applyProtection="1">
      <alignment vertical="center"/>
    </xf>
    <xf numFmtId="0" fontId="7" fillId="32" borderId="0" xfId="171" applyFont="1" applyFill="1" applyAlignment="1" applyProtection="1"/>
    <xf numFmtId="0" fontId="0" fillId="32" borderId="0" xfId="0" applyFill="1"/>
    <xf numFmtId="0" fontId="7" fillId="32" borderId="11" xfId="0" applyFont="1" applyFill="1" applyBorder="1" applyAlignment="1" applyProtection="1">
      <alignment vertical="center" wrapText="1"/>
    </xf>
    <xf numFmtId="0" fontId="6" fillId="35" borderId="11" xfId="0" applyFont="1" applyFill="1" applyBorder="1" applyAlignment="1" applyProtection="1">
      <alignment horizontal="center" vertical="center" wrapText="1"/>
    </xf>
    <xf numFmtId="167" fontId="7" fillId="32" borderId="11" xfId="192" applyNumberFormat="1" applyFont="1" applyFill="1" applyBorder="1" applyAlignment="1" applyProtection="1">
      <alignment horizontal="right" vertical="center"/>
    </xf>
    <xf numFmtId="0" fontId="0" fillId="32" borderId="11" xfId="0" applyFont="1" applyFill="1" applyBorder="1" applyAlignment="1" applyProtection="1">
      <alignment horizontal="center" vertical="center" wrapText="1"/>
    </xf>
    <xf numFmtId="0" fontId="3" fillId="32" borderId="29" xfId="192" applyNumberFormat="1" applyFont="1" applyFill="1" applyBorder="1" applyAlignment="1" applyProtection="1">
      <alignment horizontal="center" vertical="center"/>
    </xf>
    <xf numFmtId="0" fontId="6" fillId="32" borderId="29" xfId="192" applyNumberFormat="1" applyFont="1" applyFill="1" applyBorder="1" applyAlignment="1" applyProtection="1">
      <alignment horizontal="center" vertical="center"/>
    </xf>
    <xf numFmtId="0" fontId="52" fillId="29" borderId="28" xfId="13" applyFont="1" applyFill="1" applyBorder="1" applyAlignment="1" applyProtection="1">
      <alignment horizontal="center" vertical="center"/>
    </xf>
    <xf numFmtId="0" fontId="64" fillId="32" borderId="0" xfId="0" applyFont="1" applyFill="1" applyAlignment="1" applyProtection="1">
      <alignment vertical="center"/>
    </xf>
    <xf numFmtId="0" fontId="64" fillId="32" borderId="0" xfId="0" applyFont="1" applyFill="1" applyAlignment="1" applyProtection="1">
      <alignment horizontal="center" vertical="center"/>
    </xf>
    <xf numFmtId="0" fontId="72" fillId="32" borderId="0" xfId="0" applyFont="1" applyFill="1" applyAlignment="1" applyProtection="1">
      <alignment vertical="center"/>
    </xf>
    <xf numFmtId="0" fontId="0" fillId="32" borderId="0" xfId="0" applyFont="1" applyFill="1" applyAlignment="1" applyProtection="1">
      <alignment vertical="center"/>
    </xf>
    <xf numFmtId="4" fontId="3" fillId="31" borderId="11" xfId="192" applyNumberFormat="1" applyFont="1" applyFill="1" applyBorder="1" applyAlignment="1" applyProtection="1">
      <alignment vertical="center"/>
      <protection locked="0"/>
    </xf>
    <xf numFmtId="4" fontId="7" fillId="32" borderId="11" xfId="0" applyNumberFormat="1" applyFont="1" applyFill="1" applyBorder="1" applyProtection="1"/>
    <xf numFmtId="0" fontId="7" fillId="32" borderId="90" xfId="184" applyFont="1" applyFill="1" applyBorder="1" applyAlignment="1" applyProtection="1">
      <alignment horizontal="center" vertical="center" wrapText="1"/>
    </xf>
    <xf numFmtId="0" fontId="4" fillId="32" borderId="14" xfId="171" applyFont="1" applyFill="1" applyBorder="1" applyAlignment="1" applyProtection="1">
      <alignment horizontal="center" vertical="center"/>
    </xf>
    <xf numFmtId="0" fontId="7" fillId="32" borderId="78" xfId="171" applyFont="1" applyFill="1" applyBorder="1" applyAlignment="1" applyProtection="1">
      <alignment horizontal="center" vertical="center" wrapText="1"/>
    </xf>
    <xf numFmtId="0" fontId="0" fillId="32" borderId="0" xfId="0" applyFill="1" applyAlignment="1" applyProtection="1">
      <alignment horizontal="center" vertical="center"/>
    </xf>
    <xf numFmtId="0" fontId="7" fillId="32" borderId="11" xfId="0" applyFont="1" applyFill="1" applyBorder="1" applyAlignment="1" applyProtection="1">
      <alignment horizontal="right" vertical="center" wrapText="1"/>
    </xf>
    <xf numFmtId="0" fontId="0" fillId="32" borderId="0" xfId="0" applyFill="1" applyAlignment="1" applyProtection="1">
      <alignment horizontal="right" vertical="center"/>
    </xf>
    <xf numFmtId="0" fontId="6" fillId="32" borderId="0" xfId="192" applyNumberFormat="1" applyFont="1" applyFill="1" applyBorder="1" applyAlignment="1" applyProtection="1">
      <alignment horizontal="center" vertical="center"/>
    </xf>
    <xf numFmtId="0" fontId="6" fillId="32" borderId="0" xfId="0" applyFont="1" applyFill="1" applyAlignment="1" applyProtection="1">
      <alignment vertical="center"/>
    </xf>
    <xf numFmtId="0" fontId="6" fillId="32" borderId="0" xfId="0" applyFont="1" applyFill="1" applyAlignment="1" applyProtection="1">
      <alignment horizontal="center" vertical="center"/>
    </xf>
    <xf numFmtId="0" fontId="6" fillId="32" borderId="0" xfId="0" applyFont="1" applyFill="1" applyBorder="1" applyAlignment="1" applyProtection="1">
      <alignment vertical="center"/>
    </xf>
    <xf numFmtId="0" fontId="6" fillId="0" borderId="0" xfId="0" applyFont="1" applyAlignment="1" applyProtection="1">
      <alignment vertical="center"/>
    </xf>
    <xf numFmtId="0" fontId="7" fillId="32" borderId="0" xfId="0" applyFont="1" applyFill="1" applyBorder="1" applyAlignment="1" applyProtection="1">
      <alignment horizontal="center" vertical="center" wrapText="1"/>
    </xf>
    <xf numFmtId="0" fontId="20" fillId="32" borderId="0" xfId="186" applyFont="1" applyFill="1" applyAlignment="1" applyProtection="1">
      <alignment vertical="center"/>
    </xf>
    <xf numFmtId="0" fontId="75" fillId="32" borderId="0" xfId="186" applyFont="1" applyFill="1" applyAlignment="1" applyProtection="1">
      <alignment vertical="center"/>
    </xf>
    <xf numFmtId="0" fontId="74" fillId="32" borderId="0" xfId="30" applyFont="1" applyFill="1" applyAlignment="1" applyProtection="1">
      <alignment vertical="center"/>
    </xf>
    <xf numFmtId="0" fontId="21" fillId="32" borderId="0" xfId="186" applyFont="1" applyFill="1" applyAlignment="1" applyProtection="1">
      <alignment vertical="center"/>
    </xf>
    <xf numFmtId="0" fontId="58" fillId="32" borderId="0" xfId="186" applyFont="1" applyFill="1" applyAlignment="1" applyProtection="1">
      <alignment vertical="center"/>
    </xf>
    <xf numFmtId="0" fontId="73" fillId="32" borderId="0" xfId="186" applyFont="1" applyFill="1" applyAlignment="1" applyProtection="1">
      <alignment vertical="center"/>
    </xf>
    <xf numFmtId="0" fontId="22" fillId="32" borderId="0" xfId="30" applyFont="1" applyFill="1" applyAlignment="1" applyProtection="1">
      <alignment horizontal="center" vertical="center"/>
    </xf>
    <xf numFmtId="0" fontId="77" fillId="32" borderId="0" xfId="30" applyFont="1" applyFill="1" applyAlignment="1" applyProtection="1">
      <alignment horizontal="center" vertical="center"/>
    </xf>
    <xf numFmtId="0" fontId="64" fillId="32" borderId="0" xfId="30" applyFont="1" applyFill="1" applyAlignment="1" applyProtection="1">
      <alignment vertical="center"/>
    </xf>
    <xf numFmtId="0" fontId="7" fillId="32" borderId="60" xfId="30" applyFont="1" applyFill="1" applyBorder="1" applyAlignment="1" applyProtection="1">
      <alignment horizontal="center" vertical="center"/>
    </xf>
    <xf numFmtId="0" fontId="7" fillId="32" borderId="80" xfId="30" applyFont="1" applyFill="1" applyBorder="1" applyAlignment="1" applyProtection="1">
      <alignment horizontal="center" vertical="center"/>
    </xf>
    <xf numFmtId="0" fontId="3" fillId="32" borderId="0" xfId="30" applyFont="1" applyFill="1" applyAlignment="1" applyProtection="1">
      <alignment vertical="center"/>
    </xf>
    <xf numFmtId="0" fontId="6" fillId="32" borderId="0" xfId="30" quotePrefix="1" applyFont="1" applyFill="1" applyAlignment="1" applyProtection="1">
      <alignment vertical="center"/>
    </xf>
    <xf numFmtId="4" fontId="24" fillId="32" borderId="0" xfId="30" applyNumberFormat="1" applyFont="1" applyFill="1" applyBorder="1" applyAlignment="1" applyProtection="1">
      <alignment vertical="center"/>
    </xf>
    <xf numFmtId="0" fontId="6" fillId="32" borderId="0" xfId="30" applyFont="1" applyFill="1" applyAlignment="1" applyProtection="1">
      <alignment vertical="center"/>
    </xf>
    <xf numFmtId="0" fontId="25" fillId="32" borderId="0" xfId="30" applyFont="1" applyFill="1" applyAlignment="1" applyProtection="1">
      <alignment vertical="center"/>
    </xf>
    <xf numFmtId="0" fontId="3" fillId="32" borderId="33" xfId="30" applyFont="1" applyFill="1" applyBorder="1" applyAlignment="1" applyProtection="1">
      <alignment horizontal="center" vertical="center"/>
    </xf>
    <xf numFmtId="0" fontId="3" fillId="32" borderId="33" xfId="30" applyFill="1" applyBorder="1" applyAlignment="1" applyProtection="1">
      <alignment horizontal="center" vertical="center"/>
    </xf>
    <xf numFmtId="0" fontId="3" fillId="32" borderId="11" xfId="30" applyFill="1" applyBorder="1" applyAlignment="1" applyProtection="1">
      <alignment horizontal="center" vertical="center"/>
    </xf>
    <xf numFmtId="0" fontId="3" fillId="32" borderId="28" xfId="30" quotePrefix="1" applyFill="1" applyBorder="1" applyAlignment="1" applyProtection="1">
      <alignment horizontal="center" vertical="center"/>
    </xf>
    <xf numFmtId="1" fontId="3" fillId="0" borderId="29" xfId="30" applyNumberFormat="1" applyBorder="1" applyAlignment="1" applyProtection="1">
      <alignment horizontal="center" vertical="center"/>
    </xf>
    <xf numFmtId="4" fontId="3" fillId="32" borderId="32" xfId="30" applyNumberFormat="1" applyFont="1" applyFill="1" applyBorder="1" applyAlignment="1" applyProtection="1">
      <alignment vertical="center"/>
    </xf>
    <xf numFmtId="4" fontId="3" fillId="32" borderId="35" xfId="30" applyNumberFormat="1" applyFont="1" applyFill="1" applyBorder="1" applyAlignment="1" applyProtection="1">
      <alignment vertical="center"/>
    </xf>
    <xf numFmtId="4" fontId="3" fillId="32" borderId="0" xfId="30" applyNumberFormat="1" applyFill="1" applyAlignment="1" applyProtection="1">
      <alignment vertical="center"/>
    </xf>
    <xf numFmtId="4" fontId="59" fillId="32" borderId="11" xfId="30" applyNumberFormat="1" applyFont="1" applyFill="1" applyBorder="1" applyAlignment="1" applyProtection="1">
      <alignment vertical="center"/>
    </xf>
    <xf numFmtId="1" fontId="3" fillId="0" borderId="37" xfId="30" applyNumberFormat="1" applyBorder="1" applyAlignment="1" applyProtection="1">
      <alignment horizontal="center" vertical="center"/>
    </xf>
    <xf numFmtId="4" fontId="3" fillId="32" borderId="11" xfId="192" applyNumberFormat="1" applyFont="1" applyFill="1" applyBorder="1" applyAlignment="1" applyProtection="1">
      <alignment vertical="center"/>
    </xf>
    <xf numFmtId="4" fontId="3" fillId="32" borderId="0" xfId="30" applyNumberFormat="1" applyFont="1" applyFill="1" applyBorder="1" applyAlignment="1" applyProtection="1">
      <alignment vertical="center"/>
    </xf>
    <xf numFmtId="4" fontId="3" fillId="32" borderId="36" xfId="30" applyNumberFormat="1" applyFont="1" applyFill="1" applyBorder="1" applyAlignment="1" applyProtection="1">
      <alignment vertical="center"/>
    </xf>
    <xf numFmtId="4" fontId="3" fillId="32" borderId="81" xfId="30" applyNumberFormat="1" applyFont="1" applyFill="1" applyBorder="1" applyAlignment="1" applyProtection="1">
      <alignment vertical="center"/>
    </xf>
    <xf numFmtId="4" fontId="3" fillId="32" borderId="0" xfId="192" applyNumberFormat="1" applyFont="1" applyFill="1" applyBorder="1" applyAlignment="1" applyProtection="1">
      <alignment vertical="center"/>
    </xf>
    <xf numFmtId="4" fontId="60" fillId="32" borderId="37" xfId="30" applyNumberFormat="1" applyFont="1" applyFill="1" applyBorder="1" applyAlignment="1" applyProtection="1">
      <alignment vertical="center"/>
    </xf>
    <xf numFmtId="4" fontId="27" fillId="32" borderId="0" xfId="30" applyNumberFormat="1" applyFont="1" applyFill="1" applyAlignment="1" applyProtection="1">
      <alignment vertical="center"/>
    </xf>
    <xf numFmtId="4" fontId="61" fillId="32" borderId="11" xfId="30" applyNumberFormat="1" applyFont="1" applyFill="1" applyBorder="1" applyAlignment="1" applyProtection="1">
      <alignment vertical="center"/>
    </xf>
    <xf numFmtId="0" fontId="27" fillId="32" borderId="0" xfId="30" applyFont="1" applyFill="1" applyAlignment="1" applyProtection="1">
      <alignment vertical="center"/>
    </xf>
    <xf numFmtId="0" fontId="27" fillId="0" borderId="0" xfId="30" applyFont="1" applyAlignment="1" applyProtection="1">
      <alignment vertical="center"/>
    </xf>
    <xf numFmtId="4" fontId="62" fillId="32" borderId="0" xfId="30" applyNumberFormat="1" applyFont="1" applyFill="1" applyAlignment="1" applyProtection="1">
      <alignment horizontal="left" vertical="center"/>
    </xf>
    <xf numFmtId="4" fontId="62" fillId="32" borderId="0" xfId="30" applyNumberFormat="1" applyFont="1" applyFill="1" applyAlignment="1" applyProtection="1">
      <alignment horizontal="right" vertical="center"/>
    </xf>
    <xf numFmtId="0" fontId="6" fillId="0" borderId="0" xfId="30" applyFont="1" applyAlignment="1" applyProtection="1">
      <alignment vertical="center"/>
    </xf>
    <xf numFmtId="1" fontId="3" fillId="0" borderId="26" xfId="30" applyNumberFormat="1" applyBorder="1" applyAlignment="1" applyProtection="1">
      <alignment horizontal="center" vertical="center"/>
    </xf>
    <xf numFmtId="4" fontId="3" fillId="32" borderId="0" xfId="30" applyNumberFormat="1" applyFill="1" applyBorder="1" applyAlignment="1" applyProtection="1">
      <alignment vertical="center"/>
    </xf>
    <xf numFmtId="4" fontId="3" fillId="32" borderId="35" xfId="30" applyNumberFormat="1" applyFill="1" applyBorder="1" applyAlignment="1" applyProtection="1">
      <alignment vertical="center"/>
    </xf>
    <xf numFmtId="4" fontId="63" fillId="32" borderId="11" xfId="30" applyNumberFormat="1" applyFont="1" applyFill="1" applyBorder="1" applyAlignment="1" applyProtection="1">
      <alignment vertical="center"/>
    </xf>
    <xf numFmtId="0" fontId="3" fillId="0" borderId="26" xfId="30" applyBorder="1" applyAlignment="1" applyProtection="1">
      <alignment horizontal="center" vertical="center"/>
    </xf>
    <xf numFmtId="4" fontId="3" fillId="32" borderId="36" xfId="30" applyNumberFormat="1" applyFill="1" applyBorder="1" applyAlignment="1" applyProtection="1">
      <alignment vertical="center"/>
    </xf>
    <xf numFmtId="4" fontId="61" fillId="0" borderId="11" xfId="30" applyNumberFormat="1" applyFont="1" applyBorder="1" applyAlignment="1" applyProtection="1">
      <alignment vertical="center"/>
    </xf>
    <xf numFmtId="1" fontId="3" fillId="32" borderId="11" xfId="30" applyNumberFormat="1" applyFill="1" applyBorder="1" applyAlignment="1" applyProtection="1">
      <alignment horizontal="center" vertical="center"/>
    </xf>
    <xf numFmtId="4" fontId="3" fillId="32" borderId="32" xfId="30" applyNumberFormat="1" applyFill="1" applyBorder="1" applyAlignment="1" applyProtection="1">
      <alignment vertical="center"/>
    </xf>
    <xf numFmtId="4" fontId="3" fillId="32" borderId="11" xfId="30" applyNumberFormat="1" applyFill="1" applyBorder="1" applyAlignment="1" applyProtection="1">
      <alignment vertical="center"/>
    </xf>
    <xf numFmtId="4" fontId="59" fillId="32" borderId="0" xfId="30" applyNumberFormat="1" applyFont="1" applyFill="1" applyBorder="1" applyAlignment="1" applyProtection="1">
      <alignment vertical="center"/>
    </xf>
    <xf numFmtId="4" fontId="59" fillId="32" borderId="36" xfId="30" applyNumberFormat="1" applyFont="1" applyFill="1" applyBorder="1" applyAlignment="1" applyProtection="1">
      <alignment vertical="center"/>
    </xf>
    <xf numFmtId="4" fontId="3" fillId="32" borderId="36" xfId="192" applyNumberFormat="1" applyFont="1" applyFill="1" applyBorder="1" applyAlignment="1" applyProtection="1">
      <alignment vertical="center"/>
    </xf>
    <xf numFmtId="0" fontId="7" fillId="32" borderId="0" xfId="0" applyFont="1" applyFill="1" applyAlignment="1" applyProtection="1">
      <alignment vertical="center"/>
    </xf>
    <xf numFmtId="0" fontId="69" fillId="32" borderId="11" xfId="0" applyFont="1" applyFill="1" applyBorder="1" applyAlignment="1" applyProtection="1">
      <alignment vertical="center"/>
    </xf>
    <xf numFmtId="0" fontId="6" fillId="32" borderId="11" xfId="0" applyFont="1" applyFill="1" applyBorder="1" applyAlignment="1" applyProtection="1">
      <alignment vertical="center"/>
    </xf>
    <xf numFmtId="4" fontId="7" fillId="32" borderId="11" xfId="0" applyNumberFormat="1" applyFont="1" applyFill="1" applyBorder="1" applyAlignment="1" applyProtection="1">
      <alignment vertical="center"/>
    </xf>
    <xf numFmtId="4" fontId="7" fillId="32" borderId="11" xfId="0" applyNumberFormat="1" applyFont="1" applyFill="1" applyBorder="1" applyAlignment="1" applyProtection="1">
      <alignment horizontal="center" vertical="center"/>
    </xf>
    <xf numFmtId="4" fontId="7" fillId="0" borderId="11" xfId="0" applyNumberFormat="1" applyFont="1" applyFill="1" applyBorder="1" applyAlignment="1" applyProtection="1">
      <alignment horizontal="center" vertical="center"/>
    </xf>
    <xf numFmtId="4" fontId="6" fillId="32" borderId="11" xfId="0" applyNumberFormat="1" applyFont="1" applyFill="1" applyBorder="1" applyAlignment="1" applyProtection="1">
      <alignment vertical="center"/>
    </xf>
    <xf numFmtId="0" fontId="65" fillId="32" borderId="0" xfId="186" applyFont="1" applyFill="1" applyAlignment="1" applyProtection="1">
      <alignment vertical="center"/>
    </xf>
    <xf numFmtId="1" fontId="3" fillId="0" borderId="11" xfId="30" applyNumberFormat="1" applyBorder="1" applyAlignment="1" applyProtection="1">
      <alignment horizontal="center" vertical="center"/>
    </xf>
    <xf numFmtId="4" fontId="60" fillId="32" borderId="11" xfId="30" applyNumberFormat="1" applyFont="1" applyFill="1" applyBorder="1" applyAlignment="1" applyProtection="1">
      <alignment vertical="center"/>
    </xf>
    <xf numFmtId="4" fontId="59" fillId="32" borderId="81" xfId="30" applyNumberFormat="1" applyFont="1" applyFill="1" applyBorder="1" applyAlignment="1" applyProtection="1">
      <alignment vertical="center"/>
    </xf>
    <xf numFmtId="4" fontId="59" fillId="32" borderId="31" xfId="30" applyNumberFormat="1" applyFont="1" applyFill="1" applyBorder="1" applyAlignment="1" applyProtection="1">
      <alignment vertical="center"/>
    </xf>
    <xf numFmtId="4" fontId="59" fillId="32" borderId="30" xfId="30" applyNumberFormat="1" applyFont="1" applyFill="1" applyBorder="1" applyAlignment="1" applyProtection="1">
      <alignment vertical="center"/>
    </xf>
    <xf numFmtId="4" fontId="7" fillId="32" borderId="11" xfId="0" applyNumberFormat="1" applyFont="1" applyFill="1" applyBorder="1" applyAlignment="1" applyProtection="1">
      <alignment horizontal="right"/>
    </xf>
    <xf numFmtId="0" fontId="79" fillId="32" borderId="14" xfId="0" applyFont="1" applyFill="1" applyBorder="1" applyAlignment="1" applyProtection="1">
      <alignment vertical="center"/>
    </xf>
    <xf numFmtId="0" fontId="79" fillId="32" borderId="0" xfId="0" applyFont="1" applyFill="1" applyBorder="1" applyAlignment="1" applyProtection="1">
      <alignment vertical="center"/>
    </xf>
    <xf numFmtId="0" fontId="4" fillId="32" borderId="0" xfId="0" applyFont="1" applyFill="1" applyBorder="1" applyAlignment="1" applyProtection="1">
      <alignment vertical="center"/>
    </xf>
    <xf numFmtId="0" fontId="80" fillId="32" borderId="0" xfId="30" quotePrefix="1" applyFont="1" applyFill="1" applyAlignment="1" applyProtection="1">
      <alignment vertical="center"/>
    </xf>
    <xf numFmtId="0" fontId="74" fillId="32" borderId="0" xfId="0" applyFont="1" applyFill="1" applyAlignment="1" applyProtection="1">
      <alignment vertical="center"/>
    </xf>
    <xf numFmtId="0" fontId="3" fillId="32" borderId="0" xfId="0" applyFont="1" applyFill="1" applyAlignment="1" applyProtection="1">
      <alignment vertical="center"/>
    </xf>
    <xf numFmtId="0" fontId="25" fillId="32" borderId="0" xfId="30" quotePrefix="1" applyFont="1" applyFill="1" applyAlignment="1" applyProtection="1">
      <alignment vertical="center"/>
    </xf>
    <xf numFmtId="0" fontId="35" fillId="32" borderId="0" xfId="35" quotePrefix="1" applyFont="1" applyFill="1" applyAlignment="1" applyProtection="1">
      <alignment vertical="center"/>
    </xf>
    <xf numFmtId="0" fontId="35" fillId="32" borderId="0" xfId="30" quotePrefix="1" applyFont="1" applyFill="1" applyAlignment="1" applyProtection="1">
      <alignment vertical="center"/>
    </xf>
    <xf numFmtId="0" fontId="0" fillId="32" borderId="0" xfId="0" applyFill="1" applyBorder="1" applyAlignment="1" applyProtection="1">
      <alignment vertical="center"/>
    </xf>
    <xf numFmtId="0" fontId="7" fillId="32" borderId="32" xfId="0" applyFont="1" applyFill="1" applyBorder="1" applyAlignment="1" applyProtection="1">
      <alignment horizontal="left" vertical="center"/>
    </xf>
    <xf numFmtId="0" fontId="0" fillId="32" borderId="32" xfId="0" applyFill="1" applyBorder="1" applyAlignment="1" applyProtection="1">
      <alignment vertical="center"/>
    </xf>
    <xf numFmtId="0" fontId="7" fillId="32" borderId="32" xfId="0" applyFont="1" applyFill="1" applyBorder="1" applyAlignment="1" applyProtection="1">
      <alignment horizontal="center" vertical="center" wrapText="1"/>
    </xf>
    <xf numFmtId="0" fontId="64" fillId="32" borderId="0" xfId="0" applyFont="1" applyFill="1" applyBorder="1" applyAlignment="1" applyProtection="1">
      <alignment vertical="center"/>
    </xf>
    <xf numFmtId="4" fontId="0" fillId="32" borderId="0" xfId="0" applyNumberFormat="1" applyFill="1" applyAlignment="1" applyProtection="1">
      <alignment vertical="center"/>
    </xf>
    <xf numFmtId="4" fontId="7" fillId="32" borderId="0" xfId="0" applyNumberFormat="1" applyFont="1" applyFill="1" applyAlignment="1" applyProtection="1">
      <alignment vertical="center"/>
    </xf>
    <xf numFmtId="4" fontId="6" fillId="32" borderId="0" xfId="0" applyNumberFormat="1" applyFont="1" applyFill="1" applyBorder="1" applyAlignment="1" applyProtection="1">
      <alignment vertical="center"/>
    </xf>
    <xf numFmtId="4" fontId="6" fillId="32" borderId="0" xfId="0" applyNumberFormat="1" applyFont="1" applyFill="1" applyAlignment="1" applyProtection="1">
      <alignment vertical="center"/>
    </xf>
    <xf numFmtId="0" fontId="19" fillId="32" borderId="0" xfId="0" applyFont="1" applyFill="1" applyBorder="1" applyAlignment="1" applyProtection="1">
      <alignment horizontal="left" vertical="center"/>
    </xf>
    <xf numFmtId="0" fontId="19" fillId="32" borderId="0" xfId="0" applyFont="1" applyFill="1" applyBorder="1" applyAlignment="1" applyProtection="1">
      <alignment vertical="center"/>
    </xf>
    <xf numFmtId="167" fontId="19" fillId="32" borderId="0" xfId="0" applyNumberFormat="1" applyFont="1" applyFill="1" applyBorder="1" applyAlignment="1" applyProtection="1">
      <alignment vertical="center"/>
    </xf>
    <xf numFmtId="0" fontId="25" fillId="32" borderId="0" xfId="35" quotePrefix="1" applyFont="1" applyFill="1" applyAlignment="1" applyProtection="1">
      <alignment vertical="center"/>
    </xf>
    <xf numFmtId="0" fontId="0" fillId="35" borderId="11" xfId="0" applyFill="1" applyBorder="1" applyAlignment="1" applyProtection="1">
      <alignment vertical="center"/>
    </xf>
    <xf numFmtId="0" fontId="6" fillId="32" borderId="37" xfId="0" applyFont="1" applyFill="1" applyBorder="1" applyAlignment="1" applyProtection="1">
      <alignment horizontal="center" vertical="center"/>
    </xf>
    <xf numFmtId="0" fontId="6" fillId="32" borderId="29" xfId="0" applyFont="1" applyFill="1" applyBorder="1" applyAlignment="1" applyProtection="1">
      <alignment horizontal="center" vertical="center"/>
    </xf>
    <xf numFmtId="0" fontId="6" fillId="32" borderId="26" xfId="0" applyFont="1" applyFill="1" applyBorder="1" applyAlignment="1" applyProtection="1">
      <alignment horizontal="center" vertical="center"/>
    </xf>
    <xf numFmtId="0" fontId="6" fillId="39" borderId="11" xfId="0" applyFont="1" applyFill="1" applyBorder="1" applyAlignment="1" applyProtection="1">
      <alignment vertical="center"/>
    </xf>
    <xf numFmtId="4" fontId="71" fillId="32" borderId="0" xfId="0" applyNumberFormat="1" applyFont="1" applyFill="1" applyAlignment="1" applyProtection="1">
      <alignment vertical="center"/>
    </xf>
    <xf numFmtId="0" fontId="70" fillId="32" borderId="32" xfId="0" applyFont="1" applyFill="1" applyBorder="1" applyAlignment="1" applyProtection="1">
      <alignment horizontal="left" vertical="center"/>
    </xf>
    <xf numFmtId="0" fontId="69" fillId="32" borderId="32" xfId="0" applyFont="1" applyFill="1" applyBorder="1" applyAlignment="1" applyProtection="1">
      <alignment vertical="center"/>
    </xf>
    <xf numFmtId="0" fontId="70" fillId="32" borderId="32" xfId="0" applyFont="1" applyFill="1" applyBorder="1" applyAlignment="1" applyProtection="1">
      <alignment horizontal="center" vertical="center" wrapText="1"/>
    </xf>
    <xf numFmtId="0" fontId="70" fillId="32" borderId="0" xfId="0" applyFont="1" applyFill="1" applyBorder="1" applyAlignment="1" applyProtection="1">
      <alignment horizontal="center" vertical="center" wrapText="1"/>
    </xf>
    <xf numFmtId="0" fontId="69" fillId="32" borderId="0" xfId="0" applyFont="1" applyFill="1" applyBorder="1" applyAlignment="1" applyProtection="1">
      <alignment vertical="center"/>
    </xf>
    <xf numFmtId="0" fontId="7" fillId="32" borderId="82" xfId="0" applyFont="1" applyFill="1" applyBorder="1" applyAlignment="1" applyProtection="1">
      <alignment horizontal="left" vertical="center"/>
    </xf>
    <xf numFmtId="0" fontId="5" fillId="34" borderId="0" xfId="0" applyFont="1" applyFill="1" applyAlignment="1" applyProtection="1">
      <alignment vertical="center"/>
    </xf>
    <xf numFmtId="0" fontId="7" fillId="34" borderId="0" xfId="0" applyFont="1" applyFill="1" applyAlignment="1" applyProtection="1">
      <alignment vertical="center"/>
    </xf>
    <xf numFmtId="0" fontId="0" fillId="34" borderId="0" xfId="0" applyFill="1" applyAlignment="1" applyProtection="1">
      <alignment vertical="center"/>
    </xf>
    <xf numFmtId="0" fontId="0" fillId="34" borderId="0" xfId="0" applyFont="1" applyFill="1" applyAlignment="1" applyProtection="1">
      <alignment vertical="center"/>
    </xf>
    <xf numFmtId="4" fontId="60" fillId="32" borderId="91" xfId="30" applyNumberFormat="1" applyFont="1" applyFill="1" applyBorder="1" applyAlignment="1" applyProtection="1">
      <alignment vertical="center"/>
    </xf>
    <xf numFmtId="4" fontId="60" fillId="32" borderId="37" xfId="30" applyNumberFormat="1" applyFont="1" applyFill="1" applyBorder="1" applyAlignment="1" applyProtection="1">
      <alignment horizontal="center" vertical="center"/>
    </xf>
    <xf numFmtId="4" fontId="60" fillId="0" borderId="11" xfId="30" applyNumberFormat="1" applyFont="1" applyBorder="1" applyAlignment="1" applyProtection="1">
      <alignment vertical="center"/>
    </xf>
    <xf numFmtId="0" fontId="15" fillId="32" borderId="0" xfId="30" applyFont="1" applyFill="1" applyAlignment="1" applyProtection="1">
      <alignment horizontal="center" vertical="center"/>
    </xf>
    <xf numFmtId="0" fontId="7" fillId="32" borderId="34" xfId="30" applyFont="1" applyFill="1" applyBorder="1" applyAlignment="1" applyProtection="1">
      <alignment horizontal="center" vertical="center"/>
    </xf>
    <xf numFmtId="0" fontId="7" fillId="32" borderId="25" xfId="30" applyFont="1" applyFill="1" applyBorder="1" applyAlignment="1" applyProtection="1">
      <alignment horizontal="center" vertical="center"/>
    </xf>
    <xf numFmtId="4" fontId="3" fillId="32" borderId="31" xfId="192" applyNumberFormat="1" applyFont="1" applyFill="1" applyBorder="1" applyAlignment="1" applyProtection="1">
      <alignment vertical="center"/>
    </xf>
    <xf numFmtId="0" fontId="57" fillId="32" borderId="0" xfId="46" applyFill="1" applyBorder="1" applyAlignment="1" applyProtection="1">
      <alignment vertical="center"/>
    </xf>
    <xf numFmtId="4" fontId="6" fillId="32" borderId="0" xfId="30" applyNumberFormat="1" applyFont="1" applyFill="1" applyAlignment="1" applyProtection="1">
      <alignment vertical="center"/>
    </xf>
    <xf numFmtId="4" fontId="6" fillId="35" borderId="11" xfId="192" applyNumberFormat="1" applyFont="1" applyFill="1" applyBorder="1" applyAlignment="1" applyProtection="1">
      <alignment vertical="center"/>
    </xf>
    <xf numFmtId="4" fontId="3" fillId="38" borderId="11" xfId="192" applyNumberFormat="1" applyFont="1" applyFill="1" applyBorder="1" applyAlignment="1" applyProtection="1">
      <alignment vertical="center"/>
    </xf>
    <xf numFmtId="0" fontId="6" fillId="35" borderId="11" xfId="0" applyFont="1" applyFill="1" applyBorder="1" applyAlignment="1" applyProtection="1">
      <alignment vertical="center"/>
    </xf>
    <xf numFmtId="4" fontId="6" fillId="35" borderId="11" xfId="0" applyNumberFormat="1" applyFont="1" applyFill="1" applyBorder="1" applyAlignment="1" applyProtection="1">
      <alignment vertical="center"/>
    </xf>
    <xf numFmtId="167" fontId="3" fillId="32" borderId="92" xfId="192" applyNumberFormat="1" applyFont="1" applyFill="1" applyBorder="1" applyAlignment="1" applyProtection="1">
      <alignment vertical="center"/>
    </xf>
    <xf numFmtId="167" fontId="3" fillId="32" borderId="72" xfId="192" applyNumberFormat="1" applyFont="1" applyFill="1" applyBorder="1" applyAlignment="1" applyProtection="1">
      <alignment vertical="center"/>
    </xf>
    <xf numFmtId="0" fontId="21" fillId="0" borderId="0" xfId="174" applyFont="1" applyFill="1" applyAlignment="1" applyProtection="1">
      <alignment vertical="center"/>
    </xf>
    <xf numFmtId="0" fontId="51" fillId="0" borderId="14" xfId="174" applyFont="1" applyFill="1" applyBorder="1" applyAlignment="1" applyProtection="1">
      <alignment horizontal="center" vertical="center"/>
    </xf>
    <xf numFmtId="0" fontId="21" fillId="0" borderId="0" xfId="174" applyFont="1" applyFill="1" applyBorder="1" applyAlignment="1" applyProtection="1">
      <alignment horizontal="center" vertical="center"/>
    </xf>
    <xf numFmtId="0" fontId="21" fillId="0" borderId="40" xfId="174" applyFont="1" applyFill="1" applyBorder="1" applyAlignment="1" applyProtection="1">
      <alignment horizontal="center" vertical="center"/>
    </xf>
    <xf numFmtId="0" fontId="21" fillId="0" borderId="0" xfId="174" applyFont="1" applyFill="1" applyAlignment="1" applyProtection="1">
      <alignment horizontal="center" vertical="center"/>
    </xf>
    <xf numFmtId="167" fontId="7" fillId="32" borderId="60" xfId="192" applyNumberFormat="1" applyFont="1" applyFill="1" applyBorder="1" applyAlignment="1" applyProtection="1">
      <alignment horizontal="center" vertical="center"/>
    </xf>
    <xf numFmtId="167" fontId="7" fillId="32" borderId="80" xfId="192" applyNumberFormat="1" applyFont="1" applyFill="1" applyBorder="1" applyAlignment="1" applyProtection="1">
      <alignment horizontal="center" vertical="center"/>
    </xf>
    <xf numFmtId="167" fontId="7" fillId="32" borderId="47" xfId="192" applyNumberFormat="1" applyFont="1" applyFill="1" applyBorder="1" applyAlignment="1" applyProtection="1">
      <alignment horizontal="center" vertical="center"/>
    </xf>
    <xf numFmtId="167" fontId="7" fillId="32" borderId="42" xfId="192" applyNumberFormat="1" applyFont="1" applyFill="1" applyBorder="1" applyAlignment="1" applyProtection="1">
      <alignment vertical="center"/>
    </xf>
    <xf numFmtId="0" fontId="28" fillId="32" borderId="0" xfId="174" applyFont="1" applyFill="1" applyAlignment="1" applyProtection="1">
      <alignment vertical="center"/>
    </xf>
    <xf numFmtId="0" fontId="68" fillId="32" borderId="0" xfId="174" applyFont="1" applyFill="1" applyAlignment="1" applyProtection="1">
      <alignment vertical="center"/>
    </xf>
    <xf numFmtId="0" fontId="29" fillId="32" borderId="0" xfId="174" applyFont="1" applyFill="1" applyAlignment="1" applyProtection="1">
      <alignment vertical="center"/>
    </xf>
    <xf numFmtId="0" fontId="66" fillId="32" borderId="0" xfId="174" applyFont="1" applyFill="1" applyAlignment="1" applyProtection="1">
      <alignment vertical="center"/>
    </xf>
    <xf numFmtId="0" fontId="5" fillId="32" borderId="0" xfId="0" applyFont="1" applyFill="1" applyAlignment="1" applyProtection="1">
      <alignment vertical="center"/>
    </xf>
    <xf numFmtId="0" fontId="3" fillId="0" borderId="0" xfId="174" applyFill="1" applyBorder="1" applyAlignment="1" applyProtection="1">
      <alignment vertical="center"/>
    </xf>
    <xf numFmtId="0" fontId="3" fillId="0" borderId="0" xfId="174" applyFill="1" applyAlignment="1" applyProtection="1">
      <alignment vertical="center"/>
    </xf>
    <xf numFmtId="0" fontId="3" fillId="0" borderId="0" xfId="174" applyFill="1" applyAlignment="1" applyProtection="1">
      <alignment horizontal="right" vertical="center"/>
    </xf>
    <xf numFmtId="0" fontId="4" fillId="0" borderId="34" xfId="174" applyFont="1" applyFill="1" applyBorder="1" applyAlignment="1" applyProtection="1">
      <alignment vertical="center"/>
    </xf>
    <xf numFmtId="0" fontId="4" fillId="0" borderId="47" xfId="174" applyFont="1" applyFill="1" applyBorder="1" applyAlignment="1" applyProtection="1">
      <alignment vertical="center"/>
    </xf>
    <xf numFmtId="0" fontId="4" fillId="0" borderId="39" xfId="174" applyFont="1" applyFill="1" applyBorder="1" applyAlignment="1" applyProtection="1">
      <alignment horizontal="right" vertical="center"/>
    </xf>
    <xf numFmtId="0" fontId="4" fillId="0" borderId="0" xfId="174" applyFont="1" applyFill="1" applyBorder="1" applyAlignment="1" applyProtection="1">
      <alignment vertical="center"/>
    </xf>
    <xf numFmtId="0" fontId="4" fillId="0" borderId="0" xfId="174" applyFont="1" applyFill="1" applyAlignment="1" applyProtection="1">
      <alignment vertical="center"/>
    </xf>
    <xf numFmtId="0" fontId="5" fillId="0" borderId="41" xfId="174" applyFont="1" applyFill="1" applyBorder="1" applyAlignment="1" applyProtection="1">
      <alignment vertical="center"/>
    </xf>
    <xf numFmtId="0" fontId="5" fillId="0" borderId="42" xfId="174" applyFont="1" applyFill="1" applyBorder="1" applyAlignment="1" applyProtection="1">
      <alignment vertical="center"/>
    </xf>
    <xf numFmtId="0" fontId="5" fillId="0" borderId="43" xfId="174" applyFont="1" applyFill="1" applyBorder="1" applyAlignment="1" applyProtection="1">
      <alignment horizontal="right" vertical="center"/>
    </xf>
    <xf numFmtId="0" fontId="3" fillId="29" borderId="0" xfId="174" applyFont="1" applyFill="1" applyAlignment="1" applyProtection="1">
      <alignment vertical="center"/>
    </xf>
    <xf numFmtId="0" fontId="3" fillId="0" borderId="41" xfId="174" applyFont="1" applyFill="1" applyBorder="1" applyAlignment="1" applyProtection="1">
      <alignment vertical="center"/>
    </xf>
    <xf numFmtId="3" fontId="6" fillId="32" borderId="43" xfId="192" applyNumberFormat="1" applyFont="1" applyFill="1" applyBorder="1" applyAlignment="1" applyProtection="1">
      <alignment horizontal="left" vertical="center"/>
    </xf>
    <xf numFmtId="4" fontId="6" fillId="32" borderId="92" xfId="192" applyNumberFormat="1" applyFont="1" applyFill="1" applyBorder="1" applyAlignment="1" applyProtection="1">
      <alignment horizontal="right" vertical="center"/>
    </xf>
    <xf numFmtId="4" fontId="6" fillId="32" borderId="72" xfId="192" applyNumberFormat="1" applyFont="1" applyFill="1" applyBorder="1" applyAlignment="1" applyProtection="1">
      <alignment horizontal="right" vertical="center"/>
    </xf>
    <xf numFmtId="4" fontId="19" fillId="32" borderId="42" xfId="192" applyNumberFormat="1" applyFont="1" applyFill="1" applyBorder="1" applyAlignment="1" applyProtection="1">
      <alignment horizontal="right" vertical="center"/>
    </xf>
    <xf numFmtId="4" fontId="6" fillId="32" borderId="68" xfId="192" applyNumberFormat="1" applyFont="1" applyFill="1" applyBorder="1" applyAlignment="1" applyProtection="1">
      <alignment horizontal="right" vertical="center"/>
    </xf>
    <xf numFmtId="0" fontId="53" fillId="0" borderId="41" xfId="174" applyFont="1" applyFill="1" applyBorder="1" applyAlignment="1" applyProtection="1">
      <alignment vertical="center"/>
    </xf>
    <xf numFmtId="0" fontId="53" fillId="0" borderId="42" xfId="174" applyFont="1" applyFill="1" applyBorder="1" applyAlignment="1" applyProtection="1">
      <alignment vertical="center"/>
    </xf>
    <xf numFmtId="0" fontId="3" fillId="0" borderId="42" xfId="174" applyFont="1" applyFill="1" applyBorder="1" applyAlignment="1" applyProtection="1">
      <alignment horizontal="left" vertical="center"/>
    </xf>
    <xf numFmtId="4" fontId="3" fillId="0" borderId="0" xfId="174" applyNumberFormat="1" applyFont="1" applyFill="1" applyAlignment="1" applyProtection="1">
      <alignment vertical="center"/>
    </xf>
    <xf numFmtId="0" fontId="53" fillId="29" borderId="0" xfId="174" applyFont="1" applyFill="1" applyAlignment="1" applyProtection="1">
      <alignment vertical="center"/>
    </xf>
    <xf numFmtId="0" fontId="53" fillId="0" borderId="0" xfId="174" applyFont="1" applyFill="1" applyAlignment="1" applyProtection="1">
      <alignment vertical="center"/>
    </xf>
    <xf numFmtId="0" fontId="3" fillId="0" borderId="43" xfId="174" applyFont="1" applyFill="1" applyBorder="1" applyAlignment="1" applyProtection="1">
      <alignment horizontal="left" vertical="center"/>
    </xf>
    <xf numFmtId="4" fontId="53" fillId="32" borderId="92" xfId="174" applyNumberFormat="1" applyFont="1" applyFill="1" applyBorder="1" applyAlignment="1" applyProtection="1">
      <alignment horizontal="right" vertical="center"/>
    </xf>
    <xf numFmtId="4" fontId="53" fillId="32" borderId="72" xfId="174" applyNumberFormat="1" applyFont="1" applyFill="1" applyBorder="1" applyAlignment="1" applyProtection="1">
      <alignment horizontal="right" vertical="center"/>
    </xf>
    <xf numFmtId="4" fontId="81" fillId="32" borderId="42" xfId="174" applyNumberFormat="1" applyFont="1" applyFill="1" applyBorder="1" applyAlignment="1" applyProtection="1">
      <alignment horizontal="right" vertical="center"/>
    </xf>
    <xf numFmtId="4" fontId="53" fillId="32" borderId="68" xfId="174" applyNumberFormat="1" applyFont="1" applyFill="1" applyBorder="1" applyAlignment="1" applyProtection="1">
      <alignment horizontal="right" vertical="center"/>
    </xf>
    <xf numFmtId="0" fontId="5" fillId="32" borderId="43" xfId="174" applyFont="1" applyFill="1" applyBorder="1" applyAlignment="1" applyProtection="1">
      <alignment horizontal="right" vertical="center"/>
    </xf>
    <xf numFmtId="0" fontId="3" fillId="0" borderId="0" xfId="174" applyFont="1" applyFill="1" applyAlignment="1" applyProtection="1">
      <alignment horizontal="center" vertical="center"/>
    </xf>
    <xf numFmtId="0" fontId="3" fillId="32" borderId="43" xfId="174" applyFont="1" applyFill="1" applyBorder="1" applyAlignment="1" applyProtection="1">
      <alignment horizontal="right" vertical="center"/>
    </xf>
    <xf numFmtId="167" fontId="7" fillId="35" borderId="42" xfId="192" applyNumberFormat="1" applyFont="1" applyFill="1" applyBorder="1" applyAlignment="1" applyProtection="1">
      <alignment vertical="center"/>
    </xf>
    <xf numFmtId="0" fontId="3" fillId="0" borderId="44" xfId="174" applyFont="1" applyFill="1" applyBorder="1" applyAlignment="1" applyProtection="1">
      <alignment vertical="center"/>
    </xf>
    <xf numFmtId="0" fontId="3" fillId="32" borderId="44" xfId="174" applyFont="1" applyFill="1" applyBorder="1" applyAlignment="1" applyProtection="1">
      <alignment vertical="center"/>
    </xf>
    <xf numFmtId="0" fontId="5" fillId="32" borderId="45" xfId="174" applyFont="1" applyFill="1" applyBorder="1" applyAlignment="1" applyProtection="1">
      <alignment vertical="center"/>
    </xf>
    <xf numFmtId="3" fontId="6" fillId="32" borderId="46" xfId="192" applyNumberFormat="1" applyFont="1" applyFill="1" applyBorder="1" applyAlignment="1" applyProtection="1">
      <alignment horizontal="left" vertical="center"/>
    </xf>
    <xf numFmtId="0" fontId="3" fillId="32" borderId="0" xfId="174" applyFont="1" applyFill="1" applyAlignment="1" applyProtection="1">
      <alignment vertical="center"/>
    </xf>
    <xf numFmtId="4" fontId="6" fillId="32" borderId="93" xfId="192" applyNumberFormat="1" applyFont="1" applyFill="1" applyBorder="1" applyAlignment="1" applyProtection="1">
      <alignment horizontal="right" vertical="center"/>
    </xf>
    <xf numFmtId="4" fontId="6" fillId="32" borderId="94" xfId="192" applyNumberFormat="1" applyFont="1" applyFill="1" applyBorder="1" applyAlignment="1" applyProtection="1">
      <alignment horizontal="right" vertical="center"/>
    </xf>
    <xf numFmtId="4" fontId="19" fillId="32" borderId="45" xfId="192" applyNumberFormat="1" applyFont="1" applyFill="1" applyBorder="1" applyAlignment="1" applyProtection="1">
      <alignment horizontal="right" vertical="center"/>
    </xf>
    <xf numFmtId="4" fontId="6" fillId="32" borderId="69" xfId="192" applyNumberFormat="1" applyFont="1" applyFill="1" applyBorder="1" applyAlignment="1" applyProtection="1">
      <alignment horizontal="right" vertical="center"/>
    </xf>
    <xf numFmtId="167" fontId="7" fillId="38" borderId="92" xfId="192" applyNumberFormat="1" applyFont="1" applyFill="1" applyBorder="1" applyAlignment="1" applyProtection="1">
      <alignment vertical="center"/>
    </xf>
    <xf numFmtId="167" fontId="7" fillId="38" borderId="72" xfId="192" applyNumberFormat="1" applyFont="1" applyFill="1" applyBorder="1" applyAlignment="1" applyProtection="1">
      <alignment vertical="center"/>
    </xf>
    <xf numFmtId="167" fontId="7" fillId="35" borderId="68" xfId="192" applyNumberFormat="1" applyFont="1" applyFill="1" applyBorder="1" applyAlignment="1" applyProtection="1">
      <alignment vertical="center"/>
    </xf>
    <xf numFmtId="0" fontId="51" fillId="0" borderId="34" xfId="174" applyFont="1" applyFill="1" applyBorder="1" applyAlignment="1" applyProtection="1">
      <alignment vertical="center"/>
    </xf>
    <xf numFmtId="0" fontId="7" fillId="0" borderId="47" xfId="174" applyFont="1" applyFill="1" applyBorder="1" applyAlignment="1" applyProtection="1">
      <alignment vertical="center"/>
    </xf>
    <xf numFmtId="0" fontId="21" fillId="0" borderId="47" xfId="174" applyFont="1" applyFill="1" applyBorder="1" applyAlignment="1" applyProtection="1">
      <alignment vertical="center"/>
    </xf>
    <xf numFmtId="0" fontId="21" fillId="0" borderId="39" xfId="174" applyFont="1" applyFill="1" applyBorder="1" applyAlignment="1" applyProtection="1">
      <alignment horizontal="right" vertical="center"/>
    </xf>
    <xf numFmtId="167" fontId="7" fillId="32" borderId="60" xfId="174" applyNumberFormat="1" applyFont="1" applyFill="1" applyBorder="1" applyAlignment="1" applyProtection="1">
      <alignment horizontal="right" vertical="center"/>
    </xf>
    <xf numFmtId="167" fontId="7" fillId="32" borderId="80" xfId="174" applyNumberFormat="1" applyFont="1" applyFill="1" applyBorder="1" applyAlignment="1" applyProtection="1">
      <alignment horizontal="right" vertical="center"/>
    </xf>
    <xf numFmtId="167" fontId="7" fillId="32" borderId="47" xfId="174" applyNumberFormat="1" applyFont="1" applyFill="1" applyBorder="1" applyAlignment="1" applyProtection="1">
      <alignment horizontal="right" vertical="center"/>
    </xf>
    <xf numFmtId="0" fontId="21" fillId="29" borderId="0" xfId="174" applyFont="1" applyFill="1" applyAlignment="1" applyProtection="1">
      <alignment vertical="center"/>
    </xf>
    <xf numFmtId="167" fontId="7" fillId="32" borderId="25" xfId="174" applyNumberFormat="1" applyFont="1" applyFill="1" applyBorder="1" applyAlignment="1" applyProtection="1">
      <alignment horizontal="right" vertical="center"/>
    </xf>
    <xf numFmtId="0" fontId="29" fillId="0" borderId="0" xfId="174" applyFont="1" applyFill="1" applyAlignment="1" applyProtection="1">
      <alignment vertical="center"/>
    </xf>
    <xf numFmtId="0" fontId="29" fillId="0" borderId="0" xfId="174" applyFont="1" applyFill="1" applyAlignment="1" applyProtection="1">
      <alignment horizontal="right" vertical="center"/>
    </xf>
    <xf numFmtId="0" fontId="21" fillId="0" borderId="0" xfId="174" applyFont="1" applyFill="1" applyAlignment="1" applyProtection="1">
      <alignment horizontal="left" vertical="center"/>
    </xf>
    <xf numFmtId="0" fontId="6" fillId="0" borderId="0" xfId="174" applyFont="1" applyFill="1" applyAlignment="1" applyProtection="1">
      <alignment vertical="center"/>
    </xf>
    <xf numFmtId="167" fontId="6" fillId="0" borderId="0" xfId="174" applyNumberFormat="1" applyFont="1" applyFill="1" applyAlignment="1" applyProtection="1">
      <alignment vertical="center"/>
    </xf>
    <xf numFmtId="0" fontId="28" fillId="32" borderId="0" xfId="176" applyFont="1" applyFill="1" applyAlignment="1" applyProtection="1">
      <alignment vertical="center"/>
    </xf>
    <xf numFmtId="0" fontId="21" fillId="32" borderId="0" xfId="187" applyFont="1" applyFill="1" applyAlignment="1" applyProtection="1">
      <alignment vertical="center"/>
    </xf>
    <xf numFmtId="0" fontId="29" fillId="32" borderId="0" xfId="176" applyFont="1" applyFill="1" applyAlignment="1" applyProtection="1">
      <alignment horizontal="right" vertical="center"/>
    </xf>
    <xf numFmtId="0" fontId="29" fillId="32" borderId="0" xfId="176" applyFont="1" applyFill="1" applyAlignment="1" applyProtection="1">
      <alignment vertical="center"/>
    </xf>
    <xf numFmtId="0" fontId="20" fillId="32" borderId="0" xfId="184" applyFont="1" applyFill="1" applyAlignment="1" applyProtection="1">
      <alignment vertical="center"/>
    </xf>
    <xf numFmtId="0" fontId="3" fillId="32" borderId="0" xfId="184" applyFont="1" applyFill="1" applyAlignment="1" applyProtection="1">
      <alignment horizontal="right" vertical="center"/>
    </xf>
    <xf numFmtId="0" fontId="3" fillId="32" borderId="0" xfId="184" applyFill="1" applyAlignment="1" applyProtection="1">
      <alignment vertical="center"/>
    </xf>
    <xf numFmtId="0" fontId="64" fillId="32" borderId="0" xfId="184" applyFont="1" applyFill="1" applyAlignment="1" applyProtection="1">
      <alignment vertical="center"/>
    </xf>
    <xf numFmtId="0" fontId="4" fillId="32" borderId="48" xfId="184" applyFont="1" applyFill="1" applyBorder="1" applyAlignment="1" applyProtection="1">
      <alignment vertical="center"/>
    </xf>
    <xf numFmtId="0" fontId="4" fillId="32" borderId="49" xfId="184" applyFont="1" applyFill="1" applyBorder="1" applyAlignment="1" applyProtection="1">
      <alignment vertical="center"/>
    </xf>
    <xf numFmtId="0" fontId="4" fillId="32" borderId="50" xfId="184" applyFont="1" applyFill="1" applyBorder="1" applyAlignment="1" applyProtection="1">
      <alignment horizontal="right" vertical="center"/>
    </xf>
    <xf numFmtId="0" fontId="4" fillId="32" borderId="0" xfId="184" applyFont="1" applyFill="1" applyAlignment="1" applyProtection="1">
      <alignment vertical="center"/>
    </xf>
    <xf numFmtId="0" fontId="67" fillId="32" borderId="0" xfId="184" applyFont="1" applyFill="1" applyAlignment="1" applyProtection="1">
      <alignment vertical="center"/>
    </xf>
    <xf numFmtId="0" fontId="21" fillId="32" borderId="51" xfId="184" applyFont="1" applyFill="1" applyBorder="1" applyAlignment="1" applyProtection="1">
      <alignment vertical="center"/>
    </xf>
    <xf numFmtId="0" fontId="21" fillId="32" borderId="15" xfId="184" applyFont="1" applyFill="1" applyBorder="1" applyAlignment="1" applyProtection="1">
      <alignment vertical="center"/>
    </xf>
    <xf numFmtId="0" fontId="21" fillId="32" borderId="52" xfId="184" applyFont="1" applyFill="1" applyBorder="1" applyAlignment="1" applyProtection="1">
      <alignment horizontal="right" vertical="center"/>
    </xf>
    <xf numFmtId="0" fontId="5" fillId="32" borderId="53" xfId="184" applyFont="1" applyFill="1" applyBorder="1" applyAlignment="1" applyProtection="1">
      <alignment vertical="center"/>
    </xf>
    <xf numFmtId="0" fontId="7" fillId="32" borderId="54" xfId="184" applyFont="1" applyFill="1" applyBorder="1" applyAlignment="1" applyProtection="1">
      <alignment vertical="center"/>
    </xf>
    <xf numFmtId="0" fontId="3" fillId="32" borderId="55" xfId="184" applyFont="1" applyFill="1" applyBorder="1" applyAlignment="1" applyProtection="1">
      <alignment vertical="center"/>
    </xf>
    <xf numFmtId="0" fontId="3" fillId="32" borderId="56" xfId="184" applyFont="1" applyFill="1" applyBorder="1" applyAlignment="1" applyProtection="1">
      <alignment horizontal="right" vertical="center"/>
    </xf>
    <xf numFmtId="0" fontId="7" fillId="32" borderId="53" xfId="184" applyFont="1" applyFill="1" applyBorder="1" applyAlignment="1" applyProtection="1">
      <alignment vertical="center"/>
    </xf>
    <xf numFmtId="0" fontId="7" fillId="32" borderId="42" xfId="174" applyFont="1" applyFill="1" applyBorder="1" applyAlignment="1" applyProtection="1">
      <alignment vertical="center"/>
    </xf>
    <xf numFmtId="0" fontId="5" fillId="32" borderId="42" xfId="174" applyFont="1" applyFill="1" applyBorder="1" applyAlignment="1" applyProtection="1">
      <alignment vertical="center"/>
    </xf>
    <xf numFmtId="0" fontId="19" fillId="32" borderId="68" xfId="184" applyFont="1" applyFill="1" applyBorder="1" applyAlignment="1" applyProtection="1">
      <alignment horizontal="right" vertical="center"/>
    </xf>
    <xf numFmtId="0" fontId="3" fillId="32" borderId="0" xfId="184" applyFont="1" applyFill="1" applyBorder="1" applyAlignment="1" applyProtection="1">
      <alignment vertical="center"/>
    </xf>
    <xf numFmtId="0" fontId="3" fillId="32" borderId="42" xfId="184" applyFont="1" applyFill="1" applyBorder="1" applyAlignment="1" applyProtection="1">
      <alignment vertical="center"/>
    </xf>
    <xf numFmtId="3" fontId="19" fillId="32" borderId="68" xfId="192" applyNumberFormat="1" applyFont="1" applyFill="1" applyBorder="1" applyAlignment="1" applyProtection="1">
      <alignment horizontal="left" vertical="center"/>
    </xf>
    <xf numFmtId="0" fontId="3" fillId="32" borderId="0" xfId="184" applyFont="1" applyFill="1" applyAlignment="1" applyProtection="1">
      <alignment horizontal="center" vertical="center"/>
    </xf>
    <xf numFmtId="0" fontId="3" fillId="32" borderId="41" xfId="184" applyFont="1" applyFill="1" applyBorder="1" applyAlignment="1" applyProtection="1">
      <alignment vertical="center"/>
    </xf>
    <xf numFmtId="0" fontId="21" fillId="32" borderId="57" xfId="184" applyFont="1" applyFill="1" applyBorder="1" applyAlignment="1" applyProtection="1">
      <alignment vertical="center"/>
    </xf>
    <xf numFmtId="0" fontId="21" fillId="32" borderId="58" xfId="184" applyFont="1" applyFill="1" applyBorder="1" applyAlignment="1" applyProtection="1">
      <alignment vertical="center"/>
    </xf>
    <xf numFmtId="0" fontId="21" fillId="32" borderId="59" xfId="184" applyFont="1" applyFill="1" applyBorder="1" applyAlignment="1" applyProtection="1">
      <alignment horizontal="right" vertical="center"/>
    </xf>
    <xf numFmtId="0" fontId="21" fillId="32" borderId="70" xfId="184" applyFont="1" applyFill="1" applyBorder="1" applyAlignment="1" applyProtection="1">
      <alignment horizontal="right" vertical="center"/>
    </xf>
    <xf numFmtId="0" fontId="51" fillId="32" borderId="34" xfId="174" applyFont="1" applyFill="1" applyBorder="1" applyAlignment="1" applyProtection="1">
      <alignment vertical="center"/>
    </xf>
    <xf numFmtId="0" fontId="7" fillId="32" borderId="47" xfId="174" applyFont="1" applyFill="1" applyBorder="1" applyAlignment="1" applyProtection="1">
      <alignment vertical="center"/>
    </xf>
    <xf numFmtId="0" fontId="21" fillId="32" borderId="47" xfId="174" applyFont="1" applyFill="1" applyBorder="1" applyAlignment="1" applyProtection="1">
      <alignment vertical="center"/>
    </xf>
    <xf numFmtId="0" fontId="21" fillId="32" borderId="39" xfId="174" applyFont="1" applyFill="1" applyBorder="1" applyAlignment="1" applyProtection="1">
      <alignment horizontal="right" vertical="center"/>
    </xf>
    <xf numFmtId="167" fontId="7" fillId="29" borderId="25" xfId="174" applyNumberFormat="1" applyFont="1" applyFill="1" applyBorder="1" applyAlignment="1" applyProtection="1">
      <alignment vertical="center"/>
    </xf>
    <xf numFmtId="0" fontId="21" fillId="32" borderId="0" xfId="174" applyFont="1" applyFill="1" applyAlignment="1" applyProtection="1">
      <alignment vertical="center"/>
    </xf>
    <xf numFmtId="0" fontId="29" fillId="32" borderId="0" xfId="184" applyFont="1" applyFill="1" applyAlignment="1" applyProtection="1">
      <alignment vertical="center"/>
    </xf>
    <xf numFmtId="0" fontId="21" fillId="32" borderId="0" xfId="184" applyFont="1" applyFill="1" applyAlignment="1" applyProtection="1">
      <alignment horizontal="left" vertical="center"/>
    </xf>
    <xf numFmtId="0" fontId="29" fillId="32" borderId="0" xfId="184" applyFont="1" applyFill="1" applyAlignment="1" applyProtection="1">
      <alignment horizontal="right" vertical="center"/>
    </xf>
    <xf numFmtId="0" fontId="3" fillId="32" borderId="0" xfId="184" applyFill="1" applyAlignment="1" applyProtection="1">
      <alignment horizontal="right" vertical="center"/>
    </xf>
    <xf numFmtId="0" fontId="6" fillId="32" borderId="0" xfId="0" applyFont="1" applyFill="1" applyAlignment="1" applyProtection="1">
      <alignment vertical="center" wrapText="1"/>
    </xf>
    <xf numFmtId="0" fontId="7" fillId="32" borderId="74" xfId="184" applyFont="1" applyFill="1" applyBorder="1" applyAlignment="1" applyProtection="1">
      <alignment horizontal="right" vertical="center"/>
    </xf>
    <xf numFmtId="0" fontId="7" fillId="32" borderId="55" xfId="184" applyFont="1" applyFill="1" applyBorder="1" applyAlignment="1" applyProtection="1">
      <alignment horizontal="right" vertical="center"/>
    </xf>
    <xf numFmtId="0" fontId="19" fillId="32" borderId="42" xfId="184" applyFont="1" applyFill="1" applyBorder="1" applyAlignment="1" applyProtection="1">
      <alignment horizontal="right" vertical="center"/>
    </xf>
    <xf numFmtId="3" fontId="19" fillId="32" borderId="42" xfId="192" applyNumberFormat="1" applyFont="1" applyFill="1" applyBorder="1" applyAlignment="1" applyProtection="1">
      <alignment horizontal="left" vertical="center"/>
    </xf>
    <xf numFmtId="0" fontId="21" fillId="32" borderId="58" xfId="184" applyFont="1" applyFill="1" applyBorder="1" applyAlignment="1" applyProtection="1">
      <alignment horizontal="right" vertical="center"/>
    </xf>
    <xf numFmtId="167" fontId="7" fillId="29" borderId="47" xfId="174" applyNumberFormat="1" applyFont="1" applyFill="1" applyBorder="1" applyAlignment="1" applyProtection="1">
      <alignment vertical="center"/>
    </xf>
    <xf numFmtId="0" fontId="7" fillId="32" borderId="95" xfId="184" applyFont="1" applyFill="1" applyBorder="1" applyAlignment="1" applyProtection="1">
      <alignment horizontal="right" vertical="center"/>
    </xf>
    <xf numFmtId="0" fontId="19" fillId="32" borderId="92" xfId="184" applyFont="1" applyFill="1" applyBorder="1" applyAlignment="1" applyProtection="1">
      <alignment horizontal="right" vertical="center"/>
    </xf>
    <xf numFmtId="169" fontId="7" fillId="32" borderId="92" xfId="192" applyNumberFormat="1" applyFont="1" applyFill="1" applyBorder="1" applyAlignment="1" applyProtection="1">
      <alignment vertical="center"/>
    </xf>
    <xf numFmtId="3" fontId="19" fillId="32" borderId="92" xfId="192" applyNumberFormat="1" applyFont="1" applyFill="1" applyBorder="1" applyAlignment="1" applyProtection="1">
      <alignment horizontal="left" vertical="center"/>
    </xf>
    <xf numFmtId="0" fontId="21" fillId="32" borderId="96" xfId="184" applyFont="1" applyFill="1" applyBorder="1" applyAlignment="1" applyProtection="1">
      <alignment horizontal="right" vertical="center"/>
    </xf>
    <xf numFmtId="167" fontId="7" fillId="29" borderId="60" xfId="174" applyNumberFormat="1" applyFont="1" applyFill="1" applyBorder="1" applyAlignment="1" applyProtection="1">
      <alignment vertical="center"/>
    </xf>
    <xf numFmtId="0" fontId="7" fillId="32" borderId="97" xfId="184" applyFont="1" applyFill="1" applyBorder="1" applyAlignment="1" applyProtection="1">
      <alignment horizontal="right" vertical="center"/>
    </xf>
    <xf numFmtId="0" fontId="19" fillId="32" borderId="72" xfId="184" applyFont="1" applyFill="1" applyBorder="1" applyAlignment="1" applyProtection="1">
      <alignment horizontal="right" vertical="center"/>
    </xf>
    <xf numFmtId="169" fontId="7" fillId="32" borderId="72" xfId="192" applyNumberFormat="1" applyFont="1" applyFill="1" applyBorder="1" applyAlignment="1" applyProtection="1">
      <alignment vertical="center"/>
    </xf>
    <xf numFmtId="3" fontId="19" fillId="32" borderId="72" xfId="192" applyNumberFormat="1" applyFont="1" applyFill="1" applyBorder="1" applyAlignment="1" applyProtection="1">
      <alignment horizontal="left" vertical="center"/>
    </xf>
    <xf numFmtId="0" fontId="21" fillId="32" borderId="98" xfId="184" applyFont="1" applyFill="1" applyBorder="1" applyAlignment="1" applyProtection="1">
      <alignment horizontal="right" vertical="center"/>
    </xf>
    <xf numFmtId="167" fontId="7" fillId="29" borderId="80" xfId="174" applyNumberFormat="1" applyFont="1" applyFill="1" applyBorder="1" applyAlignment="1" applyProtection="1">
      <alignment vertical="center"/>
    </xf>
    <xf numFmtId="0" fontId="7" fillId="0" borderId="15" xfId="174" applyFont="1" applyFill="1" applyBorder="1" applyAlignment="1" applyProtection="1">
      <alignment horizontal="center" vertical="center" wrapText="1"/>
    </xf>
    <xf numFmtId="169" fontId="7" fillId="32" borderId="42" xfId="192" applyNumberFormat="1" applyFont="1" applyFill="1" applyBorder="1" applyAlignment="1" applyProtection="1">
      <alignment vertical="center"/>
    </xf>
    <xf numFmtId="0" fontId="82" fillId="32" borderId="0" xfId="174" applyFont="1" applyFill="1" applyAlignment="1" applyProtection="1">
      <alignment vertical="center"/>
    </xf>
    <xf numFmtId="0" fontId="83" fillId="32" borderId="0" xfId="174" applyFont="1" applyFill="1" applyAlignment="1" applyProtection="1">
      <alignment vertical="center"/>
    </xf>
    <xf numFmtId="0" fontId="74" fillId="0" borderId="0" xfId="174" applyFont="1" applyFill="1" applyAlignment="1" applyProtection="1">
      <alignment vertical="center"/>
    </xf>
    <xf numFmtId="0" fontId="79" fillId="0" borderId="0" xfId="174" applyFont="1" applyFill="1" applyBorder="1" applyAlignment="1" applyProtection="1">
      <alignment vertical="center"/>
    </xf>
    <xf numFmtId="0" fontId="79" fillId="0" borderId="0" xfId="174" applyFont="1" applyFill="1" applyAlignment="1" applyProtection="1">
      <alignment vertical="center"/>
    </xf>
    <xf numFmtId="0" fontId="73" fillId="0" borderId="0" xfId="174" applyFont="1" applyFill="1" applyAlignment="1" applyProtection="1">
      <alignment horizontal="center" vertical="center"/>
    </xf>
    <xf numFmtId="0" fontId="83" fillId="32" borderId="0" xfId="176" applyFont="1" applyFill="1" applyAlignment="1" applyProtection="1">
      <alignment vertical="center"/>
    </xf>
    <xf numFmtId="0" fontId="82" fillId="32" borderId="0" xfId="176" applyFont="1" applyFill="1" applyAlignment="1" applyProtection="1">
      <alignment vertical="center"/>
    </xf>
    <xf numFmtId="0" fontId="74" fillId="32" borderId="0" xfId="184" applyFont="1" applyFill="1" applyAlignment="1" applyProtection="1">
      <alignment vertical="center"/>
    </xf>
    <xf numFmtId="0" fontId="79" fillId="32" borderId="0" xfId="184" applyFont="1" applyFill="1" applyAlignment="1" applyProtection="1">
      <alignment vertical="center"/>
    </xf>
    <xf numFmtId="0" fontId="73" fillId="32" borderId="0" xfId="184" applyFont="1" applyFill="1" applyAlignment="1" applyProtection="1">
      <alignment vertical="center"/>
    </xf>
    <xf numFmtId="0" fontId="80" fillId="32" borderId="0" xfId="0" applyFont="1" applyFill="1" applyAlignment="1" applyProtection="1">
      <alignment vertical="center" wrapText="1"/>
    </xf>
    <xf numFmtId="0" fontId="3" fillId="32" borderId="0" xfId="171" applyFill="1" applyAlignment="1" applyProtection="1">
      <alignment vertical="center"/>
    </xf>
    <xf numFmtId="0" fontId="64" fillId="32" borderId="0" xfId="171" applyFont="1" applyFill="1" applyAlignment="1" applyProtection="1">
      <alignment vertical="center"/>
    </xf>
    <xf numFmtId="0" fontId="7" fillId="32" borderId="0" xfId="171" applyFont="1" applyFill="1" applyAlignment="1" applyProtection="1">
      <alignment vertical="center"/>
    </xf>
    <xf numFmtId="0" fontId="6" fillId="32" borderId="0" xfId="171" applyFont="1" applyFill="1" applyAlignment="1" applyProtection="1">
      <alignment vertical="center"/>
    </xf>
    <xf numFmtId="167" fontId="6" fillId="32" borderId="0" xfId="171" applyNumberFormat="1" applyFont="1" applyFill="1" applyAlignment="1" applyProtection="1">
      <alignment vertical="center"/>
    </xf>
    <xf numFmtId="0" fontId="5" fillId="32" borderId="53" xfId="171" applyFont="1" applyFill="1" applyBorder="1" applyAlignment="1" applyProtection="1">
      <alignment vertical="center"/>
    </xf>
    <xf numFmtId="0" fontId="5" fillId="32" borderId="54" xfId="171" applyFont="1" applyFill="1" applyBorder="1" applyAlignment="1" applyProtection="1">
      <alignment vertical="center"/>
    </xf>
    <xf numFmtId="167" fontId="7" fillId="32" borderId="53" xfId="171" applyNumberFormat="1" applyFont="1" applyFill="1" applyBorder="1" applyAlignment="1" applyProtection="1">
      <alignment vertical="center"/>
    </xf>
    <xf numFmtId="167" fontId="7" fillId="32" borderId="34" xfId="192" applyNumberFormat="1" applyFont="1" applyFill="1" applyBorder="1" applyAlignment="1" applyProtection="1">
      <alignment horizontal="right" vertical="center"/>
    </xf>
    <xf numFmtId="167" fontId="7" fillId="32" borderId="79" xfId="171" applyNumberFormat="1" applyFont="1" applyFill="1" applyBorder="1" applyAlignment="1" applyProtection="1">
      <alignment vertical="center"/>
    </xf>
    <xf numFmtId="0" fontId="3" fillId="32" borderId="79" xfId="171" applyFont="1" applyFill="1" applyBorder="1" applyAlignment="1" applyProtection="1">
      <alignment vertical="center"/>
    </xf>
    <xf numFmtId="3" fontId="6" fillId="32" borderId="101" xfId="192" applyNumberFormat="1" applyFont="1" applyFill="1" applyBorder="1" applyAlignment="1" applyProtection="1">
      <alignment horizontal="right" vertical="center"/>
    </xf>
    <xf numFmtId="0" fontId="3" fillId="32" borderId="101" xfId="171" applyFont="1" applyFill="1" applyBorder="1" applyAlignment="1" applyProtection="1">
      <alignment horizontal="right" vertical="center"/>
    </xf>
    <xf numFmtId="167" fontId="3" fillId="29" borderId="101" xfId="192" applyNumberFormat="1" applyFont="1" applyFill="1" applyBorder="1" applyAlignment="1" applyProtection="1">
      <alignment vertical="center"/>
    </xf>
    <xf numFmtId="3" fontId="6" fillId="32" borderId="27" xfId="192" applyNumberFormat="1" applyFont="1" applyFill="1" applyBorder="1" applyAlignment="1" applyProtection="1">
      <alignment horizontal="right" vertical="center"/>
    </xf>
    <xf numFmtId="167" fontId="7" fillId="32" borderId="99" xfId="192" applyNumberFormat="1" applyFont="1" applyFill="1" applyBorder="1" applyAlignment="1" applyProtection="1">
      <alignment horizontal="right" vertical="center"/>
    </xf>
    <xf numFmtId="167" fontId="7" fillId="32" borderId="101" xfId="171" applyNumberFormat="1" applyFont="1" applyFill="1" applyBorder="1" applyAlignment="1" applyProtection="1">
      <alignment vertical="center"/>
    </xf>
    <xf numFmtId="0" fontId="3" fillId="32" borderId="101" xfId="171" applyFont="1" applyFill="1" applyBorder="1" applyAlignment="1" applyProtection="1">
      <alignment vertical="center"/>
    </xf>
    <xf numFmtId="3" fontId="6" fillId="32" borderId="81" xfId="192" applyNumberFormat="1" applyFont="1" applyFill="1" applyBorder="1" applyAlignment="1" applyProtection="1">
      <alignment horizontal="right" vertical="center"/>
    </xf>
    <xf numFmtId="167" fontId="3" fillId="32" borderId="100" xfId="192" applyNumberFormat="1" applyFont="1" applyFill="1" applyBorder="1" applyAlignment="1" applyProtection="1">
      <alignment vertical="center"/>
    </xf>
    <xf numFmtId="167" fontId="7" fillId="32" borderId="100" xfId="192" applyNumberFormat="1" applyFont="1" applyFill="1" applyBorder="1" applyAlignment="1" applyProtection="1">
      <alignment vertical="center"/>
    </xf>
    <xf numFmtId="167" fontId="3" fillId="32" borderId="101" xfId="192" applyNumberFormat="1" applyFont="1" applyFill="1" applyBorder="1" applyAlignment="1" applyProtection="1">
      <alignment vertical="center"/>
    </xf>
    <xf numFmtId="0" fontId="75" fillId="32" borderId="0" xfId="186" applyFont="1" applyFill="1" applyBorder="1" applyAlignment="1" applyProtection="1">
      <alignment vertical="center"/>
    </xf>
    <xf numFmtId="0" fontId="74" fillId="32" borderId="0" xfId="171" applyFont="1" applyFill="1" applyAlignment="1" applyProtection="1">
      <alignment vertical="center"/>
    </xf>
    <xf numFmtId="0" fontId="84" fillId="32" borderId="0" xfId="171" applyFont="1" applyFill="1" applyAlignment="1" applyProtection="1">
      <alignment vertical="center"/>
    </xf>
    <xf numFmtId="0" fontId="3" fillId="32" borderId="92" xfId="171" applyFont="1" applyFill="1" applyBorder="1" applyAlignment="1" applyProtection="1">
      <alignment horizontal="right" vertical="center"/>
    </xf>
    <xf numFmtId="167" fontId="3" fillId="29" borderId="92" xfId="192" applyNumberFormat="1" applyFont="1" applyFill="1" applyBorder="1" applyAlignment="1" applyProtection="1">
      <alignment vertical="center"/>
    </xf>
    <xf numFmtId="4" fontId="3" fillId="35" borderId="11" xfId="121" applyNumberFormat="1" applyFont="1" applyFill="1" applyBorder="1" applyAlignment="1" applyProtection="1">
      <alignment vertical="center"/>
    </xf>
    <xf numFmtId="10" fontId="3" fillId="32" borderId="11" xfId="121" applyNumberFormat="1" applyFont="1" applyFill="1" applyBorder="1" applyAlignment="1" applyProtection="1">
      <alignment vertical="center"/>
    </xf>
    <xf numFmtId="4" fontId="3" fillId="32" borderId="81" xfId="30" applyNumberFormat="1" applyFill="1" applyBorder="1" applyAlignment="1" applyProtection="1">
      <alignment vertical="center"/>
    </xf>
    <xf numFmtId="0" fontId="0" fillId="32" borderId="0" xfId="0" applyFont="1" applyFill="1" applyAlignment="1" applyProtection="1">
      <alignment horizontal="center" vertical="center"/>
    </xf>
    <xf numFmtId="4" fontId="3" fillId="35" borderId="11" xfId="192" applyNumberFormat="1" applyFont="1" applyFill="1" applyBorder="1" applyAlignment="1" applyProtection="1">
      <alignment vertical="center"/>
    </xf>
    <xf numFmtId="4" fontId="6" fillId="32" borderId="11" xfId="192" applyNumberFormat="1" applyFont="1" applyFill="1" applyBorder="1" applyAlignment="1" applyProtection="1">
      <alignment horizontal="right" vertical="center"/>
    </xf>
    <xf numFmtId="171" fontId="3" fillId="32" borderId="11" xfId="192" applyNumberFormat="1" applyFont="1" applyFill="1" applyBorder="1" applyAlignment="1" applyProtection="1">
      <alignment vertical="center"/>
    </xf>
    <xf numFmtId="4" fontId="3" fillId="32" borderId="77" xfId="30" applyNumberFormat="1" applyFill="1" applyBorder="1" applyAlignment="1" applyProtection="1">
      <alignment vertical="center"/>
    </xf>
    <xf numFmtId="4" fontId="3" fillId="32" borderId="81" xfId="192" applyNumberFormat="1" applyFont="1" applyFill="1" applyBorder="1" applyAlignment="1" applyProtection="1">
      <alignment vertical="center"/>
    </xf>
    <xf numFmtId="4" fontId="3" fillId="32" borderId="30" xfId="192" applyNumberFormat="1" applyFont="1" applyFill="1" applyBorder="1" applyAlignment="1" applyProtection="1">
      <alignment vertical="center"/>
    </xf>
    <xf numFmtId="4" fontId="6" fillId="35" borderId="11" xfId="192" applyNumberFormat="1" applyFont="1" applyFill="1" applyBorder="1" applyAlignment="1" applyProtection="1">
      <alignment horizontal="right" vertical="center"/>
    </xf>
    <xf numFmtId="0" fontId="0" fillId="34" borderId="0" xfId="0" applyFill="1" applyAlignment="1" applyProtection="1">
      <alignment horizontal="right" vertical="center"/>
    </xf>
    <xf numFmtId="4" fontId="7" fillId="0" borderId="11" xfId="0" applyNumberFormat="1" applyFont="1" applyFill="1" applyBorder="1" applyAlignment="1" applyProtection="1">
      <alignment horizontal="right" vertical="center"/>
    </xf>
    <xf numFmtId="0" fontId="0" fillId="32" borderId="0" xfId="0" applyFill="1" applyAlignment="1" applyProtection="1">
      <alignment horizontal="right"/>
    </xf>
    <xf numFmtId="0" fontId="6" fillId="41" borderId="0" xfId="0" applyFont="1" applyFill="1" applyAlignment="1" applyProtection="1">
      <alignment vertical="center"/>
    </xf>
    <xf numFmtId="0" fontId="85" fillId="32" borderId="0" xfId="186" applyFont="1" applyFill="1" applyAlignment="1" applyProtection="1">
      <alignment vertical="center"/>
    </xf>
    <xf numFmtId="4" fontId="3" fillId="32" borderId="31" xfId="30" applyNumberFormat="1" applyFill="1" applyBorder="1" applyAlignment="1" applyProtection="1">
      <alignment vertical="center"/>
    </xf>
    <xf numFmtId="4" fontId="3" fillId="32" borderId="30" xfId="30" applyNumberFormat="1" applyFill="1" applyBorder="1" applyAlignment="1" applyProtection="1">
      <alignment vertical="center"/>
    </xf>
    <xf numFmtId="4" fontId="60" fillId="32" borderId="29" xfId="30" applyNumberFormat="1" applyFont="1" applyFill="1" applyBorder="1" applyAlignment="1" applyProtection="1">
      <alignment vertical="center"/>
    </xf>
    <xf numFmtId="4" fontId="60" fillId="32" borderId="11" xfId="30" applyNumberFormat="1" applyFont="1" applyFill="1" applyBorder="1" applyAlignment="1" applyProtection="1">
      <alignment horizontal="center" vertical="center"/>
    </xf>
    <xf numFmtId="0" fontId="18" fillId="32" borderId="0" xfId="13" applyFill="1" applyAlignment="1" applyProtection="1">
      <alignment horizontal="center" vertical="center"/>
    </xf>
    <xf numFmtId="0" fontId="80" fillId="32" borderId="0" xfId="0" applyFont="1" applyFill="1" applyAlignment="1" applyProtection="1">
      <alignment vertical="center"/>
    </xf>
    <xf numFmtId="0" fontId="0" fillId="32" borderId="0" xfId="0" applyFill="1" applyAlignment="1" applyProtection="1">
      <alignment vertical="center" wrapText="1"/>
    </xf>
    <xf numFmtId="0" fontId="5" fillId="32" borderId="0" xfId="0" applyFont="1" applyFill="1" applyAlignment="1" applyProtection="1">
      <alignment vertical="center" wrapText="1"/>
    </xf>
    <xf numFmtId="0" fontId="80" fillId="32" borderId="0" xfId="0" applyFont="1" applyFill="1" applyAlignment="1" applyProtection="1">
      <alignment horizontal="center" vertical="center"/>
    </xf>
    <xf numFmtId="0" fontId="0" fillId="32" borderId="27" xfId="0" applyFill="1" applyBorder="1" applyAlignment="1" applyProtection="1">
      <alignment horizontal="center" vertical="center"/>
    </xf>
    <xf numFmtId="0" fontId="0" fillId="32" borderId="28" xfId="0" applyFill="1" applyBorder="1" applyAlignment="1" applyProtection="1">
      <alignment vertical="center"/>
    </xf>
    <xf numFmtId="0" fontId="3" fillId="32" borderId="29" xfId="0" applyFont="1" applyFill="1" applyBorder="1" applyAlignment="1" applyProtection="1">
      <alignment vertical="center" wrapText="1"/>
    </xf>
    <xf numFmtId="165" fontId="3" fillId="32" borderId="29" xfId="192" applyFont="1" applyFill="1" applyBorder="1" applyAlignment="1" applyProtection="1">
      <alignment vertical="center"/>
    </xf>
    <xf numFmtId="167" fontId="3" fillId="32" borderId="0" xfId="192" applyNumberFormat="1" applyFont="1" applyFill="1" applyBorder="1" applyAlignment="1" applyProtection="1">
      <alignment vertical="center"/>
    </xf>
    <xf numFmtId="0" fontId="3" fillId="0" borderId="11" xfId="186" applyNumberFormat="1" applyFont="1" applyBorder="1" applyAlignment="1" applyProtection="1">
      <alignment horizontal="center" vertical="center"/>
    </xf>
    <xf numFmtId="3" fontId="3" fillId="31" borderId="11" xfId="192" applyNumberFormat="1" applyFont="1" applyFill="1" applyBorder="1" applyAlignment="1" applyProtection="1">
      <alignment vertical="center"/>
      <protection locked="0"/>
    </xf>
    <xf numFmtId="167" fontId="6" fillId="31" borderId="11" xfId="192" applyNumberFormat="1" applyFont="1" applyFill="1" applyBorder="1" applyAlignment="1" applyProtection="1">
      <alignment vertical="center"/>
      <protection locked="0"/>
    </xf>
    <xf numFmtId="0" fontId="3" fillId="32" borderId="30" xfId="0" applyFont="1" applyFill="1" applyBorder="1" applyAlignment="1" applyProtection="1">
      <alignment vertical="center" wrapText="1"/>
    </xf>
    <xf numFmtId="0" fontId="3" fillId="32" borderId="30" xfId="186" applyNumberFormat="1" applyFont="1" applyFill="1" applyBorder="1" applyAlignment="1" applyProtection="1">
      <alignment horizontal="center" vertical="center"/>
    </xf>
    <xf numFmtId="167" fontId="3" fillId="32" borderId="30" xfId="192" applyNumberFormat="1" applyFont="1" applyFill="1" applyBorder="1" applyAlignment="1" applyProtection="1">
      <alignment vertical="center"/>
    </xf>
    <xf numFmtId="0" fontId="0" fillId="0" borderId="11" xfId="0" applyFont="1" applyBorder="1" applyAlignment="1" applyProtection="1">
      <alignment vertical="center" wrapText="1"/>
    </xf>
    <xf numFmtId="167" fontId="3" fillId="0" borderId="11" xfId="192" applyNumberFormat="1" applyFont="1" applyFill="1" applyBorder="1" applyAlignment="1" applyProtection="1">
      <alignment vertical="center"/>
    </xf>
    <xf numFmtId="167" fontId="0" fillId="29" borderId="11" xfId="192" applyNumberFormat="1" applyFont="1" applyFill="1" applyBorder="1" applyAlignment="1" applyProtection="1">
      <alignment vertical="center"/>
    </xf>
    <xf numFmtId="0" fontId="6" fillId="32" borderId="31" xfId="192" applyNumberFormat="1" applyFont="1" applyFill="1" applyBorder="1" applyAlignment="1" applyProtection="1">
      <alignment horizontal="center" vertical="center"/>
    </xf>
    <xf numFmtId="0" fontId="6" fillId="32" borderId="29" xfId="0" applyFont="1" applyFill="1" applyBorder="1" applyAlignment="1" applyProtection="1">
      <alignment horizontal="right" vertical="center" wrapText="1"/>
    </xf>
    <xf numFmtId="0" fontId="3" fillId="32" borderId="29" xfId="186" applyNumberFormat="1" applyFont="1" applyFill="1" applyBorder="1" applyAlignment="1" applyProtection="1">
      <alignment horizontal="center" vertical="center"/>
    </xf>
    <xf numFmtId="167" fontId="3" fillId="32" borderId="29" xfId="192" applyNumberFormat="1" applyFont="1" applyFill="1" applyBorder="1" applyAlignment="1" applyProtection="1">
      <alignment vertical="center"/>
    </xf>
    <xf numFmtId="0" fontId="6" fillId="32" borderId="32" xfId="192" applyNumberFormat="1" applyFont="1" applyFill="1" applyBorder="1" applyAlignment="1" applyProtection="1">
      <alignment horizontal="center" vertical="center"/>
    </xf>
    <xf numFmtId="0" fontId="0" fillId="0" borderId="11" xfId="0" applyFont="1" applyBorder="1" applyAlignment="1" applyProtection="1">
      <alignment horizontal="left" vertical="center" wrapText="1"/>
    </xf>
    <xf numFmtId="0" fontId="3" fillId="0" borderId="11" xfId="0" applyFont="1" applyBorder="1" applyAlignment="1" applyProtection="1">
      <alignment vertical="center" wrapText="1"/>
    </xf>
    <xf numFmtId="0" fontId="6" fillId="32" borderId="0" xfId="192" applyNumberFormat="1" applyFont="1" applyFill="1" applyBorder="1" applyAlignment="1" applyProtection="1">
      <alignment vertical="center"/>
    </xf>
    <xf numFmtId="3" fontId="6" fillId="32" borderId="0" xfId="192" applyNumberFormat="1" applyFont="1" applyFill="1" applyBorder="1" applyAlignment="1" applyProtection="1">
      <alignment vertical="center"/>
    </xf>
    <xf numFmtId="0" fontId="3" fillId="32" borderId="0" xfId="186" applyNumberFormat="1" applyFont="1" applyFill="1" applyBorder="1" applyAlignment="1" applyProtection="1">
      <alignment horizontal="center" vertical="center"/>
    </xf>
    <xf numFmtId="0" fontId="3" fillId="32" borderId="11" xfId="0" applyFont="1" applyFill="1" applyBorder="1" applyAlignment="1" applyProtection="1">
      <alignment vertical="center" wrapText="1"/>
    </xf>
    <xf numFmtId="3" fontId="6" fillId="32" borderId="11" xfId="192" applyNumberFormat="1" applyFont="1" applyFill="1" applyBorder="1" applyAlignment="1" applyProtection="1">
      <alignment vertical="center"/>
    </xf>
    <xf numFmtId="0" fontId="6" fillId="32" borderId="11" xfId="0" applyFont="1" applyFill="1" applyBorder="1" applyAlignment="1" applyProtection="1">
      <alignment horizontal="center" vertical="center"/>
    </xf>
    <xf numFmtId="0" fontId="6" fillId="32" borderId="33" xfId="0" applyFont="1" applyFill="1" applyBorder="1" applyAlignment="1" applyProtection="1">
      <alignment horizontal="left" vertical="center" wrapText="1"/>
    </xf>
    <xf numFmtId="0" fontId="0" fillId="32" borderId="33" xfId="0" applyFill="1" applyBorder="1" applyAlignment="1" applyProtection="1">
      <alignment vertical="center"/>
    </xf>
    <xf numFmtId="167" fontId="6" fillId="32" borderId="11" xfId="192" applyNumberFormat="1" applyFont="1" applyFill="1" applyBorder="1" applyAlignment="1" applyProtection="1">
      <alignment horizontal="right" vertical="center"/>
    </xf>
    <xf numFmtId="3" fontId="6" fillId="32" borderId="33" xfId="192" applyNumberFormat="1" applyFont="1" applyFill="1" applyBorder="1" applyAlignment="1" applyProtection="1">
      <alignment vertical="center"/>
    </xf>
    <xf numFmtId="165" fontId="3" fillId="32" borderId="0" xfId="192" applyFont="1" applyFill="1" applyBorder="1" applyAlignment="1" applyProtection="1">
      <alignment vertical="center"/>
    </xf>
    <xf numFmtId="165" fontId="7" fillId="32" borderId="11" xfId="192" applyFont="1" applyFill="1" applyBorder="1" applyAlignment="1" applyProtection="1">
      <alignment horizontal="center" vertical="center"/>
    </xf>
    <xf numFmtId="0" fontId="0" fillId="32" borderId="11" xfId="0" applyFill="1" applyBorder="1" applyAlignment="1" applyProtection="1">
      <alignment vertical="center" wrapText="1"/>
    </xf>
    <xf numFmtId="0" fontId="0" fillId="32" borderId="11" xfId="0"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0" fillId="32" borderId="0" xfId="0" applyFill="1" applyBorder="1" applyAlignment="1" applyProtection="1">
      <alignment horizontal="center" vertical="center"/>
    </xf>
    <xf numFmtId="0" fontId="0" fillId="32" borderId="33" xfId="0" applyFill="1" applyBorder="1" applyAlignment="1" applyProtection="1">
      <alignment vertical="center" wrapText="1"/>
    </xf>
    <xf numFmtId="0" fontId="0" fillId="32" borderId="33" xfId="0" applyFill="1" applyBorder="1" applyAlignment="1" applyProtection="1">
      <alignment horizontal="center" vertical="center"/>
    </xf>
    <xf numFmtId="0" fontId="0" fillId="32" borderId="33" xfId="0" applyFont="1" applyFill="1" applyBorder="1" applyAlignment="1" applyProtection="1">
      <alignment horizontal="center" vertical="center"/>
    </xf>
    <xf numFmtId="0" fontId="0" fillId="32" borderId="27" xfId="0" applyFill="1" applyBorder="1" applyAlignment="1" applyProtection="1">
      <alignment vertical="center" wrapText="1"/>
    </xf>
    <xf numFmtId="0" fontId="0" fillId="32" borderId="28" xfId="0" applyFont="1" applyFill="1" applyBorder="1" applyAlignment="1" applyProtection="1">
      <alignment horizontal="center" vertical="center"/>
    </xf>
    <xf numFmtId="0" fontId="19" fillId="32" borderId="11" xfId="0" applyFont="1" applyFill="1" applyBorder="1" applyAlignment="1" applyProtection="1">
      <alignment vertical="center" wrapText="1"/>
    </xf>
    <xf numFmtId="167" fontId="19" fillId="32" borderId="11" xfId="192" applyNumberFormat="1" applyFont="1" applyFill="1" applyBorder="1" applyAlignment="1" applyProtection="1">
      <alignment vertical="center"/>
    </xf>
    <xf numFmtId="4" fontId="19" fillId="0" borderId="11" xfId="186" applyNumberFormat="1" applyFont="1" applyBorder="1" applyAlignment="1" applyProtection="1">
      <alignment horizontal="left" vertical="center" wrapText="1"/>
    </xf>
    <xf numFmtId="4" fontId="19" fillId="32" borderId="11" xfId="186" applyNumberFormat="1" applyFont="1" applyFill="1" applyBorder="1" applyAlignment="1" applyProtection="1">
      <alignment horizontal="left" vertical="center" wrapText="1"/>
    </xf>
    <xf numFmtId="0" fontId="3" fillId="32" borderId="11" xfId="186" applyNumberFormat="1" applyFont="1" applyFill="1" applyBorder="1" applyAlignment="1" applyProtection="1">
      <alignment horizontal="center" vertical="center"/>
    </xf>
    <xf numFmtId="167" fontId="19" fillId="0" borderId="11" xfId="192" applyNumberFormat="1" applyFont="1" applyFill="1" applyBorder="1" applyAlignment="1" applyProtection="1">
      <alignment vertical="center"/>
    </xf>
    <xf numFmtId="167" fontId="19" fillId="29" borderId="11" xfId="192" applyNumberFormat="1" applyFont="1" applyFill="1" applyBorder="1" applyAlignment="1" applyProtection="1">
      <alignment vertical="center"/>
    </xf>
    <xf numFmtId="165" fontId="0" fillId="32" borderId="0" xfId="0" applyNumberFormat="1" applyFill="1" applyBorder="1" applyAlignment="1" applyProtection="1">
      <alignment vertical="center"/>
    </xf>
    <xf numFmtId="167" fontId="6" fillId="32" borderId="0" xfId="0" applyNumberFormat="1" applyFont="1" applyFill="1" applyAlignment="1" applyProtection="1">
      <alignment vertical="center"/>
    </xf>
    <xf numFmtId="0" fontId="0" fillId="32" borderId="0" xfId="0" applyFont="1" applyFill="1" applyAlignment="1" applyProtection="1">
      <alignment vertical="center" wrapText="1"/>
    </xf>
    <xf numFmtId="167" fontId="7" fillId="32" borderId="0" xfId="0" applyNumberFormat="1" applyFont="1" applyFill="1" applyAlignment="1" applyProtection="1">
      <alignment vertical="center"/>
    </xf>
    <xf numFmtId="167" fontId="7" fillId="32" borderId="0" xfId="0" applyNumberFormat="1" applyFont="1" applyFill="1" applyAlignment="1" applyProtection="1">
      <alignment horizontal="right" vertical="center"/>
    </xf>
    <xf numFmtId="167" fontId="6" fillId="32" borderId="11" xfId="0" quotePrefix="1" applyNumberFormat="1" applyFont="1" applyFill="1" applyBorder="1" applyAlignment="1" applyProtection="1">
      <alignment horizontal="right" vertical="center"/>
    </xf>
    <xf numFmtId="0" fontId="6" fillId="32" borderId="0" xfId="30" applyFont="1" applyFill="1" applyAlignment="1" applyProtection="1">
      <alignment vertical="center" wrapText="1"/>
    </xf>
    <xf numFmtId="0" fontId="18" fillId="32" borderId="11" xfId="13" applyFill="1" applyBorder="1" applyAlignment="1" applyProtection="1">
      <alignment horizontal="center" vertical="center"/>
    </xf>
    <xf numFmtId="167" fontId="3" fillId="32" borderId="11" xfId="192" applyNumberFormat="1" applyFont="1" applyFill="1" applyBorder="1" applyAlignment="1" applyProtection="1">
      <alignment horizontal="center" vertical="center"/>
    </xf>
    <xf numFmtId="0" fontId="6" fillId="0" borderId="11" xfId="0" applyFont="1" applyBorder="1" applyAlignment="1" applyProtection="1">
      <alignment horizontal="left" vertical="center" wrapText="1" indent="2"/>
    </xf>
    <xf numFmtId="1" fontId="3" fillId="41" borderId="26" xfId="30" applyNumberFormat="1" applyFill="1" applyBorder="1" applyAlignment="1" applyProtection="1">
      <alignment horizontal="center" vertical="center"/>
    </xf>
    <xf numFmtId="0" fontId="3" fillId="41" borderId="26" xfId="30" applyFill="1" applyBorder="1" applyAlignment="1" applyProtection="1">
      <alignment horizontal="center" vertical="center"/>
    </xf>
    <xf numFmtId="4" fontId="60" fillId="41" borderId="37" xfId="30" applyNumberFormat="1" applyFont="1" applyFill="1" applyBorder="1" applyAlignment="1" applyProtection="1">
      <alignment horizontal="center" vertical="center"/>
    </xf>
    <xf numFmtId="0" fontId="3" fillId="41" borderId="0" xfId="30" applyFill="1" applyAlignment="1" applyProtection="1">
      <alignment vertical="center"/>
    </xf>
    <xf numFmtId="0" fontId="7" fillId="32" borderId="27" xfId="0" applyFont="1" applyFill="1" applyBorder="1" applyAlignment="1" applyProtection="1">
      <alignment horizontal="center" vertical="center"/>
    </xf>
    <xf numFmtId="0" fontId="7" fillId="32" borderId="28" xfId="0" applyFont="1" applyFill="1" applyBorder="1" applyAlignment="1" applyProtection="1">
      <alignment vertical="center"/>
    </xf>
    <xf numFmtId="0" fontId="7" fillId="32" borderId="0" xfId="30" applyFont="1" applyFill="1" applyAlignment="1" applyProtection="1">
      <alignment vertical="center"/>
    </xf>
    <xf numFmtId="10" fontId="3" fillId="31" borderId="11" xfId="121" applyNumberFormat="1" applyFill="1" applyBorder="1" applyAlignment="1" applyProtection="1">
      <alignment horizontal="right" vertical="center"/>
      <protection locked="0"/>
    </xf>
    <xf numFmtId="0" fontId="0" fillId="32" borderId="0" xfId="0" applyFill="1" applyAlignment="1">
      <alignment vertical="center"/>
    </xf>
    <xf numFmtId="0" fontId="64" fillId="32" borderId="0" xfId="0" applyFont="1" applyFill="1" applyAlignment="1">
      <alignment vertical="center"/>
    </xf>
    <xf numFmtId="170" fontId="19" fillId="31" borderId="11" xfId="121" applyNumberFormat="1" applyFont="1" applyFill="1" applyBorder="1" applyAlignment="1" applyProtection="1">
      <alignment horizontal="right" vertical="center"/>
      <protection locked="0"/>
    </xf>
    <xf numFmtId="167" fontId="3" fillId="31" borderId="66" xfId="192" applyNumberFormat="1" applyFill="1" applyBorder="1" applyAlignment="1" applyProtection="1">
      <alignment vertical="center"/>
      <protection locked="0"/>
    </xf>
    <xf numFmtId="167" fontId="3" fillId="31" borderId="43" xfId="192" applyNumberFormat="1" applyFill="1" applyBorder="1" applyAlignment="1" applyProtection="1">
      <alignment vertical="center"/>
      <protection locked="0"/>
    </xf>
    <xf numFmtId="167" fontId="3" fillId="31" borderId="68" xfId="192" applyNumberFormat="1" applyFill="1" applyBorder="1" applyAlignment="1" applyProtection="1">
      <alignment vertical="center"/>
      <protection locked="0"/>
    </xf>
    <xf numFmtId="167" fontId="3" fillId="31" borderId="52" xfId="192" applyNumberFormat="1" applyFill="1" applyBorder="1" applyAlignment="1" applyProtection="1">
      <alignment vertical="center"/>
      <protection locked="0"/>
    </xf>
    <xf numFmtId="0" fontId="74" fillId="32" borderId="0" xfId="0" applyFont="1" applyFill="1" applyAlignment="1">
      <alignment vertical="center"/>
    </xf>
    <xf numFmtId="167" fontId="3" fillId="31" borderId="46" xfId="192" applyNumberFormat="1" applyFill="1" applyBorder="1" applyAlignment="1" applyProtection="1">
      <alignment vertical="center"/>
      <protection locked="0"/>
    </xf>
    <xf numFmtId="167" fontId="3" fillId="31" borderId="59" xfId="192" applyNumberFormat="1" applyFill="1" applyBorder="1" applyAlignment="1" applyProtection="1">
      <alignment vertical="center"/>
      <protection locked="0"/>
    </xf>
    <xf numFmtId="10" fontId="7" fillId="32" borderId="25" xfId="121" applyNumberFormat="1" applyFont="1" applyFill="1" applyBorder="1" applyAlignment="1">
      <alignment vertical="center"/>
    </xf>
    <xf numFmtId="10" fontId="7" fillId="32" borderId="39" xfId="121" applyNumberFormat="1" applyFont="1" applyFill="1" applyBorder="1" applyAlignment="1">
      <alignment vertical="center"/>
    </xf>
    <xf numFmtId="0" fontId="84" fillId="32" borderId="0" xfId="0" applyFont="1" applyFill="1" applyBorder="1" applyAlignment="1">
      <alignment vertical="center"/>
    </xf>
    <xf numFmtId="167" fontId="7" fillId="32" borderId="25" xfId="194" applyNumberFormat="1" applyFont="1" applyFill="1" applyBorder="1" applyAlignment="1">
      <alignment vertical="center"/>
    </xf>
    <xf numFmtId="167" fontId="7" fillId="32" borderId="39" xfId="194" applyNumberFormat="1" applyFont="1" applyFill="1" applyBorder="1" applyAlignment="1">
      <alignment vertical="center"/>
    </xf>
    <xf numFmtId="0" fontId="3" fillId="32" borderId="48" xfId="0" applyFont="1" applyFill="1" applyBorder="1" applyAlignment="1">
      <alignment vertical="center"/>
    </xf>
    <xf numFmtId="0" fontId="3" fillId="32" borderId="49" xfId="0" applyFont="1" applyFill="1" applyBorder="1" applyAlignment="1">
      <alignment vertical="center"/>
    </xf>
    <xf numFmtId="0" fontId="3" fillId="32" borderId="51" xfId="0" applyFont="1" applyFill="1" applyBorder="1" applyAlignment="1">
      <alignment vertical="center"/>
    </xf>
    <xf numFmtId="0" fontId="3" fillId="32" borderId="15" xfId="0" applyFont="1" applyFill="1" applyBorder="1" applyAlignment="1">
      <alignment vertical="center"/>
    </xf>
    <xf numFmtId="1" fontId="7" fillId="32" borderId="90" xfId="0" applyNumberFormat="1" applyFont="1" applyFill="1" applyBorder="1" applyAlignment="1">
      <alignment horizontal="center" vertical="center"/>
    </xf>
    <xf numFmtId="0" fontId="3" fillId="32" borderId="103" xfId="0" applyFont="1" applyFill="1" applyBorder="1" applyAlignment="1">
      <alignment horizontal="left" vertical="center"/>
    </xf>
    <xf numFmtId="164" fontId="3" fillId="32" borderId="104" xfId="192" applyNumberFormat="1" applyFill="1" applyBorder="1" applyAlignment="1">
      <alignment vertical="center"/>
    </xf>
    <xf numFmtId="164" fontId="3" fillId="32" borderId="105" xfId="192" applyNumberFormat="1" applyFill="1" applyBorder="1" applyAlignment="1">
      <alignment vertical="center"/>
    </xf>
    <xf numFmtId="0" fontId="3" fillId="32" borderId="14" xfId="0" applyFont="1" applyFill="1" applyBorder="1" applyAlignment="1">
      <alignment vertical="center"/>
    </xf>
    <xf numFmtId="0" fontId="3" fillId="32" borderId="108" xfId="0" applyFont="1" applyFill="1" applyBorder="1" applyAlignment="1">
      <alignment horizontal="left" vertical="center"/>
    </xf>
    <xf numFmtId="164" fontId="3" fillId="32" borderId="109" xfId="192" applyNumberFormat="1" applyFill="1" applyBorder="1" applyAlignment="1">
      <alignment vertical="center"/>
    </xf>
    <xf numFmtId="164" fontId="3" fillId="32" borderId="106" xfId="192" applyNumberFormat="1" applyFill="1" applyBorder="1" applyAlignment="1">
      <alignment vertical="center"/>
    </xf>
    <xf numFmtId="0" fontId="3" fillId="32" borderId="107" xfId="0" applyFont="1" applyFill="1" applyBorder="1" applyAlignment="1">
      <alignment vertical="center"/>
    </xf>
    <xf numFmtId="0" fontId="3" fillId="32" borderId="32" xfId="0" applyFont="1" applyFill="1" applyBorder="1" applyAlignment="1">
      <alignment horizontal="left" vertical="center"/>
    </xf>
    <xf numFmtId="164" fontId="3" fillId="32" borderId="110" xfId="192" applyNumberFormat="1" applyFill="1" applyBorder="1" applyAlignment="1">
      <alignment vertical="center"/>
    </xf>
    <xf numFmtId="164" fontId="3" fillId="32" borderId="62" xfId="192" applyNumberFormat="1" applyFill="1" applyBorder="1" applyAlignment="1">
      <alignment vertical="center"/>
    </xf>
    <xf numFmtId="0" fontId="3" fillId="32" borderId="0" xfId="0" applyFont="1" applyFill="1" applyBorder="1" applyAlignment="1">
      <alignment vertical="center"/>
    </xf>
    <xf numFmtId="164" fontId="3" fillId="32" borderId="75" xfId="192" applyNumberFormat="1" applyFill="1" applyBorder="1" applyAlignment="1">
      <alignment vertical="center"/>
    </xf>
    <xf numFmtId="164" fontId="3" fillId="32" borderId="40" xfId="192" applyNumberFormat="1" applyFill="1" applyBorder="1" applyAlignment="1">
      <alignment vertical="center"/>
    </xf>
    <xf numFmtId="0" fontId="3" fillId="32" borderId="32" xfId="0" applyFont="1" applyFill="1" applyBorder="1" applyAlignment="1">
      <alignment vertical="center"/>
    </xf>
    <xf numFmtId="0" fontId="3" fillId="32" borderId="61" xfId="0" applyFont="1" applyFill="1" applyBorder="1" applyAlignment="1">
      <alignment vertical="center"/>
    </xf>
    <xf numFmtId="0" fontId="3" fillId="32" borderId="30" xfId="0" applyFont="1" applyFill="1" applyBorder="1" applyAlignment="1">
      <alignment vertical="center"/>
    </xf>
    <xf numFmtId="164" fontId="3" fillId="32" borderId="111" xfId="192" applyNumberFormat="1" applyFill="1" applyBorder="1" applyAlignment="1">
      <alignment vertical="center"/>
    </xf>
    <xf numFmtId="164" fontId="3" fillId="32" borderId="63" xfId="192" applyNumberFormat="1" applyFill="1" applyBorder="1" applyAlignment="1">
      <alignment vertical="center"/>
    </xf>
    <xf numFmtId="0" fontId="35" fillId="32" borderId="61" xfId="0" applyFont="1" applyFill="1" applyBorder="1" applyAlignment="1">
      <alignment vertical="center"/>
    </xf>
    <xf numFmtId="0" fontId="35" fillId="32" borderId="30" xfId="0" applyFont="1" applyFill="1" applyBorder="1" applyAlignment="1">
      <alignment vertical="center"/>
    </xf>
    <xf numFmtId="164" fontId="35" fillId="32" borderId="111" xfId="192" applyNumberFormat="1" applyFont="1" applyFill="1" applyBorder="1" applyAlignment="1">
      <alignment vertical="center"/>
    </xf>
    <xf numFmtId="164" fontId="35" fillId="32" borderId="63" xfId="192" applyNumberFormat="1" applyFont="1" applyFill="1" applyBorder="1" applyAlignment="1">
      <alignment vertical="center"/>
    </xf>
    <xf numFmtId="164" fontId="7" fillId="32" borderId="75" xfId="192" applyNumberFormat="1" applyFont="1" applyFill="1" applyBorder="1" applyAlignment="1">
      <alignment vertical="center"/>
    </xf>
    <xf numFmtId="164" fontId="7" fillId="32" borderId="40" xfId="192" applyNumberFormat="1" applyFont="1" applyFill="1" applyBorder="1" applyAlignment="1">
      <alignment vertical="center"/>
    </xf>
    <xf numFmtId="0" fontId="3" fillId="32" borderId="102" xfId="0" applyFont="1" applyFill="1" applyBorder="1" applyAlignment="1">
      <alignment vertical="center"/>
    </xf>
    <xf numFmtId="0" fontId="3" fillId="32" borderId="52" xfId="0" applyFont="1" applyFill="1" applyBorder="1" applyAlignment="1">
      <alignment vertical="center"/>
    </xf>
    <xf numFmtId="0" fontId="18" fillId="0" borderId="0" xfId="13" applyFill="1" applyAlignment="1" applyProtection="1"/>
    <xf numFmtId="0" fontId="19" fillId="32" borderId="0" xfId="171" applyFont="1" applyFill="1" applyAlignment="1" applyProtection="1"/>
    <xf numFmtId="0" fontId="89" fillId="0" borderId="0" xfId="13" applyFont="1" applyFill="1" applyAlignment="1" applyProtection="1"/>
    <xf numFmtId="0" fontId="90" fillId="0" borderId="0" xfId="171" applyFont="1" applyFill="1" applyProtection="1"/>
    <xf numFmtId="0" fontId="89" fillId="32" borderId="0" xfId="13" applyFont="1" applyFill="1" applyAlignment="1" applyProtection="1"/>
    <xf numFmtId="0" fontId="90" fillId="32" borderId="0" xfId="171" applyFont="1" applyFill="1" applyProtection="1"/>
    <xf numFmtId="0" fontId="6" fillId="32" borderId="11" xfId="0" applyFont="1" applyFill="1" applyBorder="1" applyAlignment="1" applyProtection="1">
      <alignment horizontal="left" vertical="center" wrapText="1" indent="4"/>
    </xf>
    <xf numFmtId="0" fontId="0" fillId="32" borderId="25" xfId="0" applyFill="1" applyBorder="1" applyAlignment="1" applyProtection="1">
      <alignment vertical="center"/>
    </xf>
    <xf numFmtId="0" fontId="0" fillId="0" borderId="0" xfId="0" applyAlignment="1" applyProtection="1">
      <alignment vertical="center"/>
    </xf>
    <xf numFmtId="167" fontId="3" fillId="35" borderId="11" xfId="192" applyNumberFormat="1" applyFont="1" applyFill="1" applyBorder="1" applyAlignment="1" applyProtection="1">
      <alignment vertical="center"/>
    </xf>
    <xf numFmtId="0" fontId="7" fillId="29" borderId="0" xfId="174" applyFont="1" applyFill="1" applyAlignment="1" applyProtection="1">
      <alignment vertical="center"/>
    </xf>
    <xf numFmtId="0" fontId="6" fillId="32" borderId="11" xfId="30" applyFont="1" applyFill="1" applyBorder="1" applyAlignment="1" applyProtection="1">
      <alignment horizontal="right" vertical="center"/>
    </xf>
    <xf numFmtId="164" fontId="6" fillId="32" borderId="11" xfId="30" applyNumberFormat="1" applyFont="1" applyFill="1" applyBorder="1" applyAlignment="1" applyProtection="1">
      <alignment vertical="center"/>
    </xf>
    <xf numFmtId="0" fontId="7" fillId="32" borderId="33" xfId="30" applyFont="1" applyFill="1" applyBorder="1" applyAlignment="1" applyProtection="1">
      <alignment horizontal="center" vertical="center"/>
    </xf>
    <xf numFmtId="4" fontId="3" fillId="38" borderId="116" xfId="192" applyNumberFormat="1" applyFont="1" applyFill="1" applyBorder="1" applyAlignment="1" applyProtection="1">
      <alignment vertical="center"/>
    </xf>
    <xf numFmtId="0" fontId="6" fillId="32" borderId="47" xfId="0" applyFont="1" applyFill="1" applyBorder="1" applyAlignment="1" applyProtection="1">
      <alignment horizontal="left" vertical="center" wrapText="1"/>
    </xf>
    <xf numFmtId="4" fontId="3" fillId="32" borderId="47" xfId="192" applyNumberFormat="1" applyFont="1" applyFill="1" applyBorder="1" applyAlignment="1" applyProtection="1">
      <alignment vertical="center"/>
    </xf>
    <xf numFmtId="4" fontId="6" fillId="32" borderId="116" xfId="192" applyNumberFormat="1" applyFont="1" applyFill="1" applyBorder="1" applyAlignment="1" applyProtection="1">
      <alignment vertical="center"/>
    </xf>
    <xf numFmtId="4" fontId="6" fillId="35" borderId="116" xfId="192" applyNumberFormat="1" applyFont="1" applyFill="1" applyBorder="1" applyAlignment="1" applyProtection="1">
      <alignment vertical="center"/>
    </xf>
    <xf numFmtId="4" fontId="6" fillId="32" borderId="119" xfId="192" applyNumberFormat="1" applyFont="1" applyFill="1" applyBorder="1" applyAlignment="1" applyProtection="1">
      <alignment vertical="center"/>
    </xf>
    <xf numFmtId="4" fontId="6" fillId="32" borderId="120" xfId="192" applyNumberFormat="1" applyFont="1" applyFill="1" applyBorder="1" applyAlignment="1" applyProtection="1">
      <alignment vertical="center"/>
    </xf>
    <xf numFmtId="4" fontId="6" fillId="32" borderId="28" xfId="192" applyNumberFormat="1" applyFont="1" applyFill="1" applyBorder="1" applyAlignment="1" applyProtection="1">
      <alignment vertical="center"/>
    </xf>
    <xf numFmtId="4" fontId="6" fillId="32" borderId="121" xfId="192" applyNumberFormat="1" applyFont="1" applyFill="1" applyBorder="1" applyAlignment="1" applyProtection="1">
      <alignment vertical="center"/>
    </xf>
    <xf numFmtId="4" fontId="19" fillId="32" borderId="38" xfId="192" applyNumberFormat="1" applyFont="1" applyFill="1" applyBorder="1" applyAlignment="1" applyProtection="1">
      <alignment horizontal="right" vertical="center"/>
    </xf>
    <xf numFmtId="4" fontId="19" fillId="32" borderId="73" xfId="192" applyNumberFormat="1" applyFont="1" applyFill="1" applyBorder="1" applyAlignment="1" applyProtection="1">
      <alignment horizontal="right" vertical="center"/>
    </xf>
    <xf numFmtId="4" fontId="7" fillId="32" borderId="38" xfId="192" applyNumberFormat="1" applyFont="1" applyFill="1" applyBorder="1" applyAlignment="1" applyProtection="1">
      <alignment horizontal="right" vertical="center"/>
    </xf>
    <xf numFmtId="4" fontId="7" fillId="32" borderId="73" xfId="192" applyNumberFormat="1" applyFont="1" applyFill="1" applyBorder="1" applyAlignment="1" applyProtection="1">
      <alignment horizontal="right" vertical="center"/>
    </xf>
    <xf numFmtId="167" fontId="7" fillId="32" borderId="25" xfId="192" applyNumberFormat="1" applyFont="1" applyFill="1" applyBorder="1" applyAlignment="1" applyProtection="1">
      <alignment horizontal="center" vertical="center"/>
    </xf>
    <xf numFmtId="0" fontId="7" fillId="32" borderId="25" xfId="184" applyFont="1" applyFill="1" applyBorder="1" applyAlignment="1" applyProtection="1">
      <alignment horizontal="center" vertical="center" wrapText="1"/>
    </xf>
    <xf numFmtId="0" fontId="7" fillId="32" borderId="122" xfId="171" applyFont="1" applyFill="1" applyBorder="1" applyAlignment="1" applyProtection="1">
      <alignment horizontal="center" vertical="center" wrapText="1"/>
    </xf>
    <xf numFmtId="10" fontId="7" fillId="29" borderId="43" xfId="121" applyNumberFormat="1" applyFont="1" applyFill="1" applyBorder="1" applyAlignment="1" applyProtection="1">
      <alignment vertical="center"/>
    </xf>
    <xf numFmtId="10" fontId="3" fillId="32" borderId="56" xfId="121" applyNumberFormat="1" applyFont="1" applyFill="1" applyBorder="1" applyAlignment="1" applyProtection="1">
      <alignment horizontal="right" vertical="center"/>
    </xf>
    <xf numFmtId="10" fontId="6" fillId="32" borderId="124" xfId="121" applyNumberFormat="1" applyFont="1" applyFill="1" applyBorder="1" applyAlignment="1" applyProtection="1">
      <alignment horizontal="right" vertical="center"/>
    </xf>
    <xf numFmtId="10" fontId="3" fillId="32" borderId="124" xfId="121" applyNumberFormat="1" applyFont="1" applyFill="1" applyBorder="1" applyAlignment="1" applyProtection="1">
      <alignment horizontal="right" vertical="center"/>
    </xf>
    <xf numFmtId="10" fontId="3" fillId="29" borderId="124" xfId="121" applyNumberFormat="1" applyFont="1" applyFill="1" applyBorder="1" applyAlignment="1" applyProtection="1">
      <alignment horizontal="right" vertical="center"/>
    </xf>
    <xf numFmtId="10" fontId="6" fillId="32" borderId="40" xfId="121" applyNumberFormat="1" applyFont="1" applyFill="1" applyBorder="1" applyAlignment="1" applyProtection="1">
      <alignment horizontal="right" vertical="center"/>
    </xf>
    <xf numFmtId="0" fontId="7" fillId="32" borderId="122" xfId="184" applyFont="1" applyFill="1" applyBorder="1" applyAlignment="1" applyProtection="1">
      <alignment horizontal="center" vertical="center" wrapText="1"/>
    </xf>
    <xf numFmtId="0" fontId="7" fillId="32" borderId="73" xfId="184" applyFont="1" applyFill="1" applyBorder="1" applyAlignment="1" applyProtection="1">
      <alignment vertical="center" wrapText="1"/>
    </xf>
    <xf numFmtId="0" fontId="7" fillId="32" borderId="124" xfId="184" applyFont="1" applyFill="1" applyBorder="1" applyAlignment="1" applyProtection="1">
      <alignment horizontal="right" vertical="center"/>
    </xf>
    <xf numFmtId="0" fontId="19" fillId="32" borderId="123" xfId="184" applyFont="1" applyFill="1" applyBorder="1" applyAlignment="1" applyProtection="1">
      <alignment horizontal="right" vertical="center"/>
    </xf>
    <xf numFmtId="10" fontId="7" fillId="32" borderId="123" xfId="121" applyNumberFormat="1" applyFont="1" applyFill="1" applyBorder="1" applyAlignment="1" applyProtection="1">
      <alignment vertical="center"/>
    </xf>
    <xf numFmtId="10" fontId="19" fillId="32" borderId="123" xfId="121" applyNumberFormat="1" applyFont="1" applyFill="1" applyBorder="1" applyAlignment="1" applyProtection="1">
      <alignment horizontal="left" vertical="center"/>
    </xf>
    <xf numFmtId="169" fontId="7" fillId="32" borderId="123" xfId="192" applyNumberFormat="1" applyFont="1" applyFill="1" applyBorder="1" applyAlignment="1" applyProtection="1">
      <alignment vertical="center"/>
    </xf>
    <xf numFmtId="0" fontId="21" fillId="32" borderId="125" xfId="184" applyFont="1" applyFill="1" applyBorder="1" applyAlignment="1" applyProtection="1">
      <alignment horizontal="right" vertical="center"/>
    </xf>
    <xf numFmtId="167" fontId="7" fillId="32" borderId="73" xfId="174" applyNumberFormat="1" applyFont="1" applyFill="1" applyBorder="1" applyAlignment="1" applyProtection="1">
      <alignment horizontal="right" vertical="center"/>
    </xf>
    <xf numFmtId="0" fontId="7" fillId="0" borderId="73" xfId="174" applyFont="1" applyFill="1" applyBorder="1" applyAlignment="1" applyProtection="1">
      <alignment horizontal="center" vertical="center" wrapText="1"/>
    </xf>
    <xf numFmtId="167" fontId="35" fillId="32" borderId="73" xfId="192" applyNumberFormat="1" applyFont="1" applyFill="1" applyBorder="1" applyAlignment="1" applyProtection="1">
      <alignment horizontal="center" vertical="center"/>
    </xf>
    <xf numFmtId="10" fontId="6" fillId="32" borderId="123" xfId="121" applyNumberFormat="1" applyFont="1" applyFill="1" applyBorder="1" applyAlignment="1" applyProtection="1">
      <alignment horizontal="right" vertical="center"/>
    </xf>
    <xf numFmtId="10" fontId="53" fillId="32" borderId="123" xfId="121" applyNumberFormat="1" applyFont="1" applyFill="1" applyBorder="1" applyAlignment="1" applyProtection="1">
      <alignment horizontal="right" vertical="center"/>
    </xf>
    <xf numFmtId="10" fontId="3" fillId="32" borderId="123" xfId="121" applyNumberFormat="1" applyFont="1" applyFill="1" applyBorder="1" applyAlignment="1" applyProtection="1">
      <alignment vertical="center"/>
    </xf>
    <xf numFmtId="10" fontId="6" fillId="32" borderId="126" xfId="121" applyNumberFormat="1" applyFont="1" applyFill="1" applyBorder="1" applyAlignment="1" applyProtection="1">
      <alignment horizontal="right" vertical="center"/>
    </xf>
    <xf numFmtId="10" fontId="7" fillId="38" borderId="123" xfId="121" applyNumberFormat="1" applyFont="1" applyFill="1" applyBorder="1" applyAlignment="1" applyProtection="1">
      <alignment vertical="center"/>
    </xf>
    <xf numFmtId="10" fontId="6" fillId="32" borderId="126" xfId="126" applyNumberFormat="1" applyFont="1" applyFill="1" applyBorder="1" applyAlignment="1" applyProtection="1">
      <alignment horizontal="right" vertical="center"/>
    </xf>
    <xf numFmtId="10" fontId="7" fillId="32" borderId="73" xfId="126" applyNumberFormat="1" applyFont="1" applyFill="1" applyBorder="1" applyAlignment="1" applyProtection="1">
      <alignment horizontal="right" vertical="center"/>
    </xf>
    <xf numFmtId="0" fontId="3" fillId="32" borderId="0" xfId="171" applyFont="1" applyFill="1" applyAlignment="1" applyProtection="1">
      <alignment horizontal="center" vertical="center"/>
    </xf>
    <xf numFmtId="0" fontId="7" fillId="32" borderId="50" xfId="171" applyFont="1" applyFill="1" applyBorder="1" applyAlignment="1" applyProtection="1">
      <alignment horizontal="center" vertical="center" wrapText="1"/>
    </xf>
    <xf numFmtId="10" fontId="3" fillId="29" borderId="56" xfId="121" applyNumberFormat="1" applyFont="1" applyFill="1" applyBorder="1" applyAlignment="1" applyProtection="1">
      <alignment horizontal="right" vertical="center"/>
    </xf>
    <xf numFmtId="167" fontId="7" fillId="32" borderId="39" xfId="192" applyNumberFormat="1" applyFont="1" applyFill="1" applyBorder="1" applyAlignment="1" applyProtection="1">
      <alignment horizontal="right" vertical="center"/>
    </xf>
    <xf numFmtId="0" fontId="7" fillId="32" borderId="60" xfId="171" applyFont="1" applyFill="1" applyBorder="1" applyAlignment="1" applyProtection="1">
      <alignment horizontal="center" vertical="center"/>
    </xf>
    <xf numFmtId="0" fontId="7" fillId="32" borderId="39" xfId="171" applyFont="1" applyFill="1" applyBorder="1" applyAlignment="1" applyProtection="1">
      <alignment horizontal="center" vertical="center"/>
    </xf>
    <xf numFmtId="0" fontId="7" fillId="32" borderId="34" xfId="171" applyFont="1" applyFill="1" applyBorder="1" applyAlignment="1" applyProtection="1">
      <alignment horizontal="center" vertical="center"/>
    </xf>
    <xf numFmtId="0" fontId="7" fillId="32" borderId="99" xfId="171" applyFont="1" applyFill="1" applyBorder="1" applyAlignment="1" applyProtection="1">
      <alignment horizontal="center" vertical="center"/>
    </xf>
    <xf numFmtId="0" fontId="7" fillId="32" borderId="38" xfId="171" applyFont="1" applyFill="1" applyBorder="1" applyAlignment="1" applyProtection="1">
      <alignment horizontal="center" vertical="center"/>
    </xf>
    <xf numFmtId="0" fontId="7" fillId="32" borderId="73" xfId="171" applyFont="1" applyFill="1" applyBorder="1" applyAlignment="1" applyProtection="1">
      <alignment horizontal="center" vertical="center"/>
    </xf>
    <xf numFmtId="4" fontId="3" fillId="32" borderId="119" xfId="192" applyNumberFormat="1" applyFont="1" applyFill="1" applyBorder="1" applyAlignment="1" applyProtection="1">
      <alignment vertical="center"/>
    </xf>
    <xf numFmtId="4" fontId="6" fillId="32" borderId="116" xfId="192" applyNumberFormat="1" applyFont="1" applyFill="1" applyBorder="1" applyAlignment="1" applyProtection="1">
      <alignment horizontal="right" vertical="center"/>
    </xf>
    <xf numFmtId="4" fontId="6" fillId="35" borderId="116" xfId="192" applyNumberFormat="1" applyFont="1" applyFill="1" applyBorder="1" applyAlignment="1" applyProtection="1">
      <alignment horizontal="right" vertical="center"/>
    </xf>
    <xf numFmtId="4" fontId="6" fillId="32" borderId="119" xfId="192" applyNumberFormat="1" applyFont="1" applyFill="1" applyBorder="1" applyAlignment="1" applyProtection="1">
      <alignment horizontal="right" vertical="center"/>
    </xf>
    <xf numFmtId="4" fontId="6" fillId="32" borderId="120" xfId="192" applyNumberFormat="1" applyFont="1" applyFill="1" applyBorder="1" applyAlignment="1" applyProtection="1">
      <alignment horizontal="right" vertical="center"/>
    </xf>
    <xf numFmtId="10" fontId="3" fillId="32" borderId="91" xfId="121" applyNumberFormat="1" applyFont="1" applyFill="1" applyBorder="1" applyAlignment="1" applyProtection="1">
      <alignment vertical="center"/>
    </xf>
    <xf numFmtId="4" fontId="3" fillId="35" borderId="116" xfId="121" applyNumberFormat="1" applyFont="1" applyFill="1" applyBorder="1" applyAlignment="1" applyProtection="1">
      <alignment vertical="center"/>
    </xf>
    <xf numFmtId="4" fontId="3" fillId="35" borderId="119" xfId="192" applyNumberFormat="1" applyFont="1" applyFill="1" applyBorder="1" applyAlignment="1" applyProtection="1">
      <alignment vertical="center"/>
    </xf>
    <xf numFmtId="0" fontId="7" fillId="0" borderId="0" xfId="0" applyFont="1" applyFill="1" applyAlignment="1" applyProtection="1">
      <alignment vertical="center"/>
    </xf>
    <xf numFmtId="0" fontId="4" fillId="32" borderId="0" xfId="0" applyFont="1" applyFill="1" applyBorder="1" applyAlignment="1">
      <alignment vertical="center"/>
    </xf>
    <xf numFmtId="0" fontId="7" fillId="32" borderId="25" xfId="0" applyFont="1" applyFill="1" applyBorder="1" applyAlignment="1" applyProtection="1">
      <alignment horizontal="center" vertical="center" wrapText="1"/>
    </xf>
    <xf numFmtId="165" fontId="7" fillId="32" borderId="127" xfId="192" applyFont="1" applyFill="1" applyBorder="1" applyAlignment="1" applyProtection="1">
      <alignment horizontal="center" vertical="center"/>
    </xf>
    <xf numFmtId="165" fontId="7" fillId="32" borderId="121" xfId="192" applyFont="1" applyFill="1" applyBorder="1" applyAlignment="1" applyProtection="1">
      <alignment horizontal="center" vertical="center"/>
    </xf>
    <xf numFmtId="167" fontId="19" fillId="32" borderId="128" xfId="0" applyNumberFormat="1" applyFont="1" applyFill="1" applyBorder="1" applyAlignment="1" applyProtection="1">
      <alignment vertical="center"/>
    </xf>
    <xf numFmtId="167" fontId="19" fillId="32" borderId="116" xfId="0" applyNumberFormat="1" applyFont="1" applyFill="1" applyBorder="1" applyAlignment="1" applyProtection="1">
      <alignment vertical="center"/>
    </xf>
    <xf numFmtId="167" fontId="0" fillId="32" borderId="128" xfId="0" applyNumberFormat="1" applyFont="1" applyFill="1" applyBorder="1" applyAlignment="1" applyProtection="1">
      <alignment vertical="center"/>
    </xf>
    <xf numFmtId="167" fontId="7" fillId="32" borderId="129" xfId="186" applyNumberFormat="1" applyFont="1" applyFill="1" applyBorder="1" applyAlignment="1" applyProtection="1">
      <alignment horizontal="right" vertical="center"/>
    </xf>
    <xf numFmtId="167" fontId="7" fillId="32" borderId="120" xfId="186" applyNumberFormat="1" applyFont="1" applyFill="1" applyBorder="1" applyAlignment="1" applyProtection="1">
      <alignment horizontal="right" vertical="center"/>
    </xf>
    <xf numFmtId="167" fontId="19" fillId="32" borderId="130" xfId="0" applyNumberFormat="1" applyFont="1" applyFill="1" applyBorder="1" applyAlignment="1" applyProtection="1">
      <alignment vertical="center"/>
    </xf>
    <xf numFmtId="167" fontId="0" fillId="32" borderId="130" xfId="0" applyNumberFormat="1" applyFont="1" applyFill="1" applyBorder="1" applyAlignment="1" applyProtection="1">
      <alignment vertical="center"/>
    </xf>
    <xf numFmtId="167" fontId="7" fillId="32" borderId="131" xfId="186" applyNumberFormat="1" applyFont="1" applyFill="1" applyBorder="1" applyAlignment="1" applyProtection="1">
      <alignment horizontal="right" vertical="center"/>
    </xf>
    <xf numFmtId="167" fontId="19" fillId="32" borderId="127" xfId="0" applyNumberFormat="1" applyFont="1" applyFill="1" applyBorder="1" applyAlignment="1" applyProtection="1">
      <alignment vertical="center"/>
    </xf>
    <xf numFmtId="167" fontId="19" fillId="32" borderId="121" xfId="0" applyNumberFormat="1" applyFont="1" applyFill="1" applyBorder="1" applyAlignment="1" applyProtection="1">
      <alignment vertical="center"/>
    </xf>
    <xf numFmtId="167" fontId="19" fillId="32" borderId="111" xfId="0" applyNumberFormat="1" applyFont="1" applyFill="1" applyBorder="1" applyAlignment="1" applyProtection="1">
      <alignment vertical="center"/>
    </xf>
    <xf numFmtId="0" fontId="7" fillId="32" borderId="129" xfId="0" applyFont="1" applyFill="1" applyBorder="1" applyAlignment="1" applyProtection="1">
      <alignment horizontal="center" vertical="center"/>
    </xf>
    <xf numFmtId="0" fontId="7" fillId="32" borderId="120" xfId="0" applyFont="1" applyFill="1" applyBorder="1" applyAlignment="1" applyProtection="1">
      <alignment horizontal="center" vertical="center"/>
    </xf>
    <xf numFmtId="0" fontId="19" fillId="32" borderId="130" xfId="0" applyFont="1" applyFill="1" applyBorder="1" applyAlignment="1" applyProtection="1">
      <alignment vertical="center" wrapText="1"/>
    </xf>
    <xf numFmtId="4" fontId="19" fillId="0" borderId="130" xfId="186" applyNumberFormat="1" applyFont="1" applyBorder="1" applyAlignment="1" applyProtection="1">
      <alignment horizontal="left" vertical="center" wrapText="1"/>
    </xf>
    <xf numFmtId="4" fontId="19" fillId="32" borderId="130" xfId="186" applyNumberFormat="1" applyFont="1" applyFill="1" applyBorder="1" applyAlignment="1" applyProtection="1">
      <alignment horizontal="left" vertical="center" wrapText="1"/>
    </xf>
    <xf numFmtId="4" fontId="3" fillId="0" borderId="130" xfId="186" applyNumberFormat="1" applyFont="1" applyBorder="1" applyAlignment="1" applyProtection="1">
      <alignment horizontal="left" vertical="center" wrapText="1"/>
    </xf>
    <xf numFmtId="4" fontId="7" fillId="0" borderId="131" xfId="186" applyNumberFormat="1" applyFont="1" applyBorder="1" applyAlignment="1" applyProtection="1">
      <alignment horizontal="left" vertical="center" wrapText="1"/>
    </xf>
    <xf numFmtId="0" fontId="19" fillId="32" borderId="111" xfId="0" applyFont="1" applyFill="1" applyBorder="1" applyAlignment="1" applyProtection="1">
      <alignment vertical="center" wrapText="1"/>
    </xf>
    <xf numFmtId="0" fontId="7" fillId="32" borderId="25" xfId="0" applyFont="1" applyFill="1" applyBorder="1" applyAlignment="1" applyProtection="1">
      <alignment horizontal="right" vertical="center"/>
    </xf>
    <xf numFmtId="4" fontId="3" fillId="38" borderId="133" xfId="192" applyNumberFormat="1" applyFont="1" applyFill="1" applyBorder="1" applyAlignment="1" applyProtection="1">
      <alignment vertical="center"/>
    </xf>
    <xf numFmtId="4" fontId="3" fillId="35" borderId="28" xfId="192" applyNumberFormat="1" applyFont="1" applyFill="1" applyBorder="1" applyAlignment="1" applyProtection="1">
      <alignment vertical="center"/>
    </xf>
    <xf numFmtId="4" fontId="3" fillId="32" borderId="28" xfId="192" applyNumberFormat="1" applyFont="1" applyFill="1" applyBorder="1" applyAlignment="1" applyProtection="1">
      <alignment vertical="center"/>
    </xf>
    <xf numFmtId="4" fontId="6" fillId="32" borderId="28" xfId="192" applyNumberFormat="1" applyFont="1" applyFill="1" applyBorder="1" applyAlignment="1" applyProtection="1">
      <alignment horizontal="right" vertical="center"/>
    </xf>
    <xf numFmtId="4" fontId="6" fillId="32" borderId="121" xfId="192" applyNumberFormat="1" applyFont="1" applyFill="1" applyBorder="1" applyAlignment="1" applyProtection="1">
      <alignment horizontal="right" vertical="center"/>
    </xf>
    <xf numFmtId="0" fontId="7" fillId="32" borderId="112" xfId="0" applyFont="1" applyFill="1" applyBorder="1" applyAlignment="1" applyProtection="1">
      <alignment horizontal="center" vertical="center"/>
    </xf>
    <xf numFmtId="0" fontId="7" fillId="32" borderId="113" xfId="0" applyFont="1" applyFill="1" applyBorder="1" applyAlignment="1" applyProtection="1">
      <alignment horizontal="center" vertical="center"/>
    </xf>
    <xf numFmtId="0" fontId="7" fillId="32" borderId="91" xfId="192" applyNumberFormat="1" applyFont="1" applyFill="1" applyBorder="1" applyAlignment="1" applyProtection="1">
      <alignment horizontal="center" vertical="center"/>
    </xf>
    <xf numFmtId="0" fontId="7" fillId="32" borderId="114" xfId="192" applyNumberFormat="1" applyFont="1" applyFill="1" applyBorder="1" applyAlignment="1" applyProtection="1">
      <alignment horizontal="center" vertical="center"/>
    </xf>
    <xf numFmtId="4" fontId="7" fillId="32" borderId="119" xfId="192" applyNumberFormat="1" applyFont="1" applyFill="1" applyBorder="1" applyAlignment="1" applyProtection="1">
      <alignment horizontal="right" vertical="center"/>
    </xf>
    <xf numFmtId="4" fontId="7" fillId="32" borderId="119" xfId="192" applyNumberFormat="1" applyFont="1" applyFill="1" applyBorder="1" applyAlignment="1" applyProtection="1">
      <alignment vertical="center"/>
    </xf>
    <xf numFmtId="4" fontId="7" fillId="32" borderId="120" xfId="192" applyNumberFormat="1" applyFont="1" applyFill="1" applyBorder="1" applyAlignment="1" applyProtection="1">
      <alignment horizontal="right" vertical="center"/>
    </xf>
    <xf numFmtId="0" fontId="7" fillId="32" borderId="38" xfId="30" applyFont="1" applyFill="1" applyBorder="1" applyAlignment="1" applyProtection="1">
      <alignment horizontal="center" vertical="center"/>
    </xf>
    <xf numFmtId="0" fontId="7" fillId="32" borderId="73" xfId="30" applyFont="1" applyFill="1" applyBorder="1" applyAlignment="1" applyProtection="1">
      <alignment horizontal="center" vertical="center"/>
    </xf>
    <xf numFmtId="170" fontId="3" fillId="32" borderId="11" xfId="121" applyNumberFormat="1" applyFont="1" applyFill="1" applyBorder="1" applyAlignment="1" applyProtection="1">
      <alignment vertical="center"/>
    </xf>
    <xf numFmtId="170" fontId="3" fillId="32" borderId="116" xfId="121" applyNumberFormat="1" applyFont="1" applyFill="1" applyBorder="1" applyAlignment="1" applyProtection="1">
      <alignment vertical="center"/>
    </xf>
    <xf numFmtId="3" fontId="3" fillId="32" borderId="11" xfId="121" applyNumberFormat="1" applyFont="1" applyFill="1" applyBorder="1" applyAlignment="1" applyProtection="1">
      <alignment vertical="center"/>
    </xf>
    <xf numFmtId="0" fontId="6" fillId="32" borderId="11" xfId="30" applyFont="1" applyFill="1" applyBorder="1" applyAlignment="1" applyProtection="1">
      <alignment horizontal="right" vertical="center" indent="1"/>
    </xf>
    <xf numFmtId="4" fontId="6" fillId="32" borderId="11" xfId="30" applyNumberFormat="1" applyFont="1" applyFill="1" applyBorder="1" applyAlignment="1" applyProtection="1">
      <alignment horizontal="right" vertical="center"/>
    </xf>
    <xf numFmtId="0" fontId="0" fillId="0" borderId="0" xfId="0" applyFill="1" applyAlignment="1" applyProtection="1">
      <alignment vertical="center"/>
    </xf>
    <xf numFmtId="0" fontId="19" fillId="40" borderId="135" xfId="0" applyFont="1" applyFill="1" applyBorder="1" applyAlignment="1" applyProtection="1">
      <alignment vertical="center" wrapText="1"/>
    </xf>
    <xf numFmtId="0" fontId="0" fillId="40" borderId="136" xfId="0" applyFill="1" applyBorder="1" applyAlignment="1" applyProtection="1">
      <alignment horizontal="center" vertical="center"/>
    </xf>
    <xf numFmtId="0" fontId="0" fillId="40" borderId="136" xfId="0" applyFill="1" applyBorder="1" applyAlignment="1" applyProtection="1">
      <alignment vertical="center"/>
    </xf>
    <xf numFmtId="0" fontId="0" fillId="40" borderId="136" xfId="0" applyFont="1" applyFill="1" applyBorder="1" applyAlignment="1" applyProtection="1">
      <alignment vertical="center"/>
    </xf>
    <xf numFmtId="0" fontId="0" fillId="40" borderId="137" xfId="0" applyFill="1" applyBorder="1" applyAlignment="1" applyProtection="1">
      <alignment horizontal="center" vertical="center"/>
    </xf>
    <xf numFmtId="168" fontId="3" fillId="35" borderId="119" xfId="192" applyNumberFormat="1" applyFont="1" applyFill="1" applyBorder="1" applyAlignment="1" applyProtection="1">
      <alignment vertical="center"/>
    </xf>
    <xf numFmtId="0" fontId="6" fillId="35" borderId="11" xfId="0" applyFont="1" applyFill="1" applyBorder="1" applyAlignment="1" applyProtection="1">
      <alignment horizontal="left" vertical="center" wrapText="1"/>
    </xf>
    <xf numFmtId="0" fontId="0" fillId="35" borderId="11" xfId="0" applyFont="1" applyFill="1" applyBorder="1" applyAlignment="1" applyProtection="1">
      <alignment horizontal="center" vertical="center" wrapText="1"/>
    </xf>
    <xf numFmtId="167" fontId="6" fillId="35" borderId="11" xfId="0" quotePrefix="1" applyNumberFormat="1" applyFont="1" applyFill="1" applyBorder="1" applyAlignment="1" applyProtection="1">
      <alignment horizontal="right" vertical="center"/>
    </xf>
    <xf numFmtId="167" fontId="19" fillId="35" borderId="11" xfId="192" applyNumberFormat="1" applyFont="1" applyFill="1" applyBorder="1" applyAlignment="1" applyProtection="1">
      <alignment vertical="center"/>
    </xf>
    <xf numFmtId="4" fontId="7" fillId="32" borderId="64"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xf>
    <xf numFmtId="0" fontId="7" fillId="32" borderId="26" xfId="0" applyFont="1" applyFill="1" applyBorder="1" applyAlignment="1" applyProtection="1">
      <alignment horizontal="center" vertical="center" wrapText="1"/>
    </xf>
    <xf numFmtId="0" fontId="0" fillId="32" borderId="11" xfId="0" applyFill="1" applyBorder="1" applyAlignment="1" applyProtection="1">
      <alignment horizontal="left" vertical="center" wrapText="1"/>
    </xf>
    <xf numFmtId="0" fontId="7" fillId="32" borderId="11" xfId="0" applyFont="1" applyFill="1" applyBorder="1" applyAlignment="1" applyProtection="1">
      <alignment horizontal="left" vertical="center" wrapText="1"/>
    </xf>
    <xf numFmtId="0" fontId="7" fillId="32" borderId="35" xfId="0" applyFont="1" applyFill="1" applyBorder="1" applyAlignment="1" applyProtection="1">
      <alignment horizontal="center" vertical="center" wrapText="1"/>
    </xf>
    <xf numFmtId="0" fontId="6" fillId="32" borderId="0" xfId="0" applyFont="1" applyFill="1" applyAlignment="1" applyProtection="1">
      <alignment horizontal="left" vertical="center" wrapText="1"/>
    </xf>
    <xf numFmtId="0" fontId="3" fillId="0" borderId="0" xfId="171" applyProtection="1"/>
    <xf numFmtId="0" fontId="0" fillId="0" borderId="0" xfId="171" applyFont="1" applyProtection="1"/>
    <xf numFmtId="0" fontId="90" fillId="0" borderId="0" xfId="0" applyFont="1" applyFill="1" applyProtection="1"/>
    <xf numFmtId="0" fontId="0" fillId="0" borderId="0" xfId="0" applyFill="1" applyProtection="1"/>
    <xf numFmtId="0" fontId="7" fillId="37" borderId="25" xfId="0" applyFont="1" applyFill="1" applyBorder="1" applyProtection="1">
      <protection locked="0"/>
    </xf>
    <xf numFmtId="0" fontId="7" fillId="37" borderId="39" xfId="0" applyFont="1" applyFill="1" applyBorder="1" applyAlignment="1" applyProtection="1">
      <protection locked="0"/>
    </xf>
    <xf numFmtId="167" fontId="3" fillId="31" borderId="17" xfId="192" applyNumberFormat="1" applyFont="1" applyFill="1" applyBorder="1" applyAlignment="1" applyProtection="1">
      <alignment vertical="top"/>
      <protection locked="0"/>
    </xf>
    <xf numFmtId="167" fontId="5" fillId="31" borderId="17" xfId="192" applyNumberFormat="1" applyFont="1" applyFill="1" applyBorder="1" applyAlignment="1" applyProtection="1">
      <alignment vertical="top"/>
      <protection locked="0"/>
    </xf>
    <xf numFmtId="3" fontId="3" fillId="32" borderId="11" xfId="192" applyNumberFormat="1" applyFont="1" applyFill="1" applyBorder="1" applyAlignment="1" applyProtection="1">
      <alignment vertical="center"/>
    </xf>
    <xf numFmtId="167" fontId="3" fillId="38" borderId="11" xfId="192" applyNumberFormat="1" applyFont="1" applyFill="1" applyBorder="1" applyAlignment="1" applyProtection="1">
      <alignment vertical="center"/>
    </xf>
    <xf numFmtId="10" fontId="6" fillId="34" borderId="11" xfId="121" applyNumberFormat="1" applyFont="1" applyFill="1" applyBorder="1" applyAlignment="1" applyProtection="1">
      <alignment horizontal="right" vertical="center"/>
      <protection locked="0"/>
    </xf>
    <xf numFmtId="4" fontId="3" fillId="36" borderId="11" xfId="192" applyNumberFormat="1" applyFont="1" applyFill="1" applyBorder="1" applyAlignment="1" applyProtection="1">
      <alignment vertical="center"/>
      <protection locked="0"/>
    </xf>
    <xf numFmtId="4" fontId="3" fillId="36" borderId="26" xfId="192" applyNumberFormat="1" applyFont="1" applyFill="1" applyBorder="1" applyAlignment="1" applyProtection="1">
      <alignment vertical="center"/>
      <protection locked="0"/>
    </xf>
    <xf numFmtId="4" fontId="3" fillId="31" borderId="25" xfId="192" applyNumberFormat="1" applyFont="1" applyFill="1" applyBorder="1" applyAlignment="1" applyProtection="1">
      <alignment vertical="center"/>
      <protection locked="0"/>
    </xf>
    <xf numFmtId="4" fontId="7" fillId="32" borderId="11" xfId="192" applyNumberFormat="1" applyFont="1" applyFill="1" applyBorder="1" applyAlignment="1" applyProtection="1">
      <alignment vertical="center"/>
    </xf>
    <xf numFmtId="4" fontId="7" fillId="32" borderId="11" xfId="192" applyNumberFormat="1" applyFont="1" applyFill="1" applyBorder="1" applyAlignment="1" applyProtection="1">
      <alignment horizontal="center" vertical="center"/>
    </xf>
    <xf numFmtId="4" fontId="7" fillId="35" borderId="11" xfId="192" applyNumberFormat="1" applyFont="1" applyFill="1" applyBorder="1" applyAlignment="1" applyProtection="1">
      <alignment vertical="center"/>
    </xf>
    <xf numFmtId="4" fontId="6" fillId="39" borderId="11" xfId="192" applyNumberFormat="1" applyFont="1" applyFill="1" applyBorder="1" applyAlignment="1" applyProtection="1">
      <alignment vertical="center"/>
    </xf>
    <xf numFmtId="4" fontId="19" fillId="39" borderId="11" xfId="192" applyNumberFormat="1" applyFont="1" applyFill="1" applyBorder="1" applyAlignment="1" applyProtection="1">
      <alignment vertical="center"/>
    </xf>
    <xf numFmtId="4" fontId="3" fillId="32" borderId="11" xfId="192" applyNumberFormat="1" applyFont="1" applyFill="1" applyBorder="1" applyAlignment="1" applyProtection="1">
      <alignment horizontal="right" vertical="center"/>
    </xf>
    <xf numFmtId="4" fontId="3" fillId="35" borderId="11" xfId="192" applyNumberFormat="1" applyFont="1" applyFill="1" applyBorder="1" applyAlignment="1" applyProtection="1">
      <alignment horizontal="right" vertical="center"/>
    </xf>
    <xf numFmtId="0" fontId="3" fillId="0" borderId="11" xfId="192" applyNumberFormat="1" applyFont="1" applyFill="1" applyBorder="1" applyAlignment="1" applyProtection="1">
      <alignment vertical="center"/>
    </xf>
    <xf numFmtId="4" fontId="19" fillId="32" borderId="11" xfId="192" applyNumberFormat="1" applyFont="1" applyFill="1" applyBorder="1" applyAlignment="1" applyProtection="1">
      <alignment vertical="center"/>
    </xf>
    <xf numFmtId="4" fontId="19" fillId="32" borderId="0" xfId="192" applyNumberFormat="1" applyFont="1" applyFill="1" applyBorder="1" applyAlignment="1" applyProtection="1">
      <alignment vertical="center"/>
    </xf>
    <xf numFmtId="4" fontId="6" fillId="0" borderId="11" xfId="192" applyNumberFormat="1" applyFont="1" applyFill="1" applyBorder="1" applyAlignment="1" applyProtection="1">
      <alignment horizontal="right" vertical="center"/>
    </xf>
    <xf numFmtId="4" fontId="3" fillId="31" borderId="28" xfId="192" applyNumberFormat="1" applyFont="1" applyFill="1" applyBorder="1" applyAlignment="1" applyProtection="1">
      <alignment vertical="center"/>
      <protection locked="0"/>
    </xf>
    <xf numFmtId="4" fontId="3" fillId="31" borderId="121" xfId="192" applyNumberFormat="1" applyFont="1" applyFill="1" applyBorder="1" applyAlignment="1" applyProtection="1">
      <alignment vertical="center"/>
      <protection locked="0"/>
    </xf>
    <xf numFmtId="4" fontId="3" fillId="31" borderId="116" xfId="192" applyNumberFormat="1" applyFont="1" applyFill="1" applyBorder="1" applyAlignment="1" applyProtection="1">
      <alignment vertical="center"/>
      <protection locked="0"/>
    </xf>
    <xf numFmtId="4" fontId="3" fillId="31" borderId="119" xfId="192" applyNumberFormat="1" applyFont="1" applyFill="1" applyBorder="1" applyAlignment="1" applyProtection="1">
      <alignment vertical="center"/>
      <protection locked="0"/>
    </xf>
    <xf numFmtId="4" fontId="3" fillId="31" borderId="120" xfId="192" applyNumberFormat="1" applyFont="1" applyFill="1" applyBorder="1" applyAlignment="1" applyProtection="1">
      <alignment vertical="center"/>
      <protection locked="0"/>
    </xf>
    <xf numFmtId="4" fontId="6" fillId="32" borderId="11" xfId="192" applyNumberFormat="1" applyFont="1" applyFill="1" applyBorder="1" applyAlignment="1" applyProtection="1">
      <alignment vertical="top"/>
    </xf>
    <xf numFmtId="4" fontId="6" fillId="39" borderId="11" xfId="192" applyNumberFormat="1" applyFont="1" applyFill="1" applyBorder="1" applyAlignment="1" applyProtection="1">
      <alignment vertical="top"/>
    </xf>
    <xf numFmtId="4" fontId="6" fillId="32" borderId="11" xfId="192" applyNumberFormat="1" applyFont="1" applyFill="1" applyBorder="1" applyAlignment="1" applyProtection="1">
      <alignment horizontal="right" vertical="top"/>
    </xf>
    <xf numFmtId="167" fontId="7" fillId="31" borderId="92" xfId="192" applyNumberFormat="1" applyFont="1" applyFill="1" applyBorder="1" applyAlignment="1" applyProtection="1">
      <alignment vertical="center"/>
      <protection locked="0"/>
    </xf>
    <xf numFmtId="167" fontId="7" fillId="31" borderId="72" xfId="192" applyNumberFormat="1" applyFont="1" applyFill="1" applyBorder="1" applyAlignment="1" applyProtection="1">
      <alignment vertical="center"/>
      <protection locked="0"/>
    </xf>
    <xf numFmtId="10" fontId="7" fillId="31" borderId="123" xfId="121" applyNumberFormat="1" applyFont="1" applyFill="1" applyBorder="1" applyAlignment="1" applyProtection="1">
      <alignment vertical="center"/>
      <protection locked="0"/>
    </xf>
    <xf numFmtId="10" fontId="7" fillId="31" borderId="123" xfId="192" applyNumberFormat="1" applyFont="1" applyFill="1" applyBorder="1" applyAlignment="1" applyProtection="1">
      <alignment vertical="center"/>
      <protection locked="0"/>
    </xf>
    <xf numFmtId="167" fontId="3" fillId="31" borderId="41" xfId="192" applyNumberFormat="1" applyFont="1" applyFill="1" applyBorder="1" applyAlignment="1" applyProtection="1">
      <alignment vertical="center"/>
      <protection locked="0"/>
    </xf>
    <xf numFmtId="167" fontId="3" fillId="31" borderId="100" xfId="192" applyNumberFormat="1" applyFont="1" applyFill="1" applyBorder="1" applyAlignment="1" applyProtection="1">
      <alignment vertical="center"/>
      <protection locked="0"/>
    </xf>
    <xf numFmtId="10" fontId="3" fillId="31" borderId="123" xfId="192" applyNumberFormat="1" applyFont="1" applyFill="1" applyBorder="1" applyAlignment="1" applyProtection="1">
      <alignment vertical="center"/>
      <protection locked="0"/>
    </xf>
    <xf numFmtId="167" fontId="7" fillId="31" borderId="41" xfId="192" applyNumberFormat="1" applyFont="1" applyFill="1" applyBorder="1" applyAlignment="1" applyProtection="1">
      <alignment vertical="center"/>
      <protection locked="0"/>
    </xf>
    <xf numFmtId="167" fontId="7" fillId="31" borderId="100" xfId="192" applyNumberFormat="1" applyFont="1" applyFill="1" applyBorder="1" applyAlignment="1" applyProtection="1">
      <alignment vertical="center"/>
      <protection locked="0"/>
    </xf>
    <xf numFmtId="167" fontId="3" fillId="31" borderId="92" xfId="192" applyNumberFormat="1" applyFont="1" applyFill="1" applyBorder="1" applyAlignment="1" applyProtection="1">
      <alignment vertical="center"/>
      <protection locked="0"/>
    </xf>
    <xf numFmtId="10" fontId="3" fillId="31" borderId="43" xfId="192" applyNumberFormat="1" applyFont="1" applyFill="1" applyBorder="1" applyAlignment="1" applyProtection="1">
      <alignment vertical="center"/>
      <protection locked="0"/>
    </xf>
    <xf numFmtId="10" fontId="1" fillId="32" borderId="91" xfId="121" applyNumberFormat="1" applyFont="1" applyFill="1" applyBorder="1" applyAlignment="1" applyProtection="1">
      <alignment vertical="center"/>
    </xf>
    <xf numFmtId="4" fontId="3" fillId="31" borderId="133" xfId="192" applyNumberFormat="1" applyFont="1" applyFill="1" applyBorder="1" applyAlignment="1" applyProtection="1">
      <alignment vertical="center"/>
      <protection locked="0"/>
    </xf>
    <xf numFmtId="4" fontId="3" fillId="31" borderId="134" xfId="192" applyNumberFormat="1" applyFont="1" applyFill="1" applyBorder="1" applyAlignment="1" applyProtection="1">
      <alignment vertical="center"/>
      <protection locked="0"/>
    </xf>
    <xf numFmtId="10" fontId="3" fillId="31" borderId="91" xfId="121" applyNumberFormat="1" applyFont="1" applyFill="1" applyBorder="1" applyAlignment="1" applyProtection="1">
      <alignment vertical="center"/>
      <protection locked="0"/>
    </xf>
    <xf numFmtId="10" fontId="3" fillId="31" borderId="114" xfId="121" applyNumberFormat="1" applyFont="1" applyFill="1" applyBorder="1" applyAlignment="1" applyProtection="1">
      <alignment vertical="center"/>
      <protection locked="0"/>
    </xf>
    <xf numFmtId="10" fontId="3" fillId="31" borderId="11" xfId="121" applyNumberFormat="1" applyFont="1" applyFill="1" applyBorder="1" applyAlignment="1" applyProtection="1">
      <alignment vertical="center"/>
      <protection locked="0"/>
    </xf>
    <xf numFmtId="10" fontId="3" fillId="31" borderId="116" xfId="121" applyNumberFormat="1" applyFont="1" applyFill="1" applyBorder="1" applyAlignment="1" applyProtection="1">
      <alignment vertical="center"/>
      <protection locked="0"/>
    </xf>
    <xf numFmtId="168" fontId="3" fillId="31" borderId="11" xfId="121" applyNumberFormat="1" applyFont="1" applyFill="1" applyBorder="1" applyAlignment="1" applyProtection="1">
      <alignment vertical="center"/>
      <protection locked="0"/>
    </xf>
    <xf numFmtId="168" fontId="3" fillId="31" borderId="116" xfId="121" applyNumberFormat="1" applyFont="1" applyFill="1" applyBorder="1" applyAlignment="1" applyProtection="1">
      <alignment vertical="center"/>
      <protection locked="0"/>
    </xf>
    <xf numFmtId="172" fontId="3" fillId="31" borderId="11" xfId="121" applyNumberFormat="1" applyFont="1" applyFill="1" applyBorder="1" applyAlignment="1" applyProtection="1">
      <alignment vertical="center"/>
      <protection locked="0"/>
    </xf>
    <xf numFmtId="168" fontId="3" fillId="31" borderId="119" xfId="192" applyNumberFormat="1" applyFont="1" applyFill="1" applyBorder="1" applyAlignment="1" applyProtection="1">
      <alignment vertical="center"/>
      <protection locked="0"/>
    </xf>
    <xf numFmtId="168" fontId="3" fillId="31" borderId="120" xfId="192" applyNumberFormat="1" applyFont="1" applyFill="1" applyBorder="1" applyAlignment="1" applyProtection="1">
      <alignment vertical="center"/>
      <protection locked="0"/>
    </xf>
    <xf numFmtId="4" fontId="3" fillId="31" borderId="73" xfId="192" applyNumberFormat="1" applyFont="1" applyFill="1" applyBorder="1" applyAlignment="1" applyProtection="1">
      <alignment vertical="center"/>
      <protection locked="0"/>
    </xf>
    <xf numFmtId="4" fontId="3" fillId="31" borderId="60" xfId="192" applyNumberFormat="1" applyFont="1" applyFill="1" applyBorder="1" applyAlignment="1" applyProtection="1">
      <alignment vertical="center"/>
      <protection locked="0"/>
    </xf>
    <xf numFmtId="4" fontId="3" fillId="32" borderId="11" xfId="192" applyNumberFormat="1" applyFont="1" applyFill="1" applyBorder="1" applyAlignment="1" applyProtection="1">
      <alignment vertical="top"/>
    </xf>
    <xf numFmtId="4" fontId="3" fillId="35" borderId="11" xfId="192" applyNumberFormat="1" applyFont="1" applyFill="1" applyBorder="1" applyAlignment="1" applyProtection="1">
      <alignment vertical="top"/>
    </xf>
    <xf numFmtId="4" fontId="3" fillId="32" borderId="11" xfId="192" applyNumberFormat="1" applyFont="1" applyFill="1" applyBorder="1" applyAlignment="1" applyProtection="1">
      <alignment horizontal="right" vertical="top"/>
    </xf>
    <xf numFmtId="4" fontId="3" fillId="35" borderId="11" xfId="192" applyNumberFormat="1" applyFont="1" applyFill="1" applyBorder="1" applyAlignment="1" applyProtection="1">
      <alignment horizontal="right" vertical="top"/>
    </xf>
    <xf numFmtId="4" fontId="19" fillId="32" borderId="11" xfId="192" applyNumberFormat="1" applyFont="1" applyFill="1" applyBorder="1" applyAlignment="1" applyProtection="1">
      <alignment horizontal="right" vertical="center"/>
    </xf>
    <xf numFmtId="4" fontId="6" fillId="39" borderId="11" xfId="192" applyNumberFormat="1" applyFont="1" applyFill="1" applyBorder="1" applyAlignment="1" applyProtection="1">
      <alignment horizontal="right" vertical="top"/>
    </xf>
    <xf numFmtId="4" fontId="6" fillId="32" borderId="11" xfId="192" applyNumberFormat="1" applyFont="1" applyFill="1" applyBorder="1" applyAlignment="1" applyProtection="1">
      <alignment horizontal="center" vertical="center"/>
    </xf>
    <xf numFmtId="4" fontId="6" fillId="0" borderId="11" xfId="192" applyNumberFormat="1" applyFont="1" applyFill="1" applyBorder="1" applyAlignment="1" applyProtection="1">
      <alignment horizontal="center" vertical="center"/>
    </xf>
    <xf numFmtId="4" fontId="3" fillId="31" borderId="39" xfId="192" applyNumberFormat="1" applyFont="1" applyFill="1" applyBorder="1" applyAlignment="1" applyProtection="1">
      <alignment vertical="center"/>
      <protection locked="0"/>
    </xf>
    <xf numFmtId="0" fontId="4" fillId="32" borderId="0" xfId="171" applyFont="1" applyFill="1" applyBorder="1" applyAlignment="1" applyProtection="1">
      <alignment vertical="center"/>
    </xf>
    <xf numFmtId="0" fontId="3" fillId="32" borderId="0" xfId="171" applyFont="1" applyFill="1" applyBorder="1" applyAlignment="1" applyProtection="1">
      <alignment vertical="center"/>
    </xf>
    <xf numFmtId="0" fontId="3" fillId="32" borderId="0" xfId="171" applyFill="1" applyBorder="1" applyAlignment="1" applyProtection="1">
      <alignment vertical="center"/>
    </xf>
    <xf numFmtId="0" fontId="3" fillId="32" borderId="0" xfId="171" applyFill="1" applyAlignment="1" applyProtection="1">
      <alignment horizontal="right" vertical="center"/>
    </xf>
    <xf numFmtId="0" fontId="3" fillId="32" borderId="25" xfId="171" applyFill="1" applyBorder="1" applyAlignment="1" applyProtection="1">
      <alignment vertical="center"/>
    </xf>
    <xf numFmtId="0" fontId="3" fillId="32" borderId="25" xfId="171" applyFill="1" applyBorder="1" applyAlignment="1" applyProtection="1">
      <alignment horizontal="right" vertical="center"/>
    </xf>
    <xf numFmtId="0" fontId="3" fillId="29" borderId="0" xfId="171" applyFont="1" applyFill="1" applyAlignment="1" applyProtection="1">
      <alignment vertical="center"/>
    </xf>
    <xf numFmtId="0" fontId="3" fillId="29" borderId="0" xfId="171" applyFill="1" applyAlignment="1" applyProtection="1">
      <alignment vertical="center"/>
    </xf>
    <xf numFmtId="164" fontId="3" fillId="32" borderId="0" xfId="171" applyNumberFormat="1" applyFill="1" applyAlignment="1" applyProtection="1">
      <alignment vertical="center"/>
    </xf>
    <xf numFmtId="0" fontId="5" fillId="32" borderId="0" xfId="171" applyFont="1" applyFill="1" applyAlignment="1" applyProtection="1">
      <alignment vertical="center"/>
    </xf>
    <xf numFmtId="0" fontId="7" fillId="32" borderId="37" xfId="171" applyFont="1" applyFill="1" applyBorder="1" applyAlignment="1" applyProtection="1">
      <alignment horizontal="center" vertical="center"/>
    </xf>
    <xf numFmtId="0" fontId="7" fillId="32" borderId="11" xfId="171" applyFont="1" applyFill="1" applyBorder="1" applyAlignment="1" applyProtection="1">
      <alignment horizontal="center" vertical="center"/>
    </xf>
    <xf numFmtId="0" fontId="19" fillId="32" borderId="11" xfId="171" applyFont="1" applyFill="1" applyBorder="1" applyAlignment="1" applyProtection="1">
      <alignment horizontal="right" vertical="center"/>
    </xf>
    <xf numFmtId="0" fontId="19" fillId="32" borderId="37" xfId="171" applyFont="1" applyFill="1" applyBorder="1" applyAlignment="1" applyProtection="1">
      <alignment horizontal="center" vertical="center"/>
    </xf>
    <xf numFmtId="0" fontId="19" fillId="32" borderId="11" xfId="171" applyFont="1" applyFill="1" applyBorder="1" applyAlignment="1" applyProtection="1">
      <alignment horizontal="center" vertical="center"/>
    </xf>
    <xf numFmtId="0" fontId="3" fillId="32" borderId="37" xfId="171" applyFill="1" applyBorder="1" applyAlignment="1" applyProtection="1">
      <alignment horizontal="left" vertical="center"/>
    </xf>
    <xf numFmtId="164" fontId="3" fillId="32" borderId="37" xfId="171" applyNumberFormat="1" applyFill="1" applyBorder="1" applyAlignment="1" applyProtection="1">
      <alignment vertical="center"/>
    </xf>
    <xf numFmtId="164" fontId="3" fillId="32" borderId="11" xfId="171" applyNumberFormat="1" applyFill="1" applyBorder="1" applyAlignment="1" applyProtection="1">
      <alignment vertical="center"/>
    </xf>
    <xf numFmtId="0" fontId="3" fillId="32" borderId="37" xfId="171" applyFill="1" applyBorder="1" applyAlignment="1" applyProtection="1">
      <alignment horizontal="left" vertical="center" wrapText="1"/>
    </xf>
    <xf numFmtId="0" fontId="3" fillId="32" borderId="11" xfId="171" applyFill="1" applyBorder="1" applyAlignment="1" applyProtection="1">
      <alignment vertical="center"/>
    </xf>
    <xf numFmtId="0" fontId="19" fillId="32" borderId="11" xfId="171" applyFont="1" applyFill="1" applyBorder="1" applyAlignment="1" applyProtection="1">
      <alignment vertical="center" wrapText="1"/>
    </xf>
    <xf numFmtId="164" fontId="19" fillId="32" borderId="37" xfId="171" applyNumberFormat="1" applyFont="1" applyFill="1" applyBorder="1" applyAlignment="1" applyProtection="1">
      <alignment vertical="center"/>
    </xf>
    <xf numFmtId="164" fontId="19" fillId="32" borderId="11" xfId="171" applyNumberFormat="1" applyFont="1" applyFill="1" applyBorder="1" applyAlignment="1" applyProtection="1">
      <alignment vertical="center"/>
    </xf>
    <xf numFmtId="0" fontId="3" fillId="32" borderId="37" xfId="171" applyFill="1" applyBorder="1" applyAlignment="1" applyProtection="1">
      <alignment vertical="center"/>
    </xf>
    <xf numFmtId="164" fontId="3" fillId="32" borderId="29" xfId="171" applyNumberFormat="1" applyFill="1" applyBorder="1" applyAlignment="1" applyProtection="1">
      <alignment vertical="center"/>
    </xf>
    <xf numFmtId="164" fontId="3" fillId="32" borderId="26" xfId="171" applyNumberFormat="1" applyFill="1" applyBorder="1" applyAlignment="1" applyProtection="1">
      <alignment vertical="center"/>
    </xf>
    <xf numFmtId="164" fontId="3" fillId="41" borderId="37" xfId="171" applyNumberFormat="1" applyFill="1" applyBorder="1" applyAlignment="1" applyProtection="1">
      <alignment vertical="center"/>
    </xf>
    <xf numFmtId="164" fontId="3" fillId="41" borderId="11" xfId="171" applyNumberFormat="1" applyFill="1" applyBorder="1" applyAlignment="1" applyProtection="1">
      <alignment vertical="center"/>
    </xf>
    <xf numFmtId="0" fontId="7" fillId="32" borderId="11" xfId="0" applyFont="1" applyFill="1" applyBorder="1" applyAlignment="1" applyProtection="1">
      <alignment horizontal="center" vertical="center"/>
    </xf>
    <xf numFmtId="0" fontId="7" fillId="32" borderId="26" xfId="0" applyFont="1" applyFill="1" applyBorder="1" applyAlignment="1" applyProtection="1">
      <alignment horizontal="center" vertical="center"/>
    </xf>
    <xf numFmtId="0" fontId="3" fillId="32" borderId="33" xfId="0" applyFont="1" applyFill="1" applyBorder="1" applyAlignment="1" applyProtection="1">
      <alignment horizontal="center" vertical="center"/>
    </xf>
    <xf numFmtId="0" fontId="3" fillId="32" borderId="27" xfId="0" applyFont="1" applyFill="1" applyBorder="1" applyAlignment="1" applyProtection="1">
      <alignment horizontal="center" vertical="center"/>
    </xf>
    <xf numFmtId="0" fontId="0" fillId="32" borderId="27" xfId="0" applyFill="1" applyBorder="1" applyAlignment="1" applyProtection="1">
      <alignment vertical="center"/>
    </xf>
    <xf numFmtId="0" fontId="0" fillId="32" borderId="11" xfId="0" applyFill="1" applyBorder="1" applyAlignment="1" applyProtection="1">
      <alignment horizontal="left" vertical="center"/>
    </xf>
    <xf numFmtId="165" fontId="3" fillId="32" borderId="11" xfId="194" applyFill="1" applyBorder="1" applyAlignment="1" applyProtection="1">
      <alignment horizontal="left" vertical="center"/>
    </xf>
    <xf numFmtId="0" fontId="0" fillId="32" borderId="0" xfId="0" applyFont="1" applyFill="1" applyAlignment="1" applyProtection="1">
      <alignment horizontal="left" vertical="center"/>
    </xf>
    <xf numFmtId="0" fontId="64" fillId="32" borderId="0" xfId="0" applyFont="1" applyFill="1" applyAlignment="1" applyProtection="1">
      <alignment horizontal="left" vertical="center"/>
    </xf>
    <xf numFmtId="167" fontId="7" fillId="32" borderId="11" xfId="194" applyNumberFormat="1" applyFont="1" applyFill="1" applyBorder="1" applyAlignment="1" applyProtection="1">
      <alignment horizontal="right" vertical="center"/>
    </xf>
    <xf numFmtId="10" fontId="3" fillId="32" borderId="11" xfId="121" applyNumberFormat="1" applyFill="1" applyBorder="1" applyAlignment="1" applyProtection="1">
      <alignment horizontal="right" vertical="center"/>
    </xf>
    <xf numFmtId="0" fontId="7" fillId="32" borderId="11" xfId="0" applyFont="1" applyFill="1" applyBorder="1" applyAlignment="1" applyProtection="1">
      <alignment vertical="center"/>
    </xf>
    <xf numFmtId="167" fontId="3" fillId="32" borderId="11" xfId="192" applyNumberFormat="1" applyFill="1" applyBorder="1" applyAlignment="1" applyProtection="1">
      <alignment horizontal="center" vertical="center"/>
    </xf>
    <xf numFmtId="165" fontId="3" fillId="32" borderId="0" xfId="192" applyFill="1" applyAlignment="1" applyProtection="1">
      <alignment vertical="center"/>
    </xf>
    <xf numFmtId="0" fontId="6" fillId="32" borderId="0" xfId="0" quotePrefix="1" applyFont="1" applyFill="1" applyAlignment="1" applyProtection="1">
      <alignment vertical="center"/>
    </xf>
    <xf numFmtId="0" fontId="3" fillId="32" borderId="48" xfId="174" applyFill="1" applyBorder="1" applyAlignment="1" applyProtection="1">
      <alignment vertical="center" wrapText="1"/>
    </xf>
    <xf numFmtId="0" fontId="3" fillId="32" borderId="90" xfId="174" applyFill="1" applyBorder="1" applyAlignment="1" applyProtection="1">
      <alignment horizontal="center" vertical="center" wrapText="1"/>
    </xf>
    <xf numFmtId="0" fontId="3" fillId="32" borderId="90" xfId="0" applyFont="1" applyFill="1" applyBorder="1" applyAlignment="1" applyProtection="1">
      <alignment horizontal="center" vertical="center" wrapText="1"/>
    </xf>
    <xf numFmtId="0" fontId="3" fillId="32" borderId="14" xfId="174" applyFill="1" applyBorder="1" applyAlignment="1" applyProtection="1">
      <alignment vertical="center"/>
    </xf>
    <xf numFmtId="49" fontId="7" fillId="32" borderId="75" xfId="174" applyNumberFormat="1" applyFont="1" applyFill="1" applyBorder="1" applyAlignment="1" applyProtection="1">
      <alignment horizontal="right" vertical="center"/>
    </xf>
    <xf numFmtId="0" fontId="3" fillId="32" borderId="102" xfId="0" quotePrefix="1" applyFont="1" applyFill="1" applyBorder="1" applyAlignment="1" applyProtection="1">
      <alignment horizontal="center" vertical="center"/>
    </xf>
    <xf numFmtId="0" fontId="0" fillId="32" borderId="102" xfId="0" applyFill="1" applyBorder="1" applyAlignment="1" applyProtection="1">
      <alignment vertical="center"/>
    </xf>
    <xf numFmtId="0" fontId="3" fillId="32" borderId="67" xfId="174" applyFill="1" applyBorder="1" applyAlignment="1" applyProtection="1">
      <alignment vertical="center"/>
    </xf>
    <xf numFmtId="167" fontId="3" fillId="32" borderId="66" xfId="192" applyNumberFormat="1" applyFill="1" applyBorder="1" applyAlignment="1" applyProtection="1">
      <alignment vertical="center"/>
    </xf>
    <xf numFmtId="167" fontId="3" fillId="32" borderId="67" xfId="192" applyNumberFormat="1" applyFill="1" applyBorder="1" applyAlignment="1" applyProtection="1">
      <alignment vertical="center"/>
    </xf>
    <xf numFmtId="0" fontId="3" fillId="32" borderId="68" xfId="174" applyFill="1" applyBorder="1" applyAlignment="1" applyProtection="1">
      <alignment vertical="center"/>
    </xf>
    <xf numFmtId="167" fontId="3" fillId="32" borderId="43" xfId="192" applyNumberFormat="1" applyFill="1" applyBorder="1" applyAlignment="1" applyProtection="1">
      <alignment vertical="center"/>
    </xf>
    <xf numFmtId="167" fontId="3" fillId="32" borderId="68" xfId="192" applyNumberFormat="1" applyFill="1" applyBorder="1" applyAlignment="1" applyProtection="1">
      <alignment vertical="center"/>
    </xf>
    <xf numFmtId="0" fontId="3" fillId="32" borderId="102" xfId="174" applyFill="1" applyBorder="1" applyAlignment="1" applyProtection="1">
      <alignment vertical="center"/>
    </xf>
    <xf numFmtId="167" fontId="3" fillId="32" borderId="52" xfId="192" applyNumberFormat="1" applyFill="1" applyBorder="1" applyAlignment="1" applyProtection="1">
      <alignment vertical="center"/>
    </xf>
    <xf numFmtId="167" fontId="3" fillId="32" borderId="102" xfId="192" applyNumberFormat="1" applyFill="1" applyBorder="1" applyAlignment="1" applyProtection="1">
      <alignment vertical="center"/>
    </xf>
    <xf numFmtId="0" fontId="7" fillId="32" borderId="14" xfId="174" applyFont="1" applyFill="1" applyBorder="1" applyAlignment="1" applyProtection="1">
      <alignment vertical="center"/>
    </xf>
    <xf numFmtId="0" fontId="7" fillId="32" borderId="75" xfId="174" applyFont="1" applyFill="1" applyBorder="1" applyAlignment="1" applyProtection="1">
      <alignment vertical="center"/>
    </xf>
    <xf numFmtId="167" fontId="0" fillId="32" borderId="90" xfId="0" applyNumberFormat="1" applyFill="1" applyBorder="1" applyAlignment="1" applyProtection="1">
      <alignment vertical="center"/>
    </xf>
    <xf numFmtId="167" fontId="7" fillId="32" borderId="75" xfId="0" applyNumberFormat="1" applyFont="1" applyFill="1" applyBorder="1" applyAlignment="1" applyProtection="1">
      <alignment vertical="center"/>
    </xf>
    <xf numFmtId="0" fontId="7" fillId="32" borderId="51" xfId="174" applyFont="1" applyFill="1" applyBorder="1" applyAlignment="1" applyProtection="1">
      <alignment vertical="center"/>
    </xf>
    <xf numFmtId="0" fontId="7" fillId="32" borderId="102" xfId="174" applyFont="1" applyFill="1" applyBorder="1" applyAlignment="1" applyProtection="1">
      <alignment vertical="center"/>
    </xf>
    <xf numFmtId="167" fontId="3" fillId="32" borderId="102" xfId="0" quotePrefix="1" applyNumberFormat="1" applyFont="1" applyFill="1" applyBorder="1" applyAlignment="1" applyProtection="1">
      <alignment horizontal="center" vertical="center"/>
    </xf>
    <xf numFmtId="167" fontId="0" fillId="32" borderId="102" xfId="0" applyNumberFormat="1" applyFill="1" applyBorder="1" applyAlignment="1" applyProtection="1">
      <alignment vertical="center"/>
    </xf>
    <xf numFmtId="0" fontId="87" fillId="32" borderId="0" xfId="174" applyFont="1" applyFill="1" applyAlignment="1" applyProtection="1">
      <alignment horizontal="right" vertical="center"/>
    </xf>
    <xf numFmtId="0" fontId="25" fillId="32" borderId="0" xfId="0" applyFont="1" applyFill="1" applyAlignment="1" applyProtection="1">
      <alignment horizontal="right" vertical="center"/>
    </xf>
    <xf numFmtId="0" fontId="3" fillId="32" borderId="14" xfId="174" applyFill="1" applyBorder="1" applyAlignment="1" applyProtection="1">
      <alignment vertical="center" wrapText="1"/>
    </xf>
    <xf numFmtId="0" fontId="3" fillId="32" borderId="75" xfId="174" applyFill="1" applyBorder="1" applyAlignment="1" applyProtection="1">
      <alignment horizontal="center" vertical="center" wrapText="1"/>
    </xf>
    <xf numFmtId="0" fontId="3" fillId="32" borderId="75" xfId="0" applyFont="1" applyFill="1" applyBorder="1" applyAlignment="1" applyProtection="1">
      <alignment horizontal="center" vertical="center" wrapText="1"/>
    </xf>
    <xf numFmtId="0" fontId="3" fillId="32" borderId="69" xfId="174" applyFill="1" applyBorder="1" applyAlignment="1" applyProtection="1">
      <alignment vertical="center"/>
    </xf>
    <xf numFmtId="167" fontId="3" fillId="32" borderId="46" xfId="192" applyNumberFormat="1" applyFill="1" applyBorder="1" applyAlignment="1" applyProtection="1">
      <alignment vertical="center"/>
    </xf>
    <xf numFmtId="167" fontId="3" fillId="32" borderId="69" xfId="192" applyNumberFormat="1" applyFill="1" applyBorder="1" applyAlignment="1" applyProtection="1">
      <alignment vertical="center"/>
    </xf>
    <xf numFmtId="0" fontId="3" fillId="32" borderId="70" xfId="174" applyFill="1" applyBorder="1" applyAlignment="1" applyProtection="1">
      <alignment vertical="center"/>
    </xf>
    <xf numFmtId="167" fontId="3" fillId="32" borderId="59" xfId="192" applyNumberFormat="1" applyFill="1" applyBorder="1" applyAlignment="1" applyProtection="1">
      <alignment vertical="center"/>
    </xf>
    <xf numFmtId="167" fontId="3" fillId="32" borderId="70" xfId="192" applyNumberFormat="1" applyFill="1" applyBorder="1" applyAlignment="1" applyProtection="1">
      <alignment vertical="center"/>
    </xf>
    <xf numFmtId="167" fontId="0" fillId="32" borderId="75" xfId="0" applyNumberFormat="1" applyFill="1" applyBorder="1" applyAlignment="1" applyProtection="1">
      <alignment vertical="center"/>
    </xf>
    <xf numFmtId="0" fontId="6" fillId="29" borderId="11" xfId="0" applyFont="1" applyFill="1" applyBorder="1" applyAlignment="1" applyProtection="1">
      <alignment horizontal="left" vertical="center" wrapText="1" indent="2"/>
    </xf>
    <xf numFmtId="0" fontId="7" fillId="32" borderId="11" xfId="0" applyFont="1" applyFill="1" applyBorder="1" applyAlignment="1" applyProtection="1">
      <alignment horizontal="left" vertical="center" wrapText="1"/>
    </xf>
    <xf numFmtId="0" fontId="3" fillId="32" borderId="0" xfId="172" applyFill="1" applyAlignment="1">
      <alignment vertical="top"/>
    </xf>
    <xf numFmtId="4" fontId="3" fillId="32" borderId="16" xfId="187" applyNumberFormat="1" applyFill="1" applyBorder="1" applyAlignment="1">
      <alignment vertical="top"/>
    </xf>
    <xf numFmtId="4" fontId="3" fillId="32" borderId="0" xfId="187" applyNumberFormat="1" applyFill="1" applyAlignment="1">
      <alignment vertical="top"/>
    </xf>
    <xf numFmtId="4" fontId="3" fillId="32" borderId="0" xfId="187" applyNumberFormat="1" applyFill="1" applyAlignment="1">
      <alignment horizontal="left" vertical="top"/>
    </xf>
    <xf numFmtId="0" fontId="3" fillId="32" borderId="17" xfId="187" applyFill="1" applyBorder="1" applyAlignment="1">
      <alignment horizontal="center"/>
    </xf>
    <xf numFmtId="167" fontId="3" fillId="31" borderId="17" xfId="192" applyNumberFormat="1" applyFill="1" applyBorder="1" applyAlignment="1" applyProtection="1">
      <alignment vertical="center"/>
      <protection locked="0"/>
    </xf>
    <xf numFmtId="167" fontId="3" fillId="32" borderId="17" xfId="187" applyNumberFormat="1" applyFill="1" applyBorder="1" applyAlignment="1">
      <alignment vertical="top"/>
    </xf>
    <xf numFmtId="4" fontId="32" fillId="32" borderId="0" xfId="187" applyNumberFormat="1" applyFont="1" applyFill="1" applyAlignment="1">
      <alignment vertical="top"/>
    </xf>
    <xf numFmtId="167" fontId="5" fillId="32" borderId="17" xfId="192" applyNumberFormat="1" applyFont="1" applyFill="1" applyBorder="1" applyAlignment="1" applyProtection="1">
      <alignment vertical="top"/>
    </xf>
    <xf numFmtId="0" fontId="7" fillId="32" borderId="33" xfId="0" applyFont="1" applyFill="1" applyBorder="1" applyAlignment="1" applyProtection="1">
      <alignment horizontal="center" vertical="center"/>
    </xf>
    <xf numFmtId="9" fontId="3" fillId="32" borderId="0" xfId="121" applyFill="1" applyAlignment="1" applyProtection="1">
      <alignment vertical="center"/>
    </xf>
    <xf numFmtId="0" fontId="5" fillId="32" borderId="11" xfId="0" applyFont="1" applyFill="1" applyBorder="1" applyAlignment="1" applyProtection="1">
      <alignment horizontal="left" vertical="center"/>
    </xf>
    <xf numFmtId="0" fontId="5" fillId="32" borderId="11" xfId="0" applyFont="1" applyFill="1" applyBorder="1" applyAlignment="1" applyProtection="1">
      <alignment horizontal="center" vertical="center"/>
    </xf>
    <xf numFmtId="0" fontId="3" fillId="32" borderId="11" xfId="0" applyFont="1" applyFill="1" applyBorder="1" applyAlignment="1" applyProtection="1">
      <alignment horizontal="left" vertical="center" wrapText="1"/>
    </xf>
    <xf numFmtId="0" fontId="7" fillId="32" borderId="11" xfId="0" quotePrefix="1" applyFont="1" applyFill="1" applyBorder="1" applyAlignment="1" applyProtection="1">
      <alignment horizontal="center" vertical="center"/>
    </xf>
    <xf numFmtId="167" fontId="7" fillId="32" borderId="11" xfId="0" applyNumberFormat="1" applyFont="1" applyFill="1" applyBorder="1" applyAlignment="1" applyProtection="1">
      <alignment horizontal="right" vertical="center"/>
    </xf>
    <xf numFmtId="167" fontId="7" fillId="31" borderId="11" xfId="0" applyNumberFormat="1" applyFont="1" applyFill="1" applyBorder="1" applyAlignment="1" applyProtection="1">
      <alignment horizontal="right" vertical="center"/>
      <protection locked="0"/>
    </xf>
    <xf numFmtId="170" fontId="19" fillId="34" borderId="11" xfId="122" applyNumberFormat="1" applyFont="1" applyFill="1" applyBorder="1" applyAlignment="1" applyProtection="1">
      <alignment horizontal="right" vertical="center"/>
      <protection locked="0"/>
    </xf>
    <xf numFmtId="0" fontId="91" fillId="32" borderId="0" xfId="0" applyFont="1" applyFill="1" applyAlignment="1" applyProtection="1">
      <alignment vertical="center"/>
    </xf>
    <xf numFmtId="0" fontId="92" fillId="32" borderId="0" xfId="0" applyFont="1" applyFill="1" applyAlignment="1" applyProtection="1">
      <alignment vertical="center"/>
    </xf>
    <xf numFmtId="0" fontId="95" fillId="0" borderId="0" xfId="0" applyFont="1" applyFill="1" applyAlignment="1" applyProtection="1">
      <alignment vertical="center"/>
    </xf>
    <xf numFmtId="0" fontId="93" fillId="32" borderId="25" xfId="0" applyFont="1" applyFill="1" applyBorder="1" applyAlignment="1" applyProtection="1">
      <alignment horizontal="center" vertical="center"/>
    </xf>
    <xf numFmtId="165" fontId="93" fillId="32" borderId="111" xfId="192" applyFont="1" applyFill="1" applyBorder="1" applyAlignment="1" applyProtection="1">
      <alignment horizontal="center" vertical="center"/>
    </xf>
    <xf numFmtId="0" fontId="93" fillId="32" borderId="138" xfId="0" applyFont="1" applyFill="1" applyBorder="1" applyAlignment="1" applyProtection="1">
      <alignment horizontal="right" vertical="center"/>
    </xf>
    <xf numFmtId="0" fontId="93" fillId="32" borderId="131" xfId="0" applyFont="1" applyFill="1" applyBorder="1" applyAlignment="1" applyProtection="1">
      <alignment horizontal="center" vertical="center"/>
    </xf>
    <xf numFmtId="0" fontId="94" fillId="32" borderId="130" xfId="0" applyFont="1" applyFill="1" applyBorder="1" applyAlignment="1" applyProtection="1">
      <alignment vertical="center" wrapText="1"/>
    </xf>
    <xf numFmtId="167" fontId="94" fillId="32" borderId="130" xfId="0" applyNumberFormat="1" applyFont="1" applyFill="1" applyBorder="1" applyAlignment="1" applyProtection="1">
      <alignment vertical="center"/>
    </xf>
    <xf numFmtId="4" fontId="94" fillId="0" borderId="130" xfId="186" applyNumberFormat="1" applyFont="1" applyBorder="1" applyAlignment="1" applyProtection="1">
      <alignment horizontal="left" vertical="center" wrapText="1"/>
    </xf>
    <xf numFmtId="4" fontId="94" fillId="32" borderId="130" xfId="186" applyNumberFormat="1" applyFont="1" applyFill="1" applyBorder="1" applyAlignment="1" applyProtection="1">
      <alignment horizontal="left" vertical="center" wrapText="1"/>
    </xf>
    <xf numFmtId="4" fontId="95" fillId="32" borderId="130" xfId="186" applyNumberFormat="1" applyFont="1" applyFill="1" applyBorder="1" applyAlignment="1" applyProtection="1">
      <alignment horizontal="left" vertical="center" wrapText="1" indent="2"/>
    </xf>
    <xf numFmtId="167" fontId="95" fillId="32" borderId="130" xfId="0" applyNumberFormat="1" applyFont="1" applyFill="1" applyBorder="1" applyAlignment="1" applyProtection="1">
      <alignment horizontal="right" vertical="center" indent="2"/>
    </xf>
    <xf numFmtId="4" fontId="92" fillId="0" borderId="130" xfId="186" applyNumberFormat="1" applyFont="1" applyBorder="1" applyAlignment="1" applyProtection="1">
      <alignment horizontal="left" vertical="center" wrapText="1"/>
    </xf>
    <xf numFmtId="167" fontId="92" fillId="32" borderId="130" xfId="0" applyNumberFormat="1" applyFont="1" applyFill="1" applyBorder="1" applyAlignment="1" applyProtection="1">
      <alignment vertical="center"/>
    </xf>
    <xf numFmtId="4" fontId="93" fillId="0" borderId="130" xfId="186" applyNumberFormat="1" applyFont="1" applyBorder="1" applyAlignment="1" applyProtection="1">
      <alignment horizontal="left" vertical="center" wrapText="1"/>
    </xf>
    <xf numFmtId="167" fontId="93" fillId="0" borderId="130" xfId="186" applyNumberFormat="1" applyFont="1" applyBorder="1" applyAlignment="1" applyProtection="1">
      <alignment horizontal="right" vertical="center"/>
    </xf>
    <xf numFmtId="4" fontId="93" fillId="0" borderId="131" xfId="186" applyNumberFormat="1" applyFont="1" applyBorder="1" applyAlignment="1" applyProtection="1">
      <alignment horizontal="left" vertical="center" wrapText="1"/>
    </xf>
    <xf numFmtId="167" fontId="93" fillId="0" borderId="131" xfId="186" applyNumberFormat="1" applyFont="1" applyBorder="1" applyAlignment="1" applyProtection="1">
      <alignment horizontal="right" vertical="center"/>
    </xf>
    <xf numFmtId="0" fontId="92" fillId="32" borderId="11" xfId="0" applyFont="1" applyFill="1" applyBorder="1" applyAlignment="1" applyProtection="1">
      <alignment vertical="center" wrapText="1"/>
    </xf>
    <xf numFmtId="3" fontId="92" fillId="31" borderId="11" xfId="192" applyNumberFormat="1" applyFont="1" applyFill="1" applyBorder="1" applyAlignment="1" applyProtection="1">
      <alignment vertical="center"/>
      <protection locked="0"/>
    </xf>
    <xf numFmtId="167" fontId="92" fillId="31" borderId="11" xfId="192" applyNumberFormat="1" applyFont="1" applyFill="1" applyBorder="1" applyAlignment="1" applyProtection="1">
      <alignment vertical="center"/>
      <protection locked="0"/>
    </xf>
    <xf numFmtId="0" fontId="95" fillId="32" borderId="11" xfId="192" applyNumberFormat="1" applyFont="1" applyFill="1" applyBorder="1" applyAlignment="1" applyProtection="1">
      <alignment horizontal="center" vertical="center"/>
    </xf>
    <xf numFmtId="0" fontId="95" fillId="32" borderId="0" xfId="0" applyFont="1" applyFill="1" applyAlignment="1" applyProtection="1">
      <alignment vertical="center"/>
    </xf>
    <xf numFmtId="0" fontId="95" fillId="32" borderId="29" xfId="0" applyFont="1" applyFill="1" applyBorder="1" applyAlignment="1" applyProtection="1">
      <alignment horizontal="right" vertical="center" wrapText="1"/>
    </xf>
    <xf numFmtId="0" fontId="92" fillId="32" borderId="29" xfId="186" applyNumberFormat="1" applyFont="1" applyFill="1" applyBorder="1" applyAlignment="1" applyProtection="1">
      <alignment horizontal="center" vertical="center"/>
    </xf>
    <xf numFmtId="167" fontId="92" fillId="32" borderId="29" xfId="192" applyNumberFormat="1" applyFont="1" applyFill="1" applyBorder="1" applyAlignment="1" applyProtection="1">
      <alignment vertical="center"/>
    </xf>
    <xf numFmtId="0" fontId="95" fillId="32" borderId="29" xfId="192" applyNumberFormat="1" applyFont="1" applyFill="1" applyBorder="1" applyAlignment="1" applyProtection="1">
      <alignment horizontal="center" vertical="center"/>
    </xf>
    <xf numFmtId="0" fontId="95" fillId="32" borderId="0" xfId="192" applyNumberFormat="1" applyFont="1" applyFill="1" applyBorder="1" applyAlignment="1" applyProtection="1">
      <alignment horizontal="center" vertical="center"/>
    </xf>
    <xf numFmtId="167" fontId="95" fillId="32" borderId="11" xfId="192" applyNumberFormat="1" applyFont="1" applyFill="1" applyBorder="1" applyAlignment="1" applyProtection="1">
      <alignment horizontal="right" vertical="center"/>
    </xf>
    <xf numFmtId="0" fontId="95" fillId="32" borderId="0" xfId="0" applyFont="1" applyFill="1" applyAlignment="1" applyProtection="1">
      <alignment horizontal="left" vertical="center"/>
    </xf>
    <xf numFmtId="0" fontId="96" fillId="32" borderId="0" xfId="0" applyFont="1" applyFill="1" applyBorder="1" applyAlignment="1" applyProtection="1">
      <alignment horizontal="center" vertical="center"/>
    </xf>
    <xf numFmtId="0" fontId="92" fillId="32" borderId="90" xfId="0" applyFont="1" applyFill="1" applyBorder="1" applyAlignment="1" applyProtection="1">
      <alignment horizontal="center" vertical="center" wrapText="1"/>
    </xf>
    <xf numFmtId="0" fontId="92" fillId="32" borderId="102" xfId="0" quotePrefix="1" applyFont="1" applyFill="1" applyBorder="1" applyAlignment="1" applyProtection="1">
      <alignment horizontal="center" vertical="center"/>
    </xf>
    <xf numFmtId="167" fontId="92" fillId="31" borderId="66" xfId="192" applyNumberFormat="1" applyFont="1" applyFill="1" applyBorder="1" applyAlignment="1" applyProtection="1">
      <alignment vertical="center"/>
      <protection locked="0"/>
    </xf>
    <xf numFmtId="167" fontId="92" fillId="31" borderId="43" xfId="192" applyNumberFormat="1" applyFont="1" applyFill="1" applyBorder="1" applyAlignment="1" applyProtection="1">
      <alignment vertical="center"/>
      <protection locked="0"/>
    </xf>
    <xf numFmtId="167" fontId="92" fillId="31" borderId="52" xfId="192" applyNumberFormat="1" applyFont="1" applyFill="1" applyBorder="1" applyAlignment="1" applyProtection="1">
      <alignment vertical="center"/>
      <protection locked="0"/>
    </xf>
    <xf numFmtId="167" fontId="92" fillId="32" borderId="90" xfId="0" applyNumberFormat="1" applyFont="1" applyFill="1" applyBorder="1" applyAlignment="1" applyProtection="1">
      <alignment vertical="center"/>
    </xf>
    <xf numFmtId="167" fontId="93" fillId="32" borderId="75" xfId="0" applyNumberFormat="1" applyFont="1" applyFill="1" applyBorder="1" applyAlignment="1" applyProtection="1">
      <alignment vertical="center"/>
    </xf>
    <xf numFmtId="167" fontId="92" fillId="32" borderId="102" xfId="0" quotePrefix="1" applyNumberFormat="1" applyFont="1" applyFill="1" applyBorder="1" applyAlignment="1" applyProtection="1">
      <alignment horizontal="center" vertical="center"/>
    </xf>
    <xf numFmtId="0" fontId="97" fillId="32" borderId="0" xfId="0" applyFont="1" applyFill="1" applyAlignment="1" applyProtection="1">
      <alignment horizontal="right" vertical="center"/>
    </xf>
    <xf numFmtId="0" fontId="92" fillId="32" borderId="75" xfId="0" applyFont="1" applyFill="1" applyBorder="1" applyAlignment="1" applyProtection="1">
      <alignment horizontal="center" vertical="center" wrapText="1"/>
    </xf>
    <xf numFmtId="167" fontId="92" fillId="31" borderId="46" xfId="192" applyNumberFormat="1" applyFont="1" applyFill="1" applyBorder="1" applyAlignment="1" applyProtection="1">
      <alignment vertical="center"/>
      <protection locked="0"/>
    </xf>
    <xf numFmtId="167" fontId="92" fillId="31" borderId="59" xfId="192" applyNumberFormat="1" applyFont="1" applyFill="1" applyBorder="1" applyAlignment="1" applyProtection="1">
      <alignment vertical="center"/>
      <protection locked="0"/>
    </xf>
    <xf numFmtId="167" fontId="92" fillId="32" borderId="75" xfId="0" applyNumberFormat="1" applyFont="1" applyFill="1" applyBorder="1" applyAlignment="1" applyProtection="1">
      <alignment vertical="center"/>
    </xf>
    <xf numFmtId="167" fontId="94" fillId="32" borderId="11" xfId="192" applyNumberFormat="1" applyFont="1" applyFill="1" applyBorder="1" applyAlignment="1" applyProtection="1">
      <alignment vertical="center"/>
    </xf>
    <xf numFmtId="0" fontId="88" fillId="33" borderId="0" xfId="171" applyFont="1" applyFill="1" applyBorder="1" applyAlignment="1" applyProtection="1">
      <alignment horizontal="center"/>
    </xf>
    <xf numFmtId="0" fontId="7" fillId="32" borderId="37" xfId="1" applyFont="1" applyFill="1" applyBorder="1" applyAlignment="1" applyProtection="1">
      <alignment horizontal="left"/>
    </xf>
    <xf numFmtId="0" fontId="7" fillId="32" borderId="29" xfId="1" applyFont="1" applyFill="1" applyBorder="1" applyAlignment="1" applyProtection="1">
      <alignment horizontal="left"/>
    </xf>
    <xf numFmtId="0" fontId="7" fillId="32" borderId="26" xfId="1" applyFont="1" applyFill="1" applyBorder="1" applyAlignment="1" applyProtection="1">
      <alignment horizontal="left"/>
    </xf>
    <xf numFmtId="0" fontId="7" fillId="31" borderId="34" xfId="192" applyNumberFormat="1" applyFont="1" applyFill="1" applyBorder="1" applyAlignment="1" applyProtection="1">
      <alignment horizontal="center"/>
      <protection locked="0"/>
    </xf>
    <xf numFmtId="0" fontId="7" fillId="31" borderId="47" xfId="192" applyNumberFormat="1" applyFont="1" applyFill="1" applyBorder="1" applyAlignment="1" applyProtection="1">
      <alignment horizontal="center"/>
      <protection locked="0"/>
    </xf>
    <xf numFmtId="0" fontId="7" fillId="31" borderId="39" xfId="192" applyNumberFormat="1" applyFont="1" applyFill="1" applyBorder="1" applyAlignment="1" applyProtection="1">
      <alignment horizontal="center"/>
      <protection locked="0"/>
    </xf>
    <xf numFmtId="0" fontId="7" fillId="31" borderId="34" xfId="0" applyFont="1" applyFill="1" applyBorder="1" applyAlignment="1" applyProtection="1">
      <alignment horizontal="center"/>
      <protection locked="0"/>
    </xf>
    <xf numFmtId="0" fontId="7" fillId="31" borderId="47" xfId="0" applyFont="1" applyFill="1" applyBorder="1" applyAlignment="1" applyProtection="1">
      <alignment horizontal="center"/>
      <protection locked="0"/>
    </xf>
    <xf numFmtId="0" fontId="7" fillId="31" borderId="39" xfId="0" applyFont="1" applyFill="1" applyBorder="1" applyAlignment="1" applyProtection="1">
      <alignment horizontal="center"/>
      <protection locked="0"/>
    </xf>
    <xf numFmtId="0" fontId="0" fillId="0" borderId="0" xfId="171" applyFont="1" applyAlignment="1" applyProtection="1">
      <alignment horizontal="left" vertical="center" wrapText="1"/>
    </xf>
    <xf numFmtId="0" fontId="3" fillId="0" borderId="0" xfId="171" applyAlignment="1" applyProtection="1">
      <alignment horizontal="left" vertical="center" wrapText="1"/>
    </xf>
    <xf numFmtId="4" fontId="3" fillId="32" borderId="0" xfId="186" applyNumberFormat="1" applyFont="1" applyFill="1" applyBorder="1" applyAlignment="1" applyProtection="1">
      <alignment horizontal="left" vertical="top" wrapText="1"/>
    </xf>
    <xf numFmtId="4" fontId="3" fillId="32" borderId="19" xfId="186" applyNumberFormat="1" applyFont="1" applyFill="1" applyBorder="1" applyAlignment="1" applyProtection="1">
      <alignment horizontal="left" vertical="top" wrapText="1"/>
    </xf>
    <xf numFmtId="0" fontId="3" fillId="32" borderId="17" xfId="186" applyNumberFormat="1" applyFont="1" applyFill="1" applyBorder="1" applyAlignment="1" applyProtection="1">
      <alignment horizontal="center"/>
    </xf>
    <xf numFmtId="4" fontId="5" fillId="32" borderId="16" xfId="186" applyNumberFormat="1" applyFont="1" applyFill="1" applyBorder="1" applyAlignment="1" applyProtection="1">
      <alignment horizontal="left" vertical="top" wrapText="1"/>
    </xf>
    <xf numFmtId="4" fontId="5" fillId="32" borderId="0" xfId="186" applyNumberFormat="1" applyFont="1" applyFill="1" applyBorder="1" applyAlignment="1" applyProtection="1">
      <alignment horizontal="left" vertical="top" wrapText="1"/>
    </xf>
    <xf numFmtId="4" fontId="5" fillId="32" borderId="19" xfId="186" applyNumberFormat="1" applyFont="1" applyFill="1" applyBorder="1" applyAlignment="1" applyProtection="1">
      <alignment horizontal="left" vertical="top" wrapText="1"/>
    </xf>
    <xf numFmtId="0" fontId="5" fillId="32" borderId="17" xfId="186" applyNumberFormat="1" applyFont="1" applyFill="1" applyBorder="1" applyAlignment="1" applyProtection="1">
      <alignment horizontal="center"/>
    </xf>
    <xf numFmtId="4" fontId="5" fillId="32" borderId="86" xfId="186" applyNumberFormat="1" applyFont="1" applyFill="1" applyBorder="1" applyAlignment="1" applyProtection="1">
      <alignment horizontal="center" vertical="center"/>
    </xf>
    <xf numFmtId="4" fontId="5" fillId="32" borderId="87" xfId="186" applyNumberFormat="1" applyFont="1" applyFill="1" applyBorder="1" applyAlignment="1" applyProtection="1">
      <alignment horizontal="center" vertical="center"/>
    </xf>
    <xf numFmtId="4" fontId="5" fillId="32" borderId="88" xfId="186" applyNumberFormat="1" applyFont="1" applyFill="1" applyBorder="1" applyAlignment="1" applyProtection="1">
      <alignment horizontal="center" vertical="center"/>
    </xf>
    <xf numFmtId="4" fontId="5" fillId="32" borderId="89" xfId="186" applyNumberFormat="1" applyFont="1" applyFill="1" applyBorder="1" applyAlignment="1" applyProtection="1">
      <alignment horizontal="center" vertical="center"/>
    </xf>
    <xf numFmtId="4" fontId="5" fillId="32" borderId="30" xfId="186" applyNumberFormat="1" applyFont="1" applyFill="1" applyBorder="1" applyAlignment="1" applyProtection="1">
      <alignment horizontal="center" vertical="center"/>
    </xf>
    <xf numFmtId="4" fontId="5" fillId="32" borderId="65" xfId="186" applyNumberFormat="1" applyFont="1" applyFill="1" applyBorder="1" applyAlignment="1" applyProtection="1">
      <alignment horizontal="center" vertical="center"/>
    </xf>
    <xf numFmtId="0" fontId="5" fillId="32" borderId="85" xfId="186" applyNumberFormat="1" applyFont="1" applyFill="1" applyBorder="1" applyAlignment="1" applyProtection="1">
      <alignment horizontal="center" vertical="center"/>
    </xf>
    <xf numFmtId="0" fontId="5" fillId="32" borderId="64" xfId="186" applyNumberFormat="1" applyFont="1" applyFill="1" applyBorder="1" applyAlignment="1" applyProtection="1">
      <alignment horizontal="center" vertical="center"/>
    </xf>
    <xf numFmtId="0" fontId="20" fillId="32" borderId="34" xfId="0" applyFont="1" applyFill="1" applyBorder="1" applyAlignment="1" applyProtection="1">
      <alignment horizontal="center" vertical="center"/>
    </xf>
    <xf numFmtId="0" fontId="20" fillId="32" borderId="47" xfId="0" applyFont="1" applyFill="1" applyBorder="1" applyAlignment="1" applyProtection="1">
      <alignment horizontal="center" vertical="center"/>
    </xf>
    <xf numFmtId="0" fontId="20" fillId="32" borderId="39" xfId="0" applyFont="1" applyFill="1" applyBorder="1" applyAlignment="1" applyProtection="1">
      <alignment horizontal="center" vertical="center"/>
    </xf>
    <xf numFmtId="4" fontId="5" fillId="32" borderId="85" xfId="186" applyNumberFormat="1" applyFont="1" applyFill="1" applyBorder="1" applyAlignment="1" applyProtection="1">
      <alignment horizontal="center" vertical="center"/>
    </xf>
    <xf numFmtId="4" fontId="5" fillId="32" borderId="64" xfId="186" applyNumberFormat="1" applyFont="1" applyFill="1" applyBorder="1" applyAlignment="1" applyProtection="1">
      <alignment horizontal="center" vertical="center"/>
    </xf>
    <xf numFmtId="4" fontId="7" fillId="32" borderId="86" xfId="186" applyNumberFormat="1" applyFont="1" applyFill="1" applyBorder="1" applyAlignment="1" applyProtection="1">
      <alignment horizontal="center" vertical="center"/>
    </xf>
    <xf numFmtId="4" fontId="7" fillId="32" borderId="87" xfId="186" applyNumberFormat="1" applyFont="1" applyFill="1" applyBorder="1" applyAlignment="1" applyProtection="1">
      <alignment horizontal="center" vertical="center"/>
    </xf>
    <xf numFmtId="4" fontId="7" fillId="32" borderId="88" xfId="186" applyNumberFormat="1" applyFont="1" applyFill="1" applyBorder="1" applyAlignment="1" applyProtection="1">
      <alignment horizontal="center" vertical="center"/>
    </xf>
    <xf numFmtId="4" fontId="7" fillId="32" borderId="89" xfId="186" applyNumberFormat="1" applyFont="1" applyFill="1" applyBorder="1" applyAlignment="1" applyProtection="1">
      <alignment horizontal="center" vertical="center"/>
    </xf>
    <xf numFmtId="4" fontId="7" fillId="32" borderId="30" xfId="186" applyNumberFormat="1" applyFont="1" applyFill="1" applyBorder="1" applyAlignment="1" applyProtection="1">
      <alignment horizontal="center" vertical="center"/>
    </xf>
    <xf numFmtId="4" fontId="7" fillId="32" borderId="65"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wrapText="1"/>
    </xf>
    <xf numFmtId="4" fontId="5" fillId="32" borderId="16" xfId="186" applyNumberFormat="1" applyFont="1" applyFill="1" applyBorder="1" applyAlignment="1" applyProtection="1">
      <alignment horizontal="left" vertical="center" wrapText="1"/>
    </xf>
    <xf numFmtId="4" fontId="5" fillId="32" borderId="0" xfId="186" applyNumberFormat="1" applyFont="1" applyFill="1" applyBorder="1" applyAlignment="1" applyProtection="1">
      <alignment horizontal="left" vertical="center" wrapText="1"/>
    </xf>
    <xf numFmtId="4" fontId="5" fillId="32" borderId="19" xfId="186" applyNumberFormat="1" applyFont="1" applyFill="1" applyBorder="1" applyAlignment="1" applyProtection="1">
      <alignment horizontal="left" vertical="center" wrapText="1"/>
    </xf>
    <xf numFmtId="4" fontId="7" fillId="32" borderId="83" xfId="186" applyNumberFormat="1" applyFont="1" applyFill="1" applyBorder="1" applyAlignment="1" applyProtection="1">
      <alignment horizontal="center" vertical="center"/>
    </xf>
    <xf numFmtId="4" fontId="7" fillId="32" borderId="29" xfId="186" applyNumberFormat="1" applyFont="1" applyFill="1" applyBorder="1" applyAlignment="1" applyProtection="1">
      <alignment horizontal="center" vertical="center"/>
    </xf>
    <xf numFmtId="4" fontId="7" fillId="32" borderId="26" xfId="186" applyNumberFormat="1" applyFont="1" applyFill="1" applyBorder="1" applyAlignment="1" applyProtection="1">
      <alignment horizontal="center" vertical="center"/>
    </xf>
    <xf numFmtId="4" fontId="7" fillId="32" borderId="84" xfId="186" applyNumberFormat="1" applyFont="1" applyFill="1" applyBorder="1" applyAlignment="1" applyProtection="1">
      <alignment horizontal="center" vertical="center"/>
    </xf>
    <xf numFmtId="4" fontId="7" fillId="32" borderId="85" xfId="186" applyNumberFormat="1" applyFont="1" applyFill="1" applyBorder="1" applyAlignment="1" applyProtection="1">
      <alignment horizontal="center" vertical="center"/>
    </xf>
    <xf numFmtId="4" fontId="7" fillId="32" borderId="64" xfId="186" applyNumberFormat="1" applyFont="1" applyFill="1" applyBorder="1" applyAlignment="1" applyProtection="1">
      <alignment horizontal="center" vertical="center"/>
    </xf>
    <xf numFmtId="0" fontId="91" fillId="32" borderId="40" xfId="0" applyFont="1" applyFill="1" applyBorder="1" applyAlignment="1" applyProtection="1">
      <alignment horizontal="center" vertical="center"/>
    </xf>
    <xf numFmtId="0" fontId="91" fillId="32" borderId="52" xfId="0" applyFont="1" applyFill="1" applyBorder="1" applyAlignment="1" applyProtection="1">
      <alignment horizontal="center" vertical="center"/>
    </xf>
    <xf numFmtId="0" fontId="7" fillId="32" borderId="34" xfId="0" applyNumberFormat="1" applyFont="1" applyFill="1" applyBorder="1" applyAlignment="1" applyProtection="1">
      <alignment horizontal="center" vertical="center"/>
    </xf>
    <xf numFmtId="0" fontId="7" fillId="32" borderId="47" xfId="0" applyNumberFormat="1" applyFont="1" applyFill="1" applyBorder="1" applyAlignment="1" applyProtection="1">
      <alignment horizontal="center" vertical="center"/>
    </xf>
    <xf numFmtId="0" fontId="7" fillId="32" borderId="39" xfId="0" applyNumberFormat="1" applyFont="1" applyFill="1" applyBorder="1" applyAlignment="1" applyProtection="1">
      <alignment horizontal="center" vertical="center"/>
    </xf>
    <xf numFmtId="0" fontId="7" fillId="32" borderId="34" xfId="0" applyFont="1" applyFill="1" applyBorder="1" applyAlignment="1" applyProtection="1">
      <alignment horizontal="center" vertical="center"/>
    </xf>
    <xf numFmtId="0" fontId="7" fillId="32" borderId="47" xfId="0" applyFont="1" applyFill="1" applyBorder="1" applyAlignment="1" applyProtection="1">
      <alignment horizontal="center" vertical="center"/>
    </xf>
    <xf numFmtId="0" fontId="7" fillId="32" borderId="39" xfId="0" applyFont="1" applyFill="1" applyBorder="1" applyAlignment="1" applyProtection="1">
      <alignment horizontal="center" vertical="center"/>
    </xf>
    <xf numFmtId="0" fontId="7" fillId="32" borderId="90" xfId="0" applyFont="1" applyFill="1" applyBorder="1" applyAlignment="1" applyProtection="1">
      <alignment horizontal="center"/>
    </xf>
    <xf numFmtId="0" fontId="7" fillId="32" borderId="102" xfId="0" applyFont="1" applyFill="1" applyBorder="1" applyAlignment="1" applyProtection="1">
      <alignment horizontal="center"/>
    </xf>
    <xf numFmtId="0" fontId="5" fillId="32" borderId="40" xfId="0" applyFont="1" applyFill="1" applyBorder="1" applyAlignment="1" applyProtection="1">
      <alignment horizontal="center" vertical="center"/>
    </xf>
    <xf numFmtId="0" fontId="5" fillId="32" borderId="52" xfId="0" applyFont="1" applyFill="1" applyBorder="1" applyAlignment="1" applyProtection="1">
      <alignment horizontal="center" vertical="center"/>
    </xf>
    <xf numFmtId="4" fontId="5" fillId="0" borderId="33" xfId="186" applyNumberFormat="1" applyFont="1" applyBorder="1" applyAlignment="1" applyProtection="1">
      <alignment horizontal="center" vertical="center" wrapText="1"/>
    </xf>
    <xf numFmtId="4" fontId="5" fillId="0" borderId="27" xfId="186" applyNumberFormat="1" applyFont="1" applyBorder="1" applyAlignment="1" applyProtection="1">
      <alignment horizontal="center" vertical="center" wrapText="1"/>
    </xf>
    <xf numFmtId="4" fontId="5" fillId="0" borderId="28" xfId="186" applyNumberFormat="1" applyFont="1" applyBorder="1" applyAlignment="1" applyProtection="1">
      <alignment horizontal="center" vertical="center" wrapText="1"/>
    </xf>
    <xf numFmtId="0" fontId="5" fillId="0" borderId="33" xfId="186" applyNumberFormat="1" applyFont="1" applyBorder="1" applyAlignment="1" applyProtection="1">
      <alignment horizontal="center" vertical="center" wrapText="1"/>
    </xf>
    <xf numFmtId="0" fontId="5" fillId="0" borderId="27" xfId="186" applyNumberFormat="1" applyFont="1" applyBorder="1" applyAlignment="1" applyProtection="1">
      <alignment horizontal="center" vertical="center" wrapText="1"/>
    </xf>
    <xf numFmtId="0" fontId="5" fillId="0" borderId="28" xfId="186" applyNumberFormat="1" applyFont="1" applyBorder="1" applyAlignment="1" applyProtection="1">
      <alignment horizontal="center" vertical="center" wrapText="1"/>
    </xf>
    <xf numFmtId="165" fontId="0" fillId="0" borderId="37" xfId="192" applyFont="1" applyBorder="1" applyAlignment="1" applyProtection="1">
      <alignment horizontal="center" vertical="center"/>
    </xf>
    <xf numFmtId="0" fontId="5" fillId="32" borderId="33" xfId="186" applyNumberFormat="1" applyFont="1" applyFill="1" applyBorder="1" applyAlignment="1" applyProtection="1">
      <alignment horizontal="center" vertical="center"/>
    </xf>
    <xf numFmtId="0" fontId="5" fillId="32" borderId="27" xfId="186" applyNumberFormat="1" applyFont="1" applyFill="1" applyBorder="1" applyAlignment="1" applyProtection="1">
      <alignment horizontal="center" vertical="center"/>
    </xf>
    <xf numFmtId="0" fontId="5" fillId="32" borderId="28" xfId="186" applyNumberFormat="1" applyFont="1" applyFill="1" applyBorder="1" applyAlignment="1" applyProtection="1">
      <alignment horizontal="center" vertical="center"/>
    </xf>
    <xf numFmtId="165" fontId="3" fillId="32" borderId="33" xfId="192" applyFont="1" applyFill="1" applyBorder="1" applyAlignment="1" applyProtection="1">
      <alignment horizontal="center" vertical="center" wrapText="1"/>
    </xf>
    <xf numFmtId="165" fontId="3" fillId="32" borderId="27" xfId="192" applyFont="1" applyFill="1" applyBorder="1" applyAlignment="1" applyProtection="1">
      <alignment horizontal="center" vertical="center" wrapText="1"/>
    </xf>
    <xf numFmtId="165" fontId="3" fillId="32" borderId="28" xfId="192" applyFont="1" applyFill="1" applyBorder="1" applyAlignment="1" applyProtection="1">
      <alignment horizontal="center" vertical="center" wrapText="1"/>
    </xf>
    <xf numFmtId="0" fontId="20" fillId="32" borderId="34" xfId="186" applyFont="1" applyFill="1" applyBorder="1" applyAlignment="1" applyProtection="1">
      <alignment horizontal="center" vertical="center"/>
    </xf>
    <xf numFmtId="0" fontId="20" fillId="32" borderId="47" xfId="186" applyFont="1" applyFill="1" applyBorder="1" applyAlignment="1" applyProtection="1">
      <alignment horizontal="center" vertical="center"/>
    </xf>
    <xf numFmtId="0" fontId="20" fillId="32" borderId="39" xfId="186" applyFont="1" applyFill="1" applyBorder="1" applyAlignment="1" applyProtection="1">
      <alignment horizontal="center" vertical="center"/>
    </xf>
    <xf numFmtId="0" fontId="22" fillId="40" borderId="34" xfId="30" applyFont="1" applyFill="1" applyBorder="1" applyAlignment="1" applyProtection="1">
      <alignment horizontal="center" vertical="center"/>
    </xf>
    <xf numFmtId="0" fontId="22" fillId="40" borderId="47" xfId="30" applyFont="1" applyFill="1" applyBorder="1" applyAlignment="1" applyProtection="1">
      <alignment horizontal="center" vertical="center"/>
    </xf>
    <xf numFmtId="0" fontId="22" fillId="40" borderId="39" xfId="30" applyFont="1" applyFill="1" applyBorder="1" applyAlignment="1" applyProtection="1">
      <alignment horizontal="center" vertical="center"/>
    </xf>
    <xf numFmtId="0" fontId="23" fillId="32" borderId="34" xfId="30" applyFont="1" applyFill="1" applyBorder="1" applyAlignment="1" applyProtection="1">
      <alignment horizontal="center" vertical="center"/>
    </xf>
    <xf numFmtId="0" fontId="23" fillId="32" borderId="47" xfId="30" applyFont="1" applyFill="1" applyBorder="1" applyAlignment="1" applyProtection="1">
      <alignment horizontal="center" vertical="center"/>
    </xf>
    <xf numFmtId="0" fontId="23" fillId="32" borderId="39" xfId="30" applyFont="1" applyFill="1" applyBorder="1" applyAlignment="1" applyProtection="1">
      <alignment horizontal="center" vertical="center"/>
    </xf>
    <xf numFmtId="0" fontId="78" fillId="32" borderId="14" xfId="30" applyFont="1" applyFill="1" applyBorder="1" applyAlignment="1" applyProtection="1">
      <alignment horizontal="center" vertical="center"/>
    </xf>
    <xf numFmtId="0" fontId="78" fillId="32" borderId="0" xfId="30" applyFont="1" applyFill="1" applyAlignment="1" applyProtection="1">
      <alignment horizontal="center" vertical="center"/>
    </xf>
    <xf numFmtId="0" fontId="23" fillId="0" borderId="37" xfId="30" applyFont="1" applyFill="1" applyBorder="1" applyAlignment="1" applyProtection="1">
      <alignment horizontal="center" vertical="center"/>
    </xf>
    <xf numFmtId="0" fontId="23" fillId="0" borderId="29" xfId="30" applyFont="1" applyFill="1" applyBorder="1" applyAlignment="1" applyProtection="1">
      <alignment horizontal="center" vertical="center"/>
    </xf>
    <xf numFmtId="0" fontId="23" fillId="0" borderId="26" xfId="30" applyFont="1" applyFill="1" applyBorder="1" applyAlignment="1" applyProtection="1">
      <alignment horizontal="center" vertical="center"/>
    </xf>
    <xf numFmtId="0" fontId="3" fillId="32" borderId="33" xfId="30" applyFont="1" applyFill="1" applyBorder="1" applyAlignment="1" applyProtection="1">
      <alignment vertical="center" wrapText="1"/>
    </xf>
    <xf numFmtId="0" fontId="57" fillId="32" borderId="27" xfId="46" applyFill="1" applyBorder="1" applyAlignment="1" applyProtection="1">
      <alignment vertical="center"/>
    </xf>
    <xf numFmtId="0" fontId="57" fillId="32" borderId="28" xfId="46" applyFill="1" applyBorder="1" applyAlignment="1" applyProtection="1">
      <alignment vertical="center"/>
    </xf>
    <xf numFmtId="0" fontId="0" fillId="41" borderId="33" xfId="30" applyFont="1" applyFill="1" applyBorder="1" applyAlignment="1" applyProtection="1">
      <alignment vertical="center" wrapText="1"/>
    </xf>
    <xf numFmtId="0" fontId="57" fillId="41" borderId="27" xfId="46" applyFill="1" applyBorder="1" applyAlignment="1" applyProtection="1">
      <alignment vertical="center" wrapText="1"/>
    </xf>
    <xf numFmtId="0" fontId="57" fillId="41" borderId="28" xfId="46" applyFill="1" applyBorder="1" applyAlignment="1" applyProtection="1">
      <alignment vertical="center"/>
    </xf>
    <xf numFmtId="0" fontId="23" fillId="32" borderId="37" xfId="30" applyFont="1" applyFill="1" applyBorder="1" applyAlignment="1" applyProtection="1">
      <alignment horizontal="center" vertical="center"/>
    </xf>
    <xf numFmtId="0" fontId="23" fillId="32" borderId="29" xfId="30" applyFont="1" applyFill="1" applyBorder="1" applyAlignment="1" applyProtection="1">
      <alignment horizontal="center" vertical="center"/>
    </xf>
    <xf numFmtId="0" fontId="23" fillId="32" borderId="26" xfId="30" applyFont="1" applyFill="1" applyBorder="1" applyAlignment="1" applyProtection="1">
      <alignment horizontal="center" vertical="center"/>
    </xf>
    <xf numFmtId="0" fontId="7" fillId="32" borderId="0" xfId="30" applyFont="1" applyFill="1" applyBorder="1" applyAlignment="1" applyProtection="1">
      <alignment horizontal="center" vertical="center"/>
    </xf>
    <xf numFmtId="0" fontId="0" fillId="0" borderId="33" xfId="30" applyFont="1" applyFill="1" applyBorder="1" applyAlignment="1" applyProtection="1">
      <alignment vertical="center" wrapText="1"/>
    </xf>
    <xf numFmtId="0" fontId="57" fillId="0" borderId="27" xfId="46" applyFill="1" applyBorder="1" applyAlignment="1" applyProtection="1">
      <alignment vertical="center" wrapText="1"/>
    </xf>
    <xf numFmtId="0" fontId="57" fillId="0" borderId="28" xfId="46" applyFill="1" applyBorder="1" applyAlignment="1" applyProtection="1">
      <alignment vertical="center" wrapText="1"/>
    </xf>
    <xf numFmtId="0" fontId="7" fillId="32" borderId="37" xfId="0" applyFont="1" applyFill="1" applyBorder="1" applyAlignment="1" applyProtection="1">
      <alignment horizontal="center" vertical="center" wrapText="1"/>
    </xf>
    <xf numFmtId="0" fontId="7" fillId="32" borderId="29" xfId="0" applyFont="1" applyFill="1" applyBorder="1" applyAlignment="1" applyProtection="1">
      <alignment horizontal="center" vertical="center" wrapText="1"/>
    </xf>
    <xf numFmtId="0" fontId="7" fillId="32" borderId="26" xfId="0" applyFont="1" applyFill="1" applyBorder="1" applyAlignment="1" applyProtection="1">
      <alignment horizontal="center" vertical="center" wrapText="1"/>
    </xf>
    <xf numFmtId="0" fontId="6" fillId="32" borderId="37" xfId="0" applyFont="1" applyFill="1" applyBorder="1" applyAlignment="1" applyProtection="1">
      <alignment horizontal="center" vertical="center" wrapText="1"/>
    </xf>
    <xf numFmtId="0" fontId="6" fillId="32" borderId="29" xfId="0" applyFont="1" applyFill="1" applyBorder="1" applyAlignment="1" applyProtection="1">
      <alignment horizontal="center" vertical="center" wrapText="1"/>
    </xf>
    <xf numFmtId="0" fontId="6" fillId="32" borderId="26" xfId="0" applyFont="1" applyFill="1" applyBorder="1" applyAlignment="1" applyProtection="1">
      <alignment horizontal="center" vertical="center" wrapText="1"/>
    </xf>
    <xf numFmtId="0" fontId="0" fillId="32" borderId="37" xfId="0" applyFill="1" applyBorder="1" applyAlignment="1" applyProtection="1">
      <alignment horizontal="center" vertical="center" wrapText="1"/>
    </xf>
    <xf numFmtId="0" fontId="0" fillId="32" borderId="29" xfId="0" applyFill="1" applyBorder="1" applyAlignment="1" applyProtection="1">
      <alignment horizontal="center" vertical="center" wrapText="1"/>
    </xf>
    <xf numFmtId="0" fontId="0" fillId="32" borderId="26" xfId="0" applyFill="1" applyBorder="1" applyAlignment="1" applyProtection="1">
      <alignment horizontal="center" vertical="center" wrapText="1"/>
    </xf>
    <xf numFmtId="0" fontId="6" fillId="32" borderId="32" xfId="0" applyFont="1" applyFill="1" applyBorder="1" applyAlignment="1" applyProtection="1">
      <alignment horizontal="right" vertical="center"/>
    </xf>
    <xf numFmtId="0" fontId="0" fillId="32" borderId="11" xfId="0" applyFill="1" applyBorder="1" applyAlignment="1" applyProtection="1">
      <alignment horizontal="left" vertical="center" wrapText="1"/>
    </xf>
    <xf numFmtId="0" fontId="0" fillId="35" borderId="37" xfId="0" applyFill="1" applyBorder="1" applyAlignment="1" applyProtection="1">
      <alignment horizontal="center" vertical="center" wrapText="1"/>
    </xf>
    <xf numFmtId="0" fontId="0" fillId="35" borderId="29" xfId="0" applyFill="1" applyBorder="1" applyAlignment="1" applyProtection="1">
      <alignment horizontal="center" vertical="center" wrapText="1"/>
    </xf>
    <xf numFmtId="0" fontId="0" fillId="35" borderId="26" xfId="0" applyFill="1" applyBorder="1" applyAlignment="1" applyProtection="1">
      <alignment horizontal="center" vertical="center" wrapText="1"/>
    </xf>
    <xf numFmtId="0" fontId="6" fillId="39" borderId="37" xfId="0" applyFont="1" applyFill="1" applyBorder="1" applyAlignment="1" applyProtection="1">
      <alignment horizontal="center" vertical="center" wrapText="1"/>
    </xf>
    <xf numFmtId="0" fontId="6" fillId="39" borderId="29" xfId="0" applyFont="1" applyFill="1" applyBorder="1" applyAlignment="1" applyProtection="1">
      <alignment horizontal="center" vertical="center" wrapText="1"/>
    </xf>
    <xf numFmtId="0" fontId="6" fillId="39" borderId="26" xfId="0" applyFont="1" applyFill="1" applyBorder="1" applyAlignment="1" applyProtection="1">
      <alignment horizontal="center" vertical="center" wrapText="1"/>
    </xf>
    <xf numFmtId="0" fontId="7" fillId="32" borderId="37" xfId="0" applyFont="1" applyFill="1" applyBorder="1" applyAlignment="1" applyProtection="1">
      <alignment horizontal="left" vertical="center" wrapText="1"/>
    </xf>
    <xf numFmtId="0" fontId="7" fillId="32" borderId="29" xfId="0" applyFont="1" applyFill="1" applyBorder="1" applyAlignment="1" applyProtection="1">
      <alignment horizontal="left" vertical="center" wrapText="1"/>
    </xf>
    <xf numFmtId="0" fontId="7" fillId="32" borderId="26" xfId="0" applyFont="1" applyFill="1" applyBorder="1" applyAlignment="1" applyProtection="1">
      <alignment horizontal="left" vertical="center" wrapText="1"/>
    </xf>
    <xf numFmtId="0" fontId="19" fillId="32" borderId="37" xfId="0" applyFont="1" applyFill="1" applyBorder="1" applyAlignment="1" applyProtection="1">
      <alignment horizontal="left" vertical="center"/>
    </xf>
    <xf numFmtId="0" fontId="19" fillId="32" borderId="29" xfId="0" applyFont="1" applyFill="1" applyBorder="1" applyAlignment="1" applyProtection="1">
      <alignment horizontal="left" vertical="center"/>
    </xf>
    <xf numFmtId="0" fontId="19" fillId="32" borderId="26" xfId="0" applyFont="1" applyFill="1" applyBorder="1" applyAlignment="1" applyProtection="1">
      <alignment horizontal="left" vertical="center"/>
    </xf>
    <xf numFmtId="0" fontId="6" fillId="32" borderId="0" xfId="0" applyFont="1" applyFill="1" applyBorder="1" applyAlignment="1" applyProtection="1">
      <alignment horizontal="center" vertical="center"/>
    </xf>
    <xf numFmtId="0" fontId="19" fillId="39" borderId="37" xfId="0" applyFont="1" applyFill="1" applyBorder="1" applyAlignment="1" applyProtection="1">
      <alignment horizontal="left" vertical="center"/>
    </xf>
    <xf numFmtId="0" fontId="19" fillId="39" borderId="29" xfId="0" applyFont="1" applyFill="1" applyBorder="1" applyAlignment="1" applyProtection="1">
      <alignment horizontal="left" vertical="center"/>
    </xf>
    <xf numFmtId="0" fontId="19" fillId="39" borderId="26" xfId="0" applyFont="1" applyFill="1" applyBorder="1" applyAlignment="1" applyProtection="1">
      <alignment horizontal="left" vertical="center"/>
    </xf>
    <xf numFmtId="0" fontId="7" fillId="32" borderId="11" xfId="0" applyFont="1" applyFill="1" applyBorder="1" applyAlignment="1" applyProtection="1">
      <alignment horizontal="left" vertical="center" wrapText="1"/>
    </xf>
    <xf numFmtId="0" fontId="0" fillId="32" borderId="37" xfId="0" applyFill="1" applyBorder="1" applyAlignment="1" applyProtection="1">
      <alignment horizontal="left" vertical="center" wrapText="1"/>
    </xf>
    <xf numFmtId="0" fontId="0" fillId="32" borderId="29" xfId="0" applyFill="1" applyBorder="1" applyAlignment="1" applyProtection="1">
      <alignment horizontal="left" vertical="center" wrapText="1"/>
    </xf>
    <xf numFmtId="0" fontId="0" fillId="32" borderId="26" xfId="0" applyFill="1" applyBorder="1" applyAlignment="1" applyProtection="1">
      <alignment horizontal="left" vertical="center" wrapText="1"/>
    </xf>
    <xf numFmtId="0" fontId="7" fillId="32" borderId="37" xfId="0" applyFont="1" applyFill="1" applyBorder="1" applyAlignment="1" applyProtection="1">
      <alignment horizontal="left" vertical="center"/>
    </xf>
    <xf numFmtId="0" fontId="7" fillId="32" borderId="29" xfId="0" applyFont="1" applyFill="1" applyBorder="1" applyAlignment="1" applyProtection="1">
      <alignment horizontal="left" vertical="center"/>
    </xf>
    <xf numFmtId="0" fontId="7" fillId="32" borderId="26" xfId="0" applyFont="1" applyFill="1" applyBorder="1" applyAlignment="1" applyProtection="1">
      <alignment horizontal="left" vertical="center"/>
    </xf>
    <xf numFmtId="0" fontId="57" fillId="32" borderId="27" xfId="46" applyFill="1" applyBorder="1" applyAlignment="1" applyProtection="1">
      <alignment vertical="center" wrapText="1"/>
    </xf>
    <xf numFmtId="0" fontId="57" fillId="32" borderId="28" xfId="46" applyFill="1" applyBorder="1" applyAlignment="1" applyProtection="1">
      <alignment vertical="center" wrapText="1"/>
    </xf>
    <xf numFmtId="0" fontId="57" fillId="0" borderId="28" xfId="46" applyFill="1" applyBorder="1" applyAlignment="1" applyProtection="1">
      <alignment vertical="center"/>
    </xf>
    <xf numFmtId="0" fontId="26" fillId="32" borderId="0" xfId="30" applyFont="1" applyFill="1" applyAlignment="1" applyProtection="1">
      <alignment horizontal="center" vertical="center"/>
    </xf>
    <xf numFmtId="0" fontId="6" fillId="32" borderId="61" xfId="0" applyFont="1" applyFill="1" applyBorder="1" applyAlignment="1" applyProtection="1">
      <alignment horizontal="left" vertical="center" wrapText="1"/>
    </xf>
    <xf numFmtId="0" fontId="6" fillId="32" borderId="77" xfId="0" applyFont="1" applyFill="1" applyBorder="1" applyAlignment="1" applyProtection="1">
      <alignment horizontal="left" vertical="center" wrapText="1"/>
    </xf>
    <xf numFmtId="0" fontId="6" fillId="32" borderId="115" xfId="0" applyFont="1" applyFill="1" applyBorder="1" applyAlignment="1" applyProtection="1">
      <alignment horizontal="left" vertical="center" wrapText="1"/>
    </xf>
    <xf numFmtId="0" fontId="6" fillId="32" borderId="26" xfId="0" applyFont="1" applyFill="1" applyBorder="1" applyAlignment="1" applyProtection="1">
      <alignment horizontal="left" vertical="center" wrapText="1"/>
    </xf>
    <xf numFmtId="0" fontId="7" fillId="32" borderId="82" xfId="0" applyFont="1" applyFill="1" applyBorder="1" applyAlignment="1" applyProtection="1">
      <alignment horizontal="center" vertical="center" wrapText="1"/>
    </xf>
    <xf numFmtId="0" fontId="7" fillId="32" borderId="35" xfId="0" applyFont="1" applyFill="1" applyBorder="1" applyAlignment="1" applyProtection="1">
      <alignment horizontal="center" vertical="center" wrapText="1"/>
    </xf>
    <xf numFmtId="0" fontId="7" fillId="32" borderId="34" xfId="0" applyFont="1" applyFill="1" applyBorder="1" applyAlignment="1" applyProtection="1">
      <alignment horizontal="left" vertical="center" wrapText="1"/>
    </xf>
    <xf numFmtId="0" fontId="7" fillId="32" borderId="80" xfId="0" applyFont="1" applyFill="1" applyBorder="1" applyAlignment="1" applyProtection="1">
      <alignment horizontal="left" vertical="center" wrapText="1"/>
    </xf>
    <xf numFmtId="0" fontId="7" fillId="32" borderId="34" xfId="0" applyFont="1" applyFill="1" applyBorder="1" applyAlignment="1" applyProtection="1">
      <alignment horizontal="left" vertical="center"/>
    </xf>
    <xf numFmtId="0" fontId="7" fillId="32" borderId="80" xfId="0" applyFont="1" applyFill="1" applyBorder="1" applyAlignment="1" applyProtection="1">
      <alignment horizontal="left" vertical="center"/>
    </xf>
    <xf numFmtId="0" fontId="6" fillId="32" borderId="117" xfId="0" applyFont="1" applyFill="1" applyBorder="1" applyAlignment="1" applyProtection="1">
      <alignment horizontal="left" vertical="center" wrapText="1"/>
    </xf>
    <xf numFmtId="0" fontId="6" fillId="32" borderId="118" xfId="0" applyFont="1" applyFill="1" applyBorder="1" applyAlignment="1" applyProtection="1">
      <alignment horizontal="left" vertical="center" wrapText="1"/>
    </xf>
    <xf numFmtId="0" fontId="20" fillId="32" borderId="34" xfId="186" applyFont="1" applyFill="1" applyBorder="1" applyAlignment="1" applyProtection="1">
      <alignment horizontal="center" vertical="center" wrapText="1"/>
    </xf>
    <xf numFmtId="0" fontId="20" fillId="32" borderId="47" xfId="186" applyFont="1" applyFill="1" applyBorder="1" applyAlignment="1" applyProtection="1">
      <alignment horizontal="center" vertical="center" wrapText="1"/>
    </xf>
    <xf numFmtId="0" fontId="20" fillId="32" borderId="39" xfId="186" applyFont="1" applyFill="1" applyBorder="1" applyAlignment="1" applyProtection="1">
      <alignment horizontal="center" vertical="center" wrapText="1"/>
    </xf>
    <xf numFmtId="0" fontId="6" fillId="32" borderId="0" xfId="0" applyFont="1" applyFill="1" applyAlignment="1" applyProtection="1">
      <alignment horizontal="left" vertical="center" wrapText="1"/>
    </xf>
    <xf numFmtId="0" fontId="7" fillId="0" borderId="34" xfId="174" applyFont="1" applyFill="1" applyBorder="1" applyAlignment="1" applyProtection="1">
      <alignment horizontal="center" vertical="center" wrapText="1"/>
    </xf>
    <xf numFmtId="0" fontId="7" fillId="0" borderId="47" xfId="174" applyFont="1" applyFill="1" applyBorder="1" applyAlignment="1" applyProtection="1">
      <alignment horizontal="center" vertical="center" wrapText="1"/>
    </xf>
    <xf numFmtId="0" fontId="7" fillId="0" borderId="80" xfId="174" applyFont="1" applyFill="1" applyBorder="1" applyAlignment="1" applyProtection="1">
      <alignment horizontal="center" vertical="center" wrapText="1"/>
    </xf>
    <xf numFmtId="0" fontId="5" fillId="30" borderId="42" xfId="174" applyFont="1" applyFill="1" applyBorder="1" applyAlignment="1" applyProtection="1">
      <alignment horizontal="left" vertical="center" wrapText="1"/>
    </xf>
    <xf numFmtId="0" fontId="5" fillId="30" borderId="43" xfId="174" applyFont="1" applyFill="1" applyBorder="1" applyAlignment="1" applyProtection="1">
      <alignment horizontal="left" vertical="center" wrapText="1"/>
    </xf>
    <xf numFmtId="0" fontId="54" fillId="0" borderId="42" xfId="174" applyFont="1" applyFill="1" applyBorder="1" applyAlignment="1" applyProtection="1">
      <alignment horizontal="left" vertical="center" wrapText="1"/>
    </xf>
    <xf numFmtId="0" fontId="54" fillId="0" borderId="43" xfId="174" applyFont="1" applyFill="1" applyBorder="1" applyAlignment="1" applyProtection="1">
      <alignment horizontal="left" vertical="center" wrapText="1"/>
    </xf>
    <xf numFmtId="0" fontId="3" fillId="0" borderId="42" xfId="174" applyFont="1" applyFill="1" applyBorder="1" applyAlignment="1" applyProtection="1">
      <alignment horizontal="left" vertical="center" wrapText="1"/>
    </xf>
    <xf numFmtId="0" fontId="3" fillId="0" borderId="43" xfId="174" applyFont="1" applyFill="1" applyBorder="1" applyAlignment="1" applyProtection="1">
      <alignment horizontal="left" vertical="center" wrapText="1"/>
    </xf>
    <xf numFmtId="0" fontId="7" fillId="32" borderId="42" xfId="184" applyFont="1" applyFill="1" applyBorder="1" applyAlignment="1" applyProtection="1">
      <alignment horizontal="left" vertical="center" wrapText="1"/>
    </xf>
    <xf numFmtId="0" fontId="7" fillId="32" borderId="43" xfId="184" applyFont="1" applyFill="1" applyBorder="1" applyAlignment="1" applyProtection="1">
      <alignment horizontal="left" vertical="center" wrapText="1"/>
    </xf>
    <xf numFmtId="0" fontId="4" fillId="32" borderId="48" xfId="171" applyFont="1" applyFill="1" applyBorder="1" applyAlignment="1" applyProtection="1">
      <alignment horizontal="center" vertical="center"/>
    </xf>
    <xf numFmtId="0" fontId="4" fillId="32" borderId="49" xfId="171" applyFont="1" applyFill="1" applyBorder="1" applyAlignment="1" applyProtection="1">
      <alignment horizontal="center" vertical="center"/>
    </xf>
    <xf numFmtId="0" fontId="4" fillId="32" borderId="50" xfId="171" applyFont="1" applyFill="1" applyBorder="1" applyAlignment="1" applyProtection="1">
      <alignment horizontal="center" vertical="center"/>
    </xf>
    <xf numFmtId="0" fontId="4" fillId="32" borderId="51" xfId="171" applyFont="1" applyFill="1" applyBorder="1" applyAlignment="1" applyProtection="1">
      <alignment horizontal="center" vertical="center"/>
    </xf>
    <xf numFmtId="0" fontId="4" fillId="32" borderId="15" xfId="171" applyFont="1" applyFill="1" applyBorder="1" applyAlignment="1" applyProtection="1">
      <alignment horizontal="center" vertical="center"/>
    </xf>
    <xf numFmtId="0" fontId="4" fillId="32" borderId="52" xfId="171" applyFont="1" applyFill="1" applyBorder="1" applyAlignment="1" applyProtection="1">
      <alignment horizontal="center" vertical="center"/>
    </xf>
    <xf numFmtId="0" fontId="7" fillId="32" borderId="48" xfId="171" applyFont="1" applyFill="1" applyBorder="1" applyAlignment="1" applyProtection="1">
      <alignment horizontal="center" vertical="center" wrapText="1"/>
    </xf>
    <xf numFmtId="0" fontId="7" fillId="32" borderId="49" xfId="171" applyFont="1" applyFill="1" applyBorder="1" applyAlignment="1" applyProtection="1">
      <alignment horizontal="center" vertical="center" wrapText="1"/>
    </xf>
    <xf numFmtId="0" fontId="7" fillId="32" borderId="76" xfId="171" applyFont="1" applyFill="1" applyBorder="1" applyAlignment="1" applyProtection="1">
      <alignment horizontal="center" vertical="center" wrapText="1"/>
    </xf>
    <xf numFmtId="0" fontId="7" fillId="0" borderId="11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0" fillId="32" borderId="115" xfId="0" applyFont="1" applyFill="1" applyBorder="1" applyAlignment="1" applyProtection="1">
      <alignment horizontal="left" vertical="center" wrapText="1"/>
    </xf>
    <xf numFmtId="0" fontId="0" fillId="32" borderId="26" xfId="0" applyFont="1" applyFill="1" applyBorder="1" applyAlignment="1" applyProtection="1">
      <alignment horizontal="left" vertical="center" wrapText="1"/>
    </xf>
    <xf numFmtId="0" fontId="0" fillId="32" borderId="117" xfId="0" applyFont="1" applyFill="1" applyBorder="1" applyAlignment="1" applyProtection="1">
      <alignment horizontal="left" vertical="center" wrapText="1"/>
    </xf>
    <xf numFmtId="0" fontId="0" fillId="32" borderId="118" xfId="0" applyFont="1" applyFill="1" applyBorder="1" applyAlignment="1" applyProtection="1">
      <alignment horizontal="left" vertical="center" wrapText="1"/>
    </xf>
    <xf numFmtId="0" fontId="0" fillId="32" borderId="34" xfId="0" applyFill="1" applyBorder="1" applyAlignment="1" applyProtection="1">
      <alignment horizontal="left" vertical="center" wrapText="1"/>
    </xf>
    <xf numFmtId="0" fontId="0" fillId="32" borderId="80" xfId="0" applyFill="1" applyBorder="1" applyAlignment="1" applyProtection="1">
      <alignment horizontal="left" vertical="center" wrapText="1"/>
    </xf>
    <xf numFmtId="0" fontId="0" fillId="32" borderId="51" xfId="0" applyFont="1" applyFill="1" applyBorder="1" applyAlignment="1" applyProtection="1">
      <alignment horizontal="left" vertical="center" wrapText="1"/>
    </xf>
    <xf numFmtId="0" fontId="0" fillId="32" borderId="132" xfId="0" applyFont="1" applyFill="1" applyBorder="1" applyAlignment="1" applyProtection="1">
      <alignment horizontal="left" vertical="center" wrapText="1"/>
    </xf>
    <xf numFmtId="0" fontId="0" fillId="32" borderId="61" xfId="0" applyFont="1" applyFill="1" applyBorder="1" applyAlignment="1" applyProtection="1">
      <alignment horizontal="left" vertical="center" wrapText="1"/>
    </xf>
    <xf numFmtId="0" fontId="0" fillId="32" borderId="77" xfId="0" applyFont="1" applyFill="1" applyBorder="1" applyAlignment="1" applyProtection="1">
      <alignment horizontal="left" vertical="center" wrapText="1"/>
    </xf>
    <xf numFmtId="0" fontId="7" fillId="32" borderId="115" xfId="0" applyFont="1" applyFill="1" applyBorder="1" applyAlignment="1" applyProtection="1">
      <alignment horizontal="left" vertical="center" wrapText="1"/>
    </xf>
    <xf numFmtId="0" fontId="7" fillId="32" borderId="112" xfId="0" applyFont="1" applyFill="1" applyBorder="1" applyAlignment="1" applyProtection="1">
      <alignment horizontal="left" vertical="center" wrapText="1"/>
    </xf>
    <xf numFmtId="0" fontId="7" fillId="32" borderId="113" xfId="0" applyFont="1" applyFill="1" applyBorder="1" applyAlignment="1" applyProtection="1">
      <alignment horizontal="left" vertical="center" wrapText="1"/>
    </xf>
    <xf numFmtId="0" fontId="7" fillId="32" borderId="117" xfId="0" applyFont="1" applyFill="1" applyBorder="1" applyAlignment="1" applyProtection="1">
      <alignment horizontal="left" vertical="center" wrapText="1"/>
    </xf>
    <xf numFmtId="0" fontId="7" fillId="32" borderId="118" xfId="0" applyFont="1" applyFill="1" applyBorder="1" applyAlignment="1" applyProtection="1">
      <alignment horizontal="left" vertical="center" wrapText="1"/>
    </xf>
    <xf numFmtId="0" fontId="23" fillId="32" borderId="82" xfId="30" applyFont="1" applyFill="1" applyBorder="1" applyAlignment="1" applyProtection="1">
      <alignment horizontal="center" vertical="center"/>
    </xf>
    <xf numFmtId="0" fontId="23" fillId="32" borderId="32" xfId="30" applyFont="1" applyFill="1" applyBorder="1" applyAlignment="1" applyProtection="1">
      <alignment horizontal="center" vertical="center"/>
    </xf>
    <xf numFmtId="0" fontId="23" fillId="32" borderId="35" xfId="30" applyFont="1" applyFill="1" applyBorder="1" applyAlignment="1" applyProtection="1">
      <alignment horizontal="center" vertical="center"/>
    </xf>
    <xf numFmtId="0" fontId="7" fillId="0" borderId="117" xfId="0" applyFont="1" applyFill="1" applyBorder="1" applyAlignment="1" applyProtection="1">
      <alignment horizontal="left" vertical="center"/>
    </xf>
    <xf numFmtId="0" fontId="7" fillId="0" borderId="118" xfId="0" applyFont="1" applyFill="1" applyBorder="1" applyAlignment="1" applyProtection="1">
      <alignment horizontal="left" vertical="center"/>
    </xf>
    <xf numFmtId="0" fontId="76" fillId="32" borderId="33" xfId="46" applyFont="1" applyFill="1" applyBorder="1" applyAlignment="1" applyProtection="1">
      <alignment vertical="center" wrapText="1"/>
    </xf>
    <xf numFmtId="0" fontId="76" fillId="32" borderId="27" xfId="46" applyFont="1" applyFill="1" applyBorder="1" applyAlignment="1" applyProtection="1">
      <alignment vertical="center" wrapText="1"/>
    </xf>
    <xf numFmtId="0" fontId="76" fillId="32" borderId="28" xfId="46" applyFont="1" applyFill="1" applyBorder="1" applyAlignment="1" applyProtection="1">
      <alignment vertical="center" wrapText="1"/>
    </xf>
    <xf numFmtId="0" fontId="86" fillId="32" borderId="33" xfId="46" applyFont="1" applyFill="1" applyBorder="1" applyAlignment="1" applyProtection="1">
      <alignment vertical="center" wrapText="1"/>
    </xf>
    <xf numFmtId="0" fontId="7" fillId="32" borderId="34" xfId="171" applyFont="1" applyFill="1" applyBorder="1" applyAlignment="1" applyProtection="1">
      <alignment horizontal="center" vertical="center"/>
    </xf>
    <xf numFmtId="0" fontId="7" fillId="32" borderId="39" xfId="171" applyFont="1" applyFill="1" applyBorder="1" applyAlignment="1" applyProtection="1">
      <alignment horizontal="center" vertical="center"/>
    </xf>
    <xf numFmtId="0" fontId="19" fillId="32" borderId="37" xfId="171" applyFont="1" applyFill="1" applyBorder="1" applyAlignment="1" applyProtection="1">
      <alignment horizontal="right" vertical="center"/>
    </xf>
    <xf numFmtId="0" fontId="19" fillId="32" borderId="26" xfId="171" applyFont="1" applyFill="1" applyBorder="1" applyAlignment="1" applyProtection="1">
      <alignment horizontal="right" vertical="center"/>
    </xf>
    <xf numFmtId="0" fontId="4" fillId="32" borderId="34" xfId="171" applyFont="1" applyFill="1" applyBorder="1" applyAlignment="1" applyProtection="1">
      <alignment horizontal="center" vertical="center"/>
    </xf>
    <xf numFmtId="0" fontId="4" fillId="32" borderId="47" xfId="171" applyFont="1" applyFill="1" applyBorder="1" applyAlignment="1" applyProtection="1">
      <alignment horizontal="center" vertical="center"/>
    </xf>
    <xf numFmtId="0" fontId="4" fillId="32" borderId="39" xfId="171" applyFont="1" applyFill="1" applyBorder="1" applyAlignment="1" applyProtection="1">
      <alignment horizontal="center" vertical="center"/>
    </xf>
    <xf numFmtId="0" fontId="4" fillId="32" borderId="34" xfId="0" applyFont="1" applyFill="1" applyBorder="1" applyAlignment="1" applyProtection="1">
      <alignment horizontal="center" vertical="center"/>
    </xf>
    <xf numFmtId="0" fontId="4" fillId="32" borderId="47" xfId="0" applyFont="1" applyFill="1" applyBorder="1" applyAlignment="1" applyProtection="1">
      <alignment horizontal="center" vertical="center"/>
    </xf>
    <xf numFmtId="0" fontId="4" fillId="32" borderId="39" xfId="0" applyFont="1" applyFill="1" applyBorder="1" applyAlignment="1" applyProtection="1">
      <alignment horizontal="center" vertical="center"/>
    </xf>
    <xf numFmtId="0" fontId="6" fillId="32" borderId="0" xfId="171" applyFont="1" applyFill="1" applyAlignment="1" applyProtection="1">
      <alignment horizontal="left" vertical="center" wrapText="1"/>
    </xf>
    <xf numFmtId="10" fontId="3" fillId="32" borderId="90" xfId="121" applyNumberFormat="1" applyFill="1" applyBorder="1" applyAlignment="1" applyProtection="1">
      <alignment horizontal="center" vertical="center"/>
    </xf>
    <xf numFmtId="10" fontId="3" fillId="32" borderId="75" xfId="121" applyNumberFormat="1" applyFill="1" applyBorder="1" applyAlignment="1" applyProtection="1">
      <alignment horizontal="center" vertical="center"/>
    </xf>
    <xf numFmtId="10" fontId="3" fillId="32" borderId="102" xfId="121" applyNumberFormat="1" applyFill="1" applyBorder="1" applyAlignment="1" applyProtection="1">
      <alignment horizontal="center" vertical="center"/>
    </xf>
    <xf numFmtId="0" fontId="7" fillId="40" borderId="34" xfId="0" applyFont="1" applyFill="1" applyBorder="1" applyAlignment="1" applyProtection="1">
      <alignment horizontal="center" vertical="center"/>
    </xf>
    <xf numFmtId="0" fontId="7" fillId="40" borderId="47" xfId="0" applyFont="1" applyFill="1" applyBorder="1" applyAlignment="1" applyProtection="1">
      <alignment horizontal="center" vertical="center"/>
    </xf>
    <xf numFmtId="0" fontId="7" fillId="40" borderId="39" xfId="0" applyFont="1" applyFill="1" applyBorder="1" applyAlignment="1" applyProtection="1">
      <alignment horizontal="center" vertical="center"/>
    </xf>
    <xf numFmtId="0" fontId="4" fillId="32" borderId="34" xfId="0" applyFont="1" applyFill="1" applyBorder="1" applyAlignment="1">
      <alignment horizontal="center" vertical="center"/>
    </xf>
    <xf numFmtId="0" fontId="4" fillId="32" borderId="47" xfId="0" applyFont="1" applyFill="1" applyBorder="1" applyAlignment="1">
      <alignment horizontal="center" vertical="center"/>
    </xf>
    <xf numFmtId="0" fontId="4" fillId="32" borderId="39" xfId="0" applyFont="1" applyFill="1" applyBorder="1" applyAlignment="1">
      <alignment horizontal="center" vertical="center"/>
    </xf>
    <xf numFmtId="0" fontId="3" fillId="32" borderId="14" xfId="0" applyFont="1" applyFill="1" applyBorder="1" applyAlignment="1">
      <alignment horizontal="left" vertical="center"/>
    </xf>
    <xf numFmtId="0" fontId="7" fillId="32" borderId="34" xfId="0" applyFont="1" applyFill="1" applyBorder="1" applyAlignment="1">
      <alignment horizontal="left" vertical="center"/>
    </xf>
    <xf numFmtId="0" fontId="7" fillId="32" borderId="39" xfId="0" applyFont="1" applyFill="1" applyBorder="1" applyAlignment="1">
      <alignment horizontal="left" vertical="center"/>
    </xf>
    <xf numFmtId="0" fontId="7" fillId="32" borderId="90" xfId="0" applyFont="1" applyFill="1" applyBorder="1" applyAlignment="1">
      <alignment horizontal="center" vertical="center"/>
    </xf>
    <xf numFmtId="0" fontId="7" fillId="32" borderId="102" xfId="0" applyFont="1" applyFill="1" applyBorder="1" applyAlignment="1">
      <alignment horizontal="center" vertical="center"/>
    </xf>
    <xf numFmtId="0" fontId="7" fillId="32" borderId="107" xfId="0" applyFont="1" applyFill="1" applyBorder="1" applyAlignment="1">
      <alignment horizontal="left" vertical="center" wrapText="1"/>
    </xf>
    <xf numFmtId="0" fontId="7" fillId="32" borderId="62" xfId="0" applyFont="1" applyFill="1" applyBorder="1" applyAlignment="1">
      <alignment horizontal="left" vertical="center" wrapText="1"/>
    </xf>
    <xf numFmtId="0" fontId="7" fillId="32" borderId="14" xfId="0" applyFont="1" applyFill="1" applyBorder="1" applyAlignment="1">
      <alignment horizontal="left" vertical="center" wrapText="1"/>
    </xf>
    <xf numFmtId="0" fontId="7" fillId="32" borderId="40" xfId="0" applyFont="1" applyFill="1" applyBorder="1" applyAlignment="1">
      <alignment horizontal="left" vertical="center" wrapText="1"/>
    </xf>
    <xf numFmtId="0" fontId="7" fillId="32" borderId="51" xfId="0" applyFont="1" applyFill="1" applyBorder="1" applyAlignment="1">
      <alignment horizontal="left" vertical="center" wrapText="1"/>
    </xf>
    <xf numFmtId="0" fontId="7" fillId="32" borderId="52" xfId="0" applyFont="1" applyFill="1" applyBorder="1" applyAlignment="1">
      <alignment horizontal="left" vertical="center" wrapText="1"/>
    </xf>
    <xf numFmtId="0" fontId="3" fillId="32" borderId="14" xfId="0" applyFont="1" applyFill="1" applyBorder="1" applyAlignment="1">
      <alignment horizontal="left" vertical="center" wrapText="1"/>
    </xf>
  </cellXfs>
  <cellStyles count="195">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2" xfId="5" xr:uid="{00000000-0005-0000-0000-000004000000}"/>
    <cellStyle name="Euro" xfId="6" xr:uid="{00000000-0005-0000-0000-000005000000}"/>
    <cellStyle name="Explanatory Text" xfId="7" xr:uid="{00000000-0005-0000-0000-000006000000}"/>
    <cellStyle name="Good" xfId="8" xr:uid="{00000000-0005-0000-0000-000007000000}"/>
    <cellStyle name="Heading 1" xfId="9" xr:uid="{00000000-0005-0000-0000-000008000000}"/>
    <cellStyle name="Heading 2" xfId="10" xr:uid="{00000000-0005-0000-0000-000009000000}"/>
    <cellStyle name="Heading 3" xfId="11" xr:uid="{00000000-0005-0000-0000-00000A000000}"/>
    <cellStyle name="Heading 4" xfId="12" xr:uid="{00000000-0005-0000-0000-00000B000000}"/>
    <cellStyle name="Hyperlink" xfId="13" builtinId="8"/>
    <cellStyle name="Input" xfId="14" xr:uid="{00000000-0005-0000-0000-00000D000000}"/>
    <cellStyle name="Komma 2" xfId="15" xr:uid="{00000000-0005-0000-0000-00000E000000}"/>
    <cellStyle name="Komma 3" xfId="16" xr:uid="{00000000-0005-0000-0000-00000F000000}"/>
    <cellStyle name="Linked Cell" xfId="17" xr:uid="{00000000-0005-0000-0000-000010000000}"/>
    <cellStyle name="Milliers 2" xfId="18" xr:uid="{00000000-0005-0000-0000-000011000000}"/>
    <cellStyle name="Milliers 5" xfId="19" xr:uid="{00000000-0005-0000-0000-000012000000}"/>
    <cellStyle name="Milliers 8" xfId="20" xr:uid="{00000000-0005-0000-0000-000013000000}"/>
    <cellStyle name="Neutral" xfId="21" xr:uid="{00000000-0005-0000-0000-000014000000}"/>
    <cellStyle name="Normal 10" xfId="22" xr:uid="{00000000-0005-0000-0000-000015000000}"/>
    <cellStyle name="Normal 13" xfId="23" xr:uid="{00000000-0005-0000-0000-000016000000}"/>
    <cellStyle name="Normal 14" xfId="24" xr:uid="{00000000-0005-0000-0000-000017000000}"/>
    <cellStyle name="Normal 15" xfId="25" xr:uid="{00000000-0005-0000-0000-000018000000}"/>
    <cellStyle name="Normal 16" xfId="26" xr:uid="{00000000-0005-0000-0000-000019000000}"/>
    <cellStyle name="Normal 17" xfId="27" xr:uid="{00000000-0005-0000-0000-00001A000000}"/>
    <cellStyle name="Normal 18" xfId="28" xr:uid="{00000000-0005-0000-0000-00001B000000}"/>
    <cellStyle name="Normal 19" xfId="29" xr:uid="{00000000-0005-0000-0000-00001C000000}"/>
    <cellStyle name="Normal 2" xfId="30" xr:uid="{00000000-0005-0000-0000-00001D000000}"/>
    <cellStyle name="Normal 2 11" xfId="31" xr:uid="{00000000-0005-0000-0000-00001E000000}"/>
    <cellStyle name="Normal 2 12" xfId="32" xr:uid="{00000000-0005-0000-0000-00001F000000}"/>
    <cellStyle name="Normal 2 13" xfId="33" xr:uid="{00000000-0005-0000-0000-000020000000}"/>
    <cellStyle name="Normal 2 2" xfId="34" xr:uid="{00000000-0005-0000-0000-000021000000}"/>
    <cellStyle name="Normal 2 2 2" xfId="35" xr:uid="{00000000-0005-0000-0000-000022000000}"/>
    <cellStyle name="Normal 20" xfId="36" xr:uid="{00000000-0005-0000-0000-000023000000}"/>
    <cellStyle name="Normal 21" xfId="37" xr:uid="{00000000-0005-0000-0000-000024000000}"/>
    <cellStyle name="Normal 22" xfId="38" xr:uid="{00000000-0005-0000-0000-000025000000}"/>
    <cellStyle name="Normal 23" xfId="39" xr:uid="{00000000-0005-0000-0000-000026000000}"/>
    <cellStyle name="Normal 24" xfId="40" xr:uid="{00000000-0005-0000-0000-000027000000}"/>
    <cellStyle name="Normal 25" xfId="41" xr:uid="{00000000-0005-0000-0000-000028000000}"/>
    <cellStyle name="Normal 26" xfId="42" xr:uid="{00000000-0005-0000-0000-000029000000}"/>
    <cellStyle name="Normal 27" xfId="43" xr:uid="{00000000-0005-0000-0000-00002A000000}"/>
    <cellStyle name="Normal 28" xfId="44" xr:uid="{00000000-0005-0000-0000-00002B000000}"/>
    <cellStyle name="Normal 29" xfId="45" xr:uid="{00000000-0005-0000-0000-00002C000000}"/>
    <cellStyle name="Normal 3" xfId="46" xr:uid="{00000000-0005-0000-0000-00002D000000}"/>
    <cellStyle name="Normal 3 2" xfId="47" xr:uid="{00000000-0005-0000-0000-00002E000000}"/>
    <cellStyle name="Normal 3 3" xfId="48" xr:uid="{00000000-0005-0000-0000-00002F000000}"/>
    <cellStyle name="Normal 30" xfId="49" xr:uid="{00000000-0005-0000-0000-000030000000}"/>
    <cellStyle name="Normal 31" xfId="50" xr:uid="{00000000-0005-0000-0000-000031000000}"/>
    <cellStyle name="Normal 32" xfId="51" xr:uid="{00000000-0005-0000-0000-000032000000}"/>
    <cellStyle name="Normal 33" xfId="52" xr:uid="{00000000-0005-0000-0000-000033000000}"/>
    <cellStyle name="Normal 34" xfId="53" xr:uid="{00000000-0005-0000-0000-000034000000}"/>
    <cellStyle name="Normal 35" xfId="54" xr:uid="{00000000-0005-0000-0000-000035000000}"/>
    <cellStyle name="Normal 36" xfId="55" xr:uid="{00000000-0005-0000-0000-000036000000}"/>
    <cellStyle name="Normal 37" xfId="56" xr:uid="{00000000-0005-0000-0000-000037000000}"/>
    <cellStyle name="Normal 38" xfId="57" xr:uid="{00000000-0005-0000-0000-000038000000}"/>
    <cellStyle name="Normal 39" xfId="58" xr:uid="{00000000-0005-0000-0000-000039000000}"/>
    <cellStyle name="Normal 4" xfId="59" xr:uid="{00000000-0005-0000-0000-00003A000000}"/>
    <cellStyle name="Normal 40" xfId="60" xr:uid="{00000000-0005-0000-0000-00003B000000}"/>
    <cellStyle name="Normal 41" xfId="61" xr:uid="{00000000-0005-0000-0000-00003C000000}"/>
    <cellStyle name="Normal 42" xfId="62" xr:uid="{00000000-0005-0000-0000-00003D000000}"/>
    <cellStyle name="Normal 43" xfId="63" xr:uid="{00000000-0005-0000-0000-00003E000000}"/>
    <cellStyle name="Normal 44" xfId="64" xr:uid="{00000000-0005-0000-0000-00003F000000}"/>
    <cellStyle name="Normal 45" xfId="65" xr:uid="{00000000-0005-0000-0000-000040000000}"/>
    <cellStyle name="Normal 46" xfId="66" xr:uid="{00000000-0005-0000-0000-000041000000}"/>
    <cellStyle name="Normal 47" xfId="67" xr:uid="{00000000-0005-0000-0000-000042000000}"/>
    <cellStyle name="Normal 48" xfId="68" xr:uid="{00000000-0005-0000-0000-000043000000}"/>
    <cellStyle name="Normal 49" xfId="69" xr:uid="{00000000-0005-0000-0000-000044000000}"/>
    <cellStyle name="Normal 50" xfId="70" xr:uid="{00000000-0005-0000-0000-000045000000}"/>
    <cellStyle name="Normal 51" xfId="71" xr:uid="{00000000-0005-0000-0000-000046000000}"/>
    <cellStyle name="Normal 52" xfId="72" xr:uid="{00000000-0005-0000-0000-000047000000}"/>
    <cellStyle name="Normal 53" xfId="73" xr:uid="{00000000-0005-0000-0000-000048000000}"/>
    <cellStyle name="Normal 54" xfId="74" xr:uid="{00000000-0005-0000-0000-000049000000}"/>
    <cellStyle name="Normal 56" xfId="75" xr:uid="{00000000-0005-0000-0000-00004A000000}"/>
    <cellStyle name="Normal 57" xfId="76" xr:uid="{00000000-0005-0000-0000-00004B000000}"/>
    <cellStyle name="Normal 58" xfId="77" xr:uid="{00000000-0005-0000-0000-00004C000000}"/>
    <cellStyle name="Normal 59" xfId="78" xr:uid="{00000000-0005-0000-0000-00004D000000}"/>
    <cellStyle name="Normal 60" xfId="79" xr:uid="{00000000-0005-0000-0000-00004E000000}"/>
    <cellStyle name="Normal 61" xfId="80" xr:uid="{00000000-0005-0000-0000-00004F000000}"/>
    <cellStyle name="Normal 62" xfId="81" xr:uid="{00000000-0005-0000-0000-000050000000}"/>
    <cellStyle name="Normal 63" xfId="82" xr:uid="{00000000-0005-0000-0000-000051000000}"/>
    <cellStyle name="Normal 64" xfId="83" xr:uid="{00000000-0005-0000-0000-000052000000}"/>
    <cellStyle name="Normal 65" xfId="84" xr:uid="{00000000-0005-0000-0000-000053000000}"/>
    <cellStyle name="Normal 66" xfId="85" xr:uid="{00000000-0005-0000-0000-000054000000}"/>
    <cellStyle name="Normal 67" xfId="86" xr:uid="{00000000-0005-0000-0000-000055000000}"/>
    <cellStyle name="Normal 68" xfId="87" xr:uid="{00000000-0005-0000-0000-000056000000}"/>
    <cellStyle name="Normal 69" xfId="88" xr:uid="{00000000-0005-0000-0000-000057000000}"/>
    <cellStyle name="Normal 70" xfId="89" xr:uid="{00000000-0005-0000-0000-000058000000}"/>
    <cellStyle name="Normal 71" xfId="90" xr:uid="{00000000-0005-0000-0000-000059000000}"/>
    <cellStyle name="Normal 72" xfId="91" xr:uid="{00000000-0005-0000-0000-00005A000000}"/>
    <cellStyle name="Normal 73" xfId="92" xr:uid="{00000000-0005-0000-0000-00005B000000}"/>
    <cellStyle name="Normal 74" xfId="93" xr:uid="{00000000-0005-0000-0000-00005C000000}"/>
    <cellStyle name="Normal 75" xfId="94" xr:uid="{00000000-0005-0000-0000-00005D000000}"/>
    <cellStyle name="Normal 76" xfId="95" xr:uid="{00000000-0005-0000-0000-00005E000000}"/>
    <cellStyle name="Normal 77" xfId="96" xr:uid="{00000000-0005-0000-0000-00005F000000}"/>
    <cellStyle name="Normal 78" xfId="97" xr:uid="{00000000-0005-0000-0000-000060000000}"/>
    <cellStyle name="Normal 79" xfId="98" xr:uid="{00000000-0005-0000-0000-000061000000}"/>
    <cellStyle name="Normal 80" xfId="99" xr:uid="{00000000-0005-0000-0000-000062000000}"/>
    <cellStyle name="Normal 81" xfId="100" xr:uid="{00000000-0005-0000-0000-000063000000}"/>
    <cellStyle name="Normal 82" xfId="101" xr:uid="{00000000-0005-0000-0000-000064000000}"/>
    <cellStyle name="Normal 83" xfId="102" xr:uid="{00000000-0005-0000-0000-000065000000}"/>
    <cellStyle name="Normal 84" xfId="103" xr:uid="{00000000-0005-0000-0000-000066000000}"/>
    <cellStyle name="Normal 85" xfId="104" xr:uid="{00000000-0005-0000-0000-000067000000}"/>
    <cellStyle name="Normal 86" xfId="105" xr:uid="{00000000-0005-0000-0000-000068000000}"/>
    <cellStyle name="Normal 87" xfId="106" xr:uid="{00000000-0005-0000-0000-000069000000}"/>
    <cellStyle name="Normal 88" xfId="107" xr:uid="{00000000-0005-0000-0000-00006A000000}"/>
    <cellStyle name="Normal 89" xfId="108" xr:uid="{00000000-0005-0000-0000-00006B000000}"/>
    <cellStyle name="Normal 9" xfId="109" xr:uid="{00000000-0005-0000-0000-00006C000000}"/>
    <cellStyle name="Normal 90" xfId="110" xr:uid="{00000000-0005-0000-0000-00006D000000}"/>
    <cellStyle name="Normal 91" xfId="111" xr:uid="{00000000-0005-0000-0000-00006E000000}"/>
    <cellStyle name="Normal 92" xfId="112" xr:uid="{00000000-0005-0000-0000-00006F000000}"/>
    <cellStyle name="Normal 93" xfId="113" xr:uid="{00000000-0005-0000-0000-000070000000}"/>
    <cellStyle name="Normal 94" xfId="114" xr:uid="{00000000-0005-0000-0000-000071000000}"/>
    <cellStyle name="Normal 95 2" xfId="115" xr:uid="{00000000-0005-0000-0000-000072000000}"/>
    <cellStyle name="Normal_IMEA" xfId="116" xr:uid="{00000000-0005-0000-0000-000073000000}"/>
    <cellStyle name="Note" xfId="117" xr:uid="{00000000-0005-0000-0000-000074000000}"/>
    <cellStyle name="Output" xfId="118" xr:uid="{00000000-0005-0000-0000-000075000000}"/>
    <cellStyle name="Percent 2" xfId="119" xr:uid="{00000000-0005-0000-0000-000076000000}"/>
    <cellStyle name="Pourcentage 2" xfId="120" xr:uid="{00000000-0005-0000-0000-000077000000}"/>
    <cellStyle name="Procent" xfId="121" builtinId="5"/>
    <cellStyle name="Procent 2" xfId="122" xr:uid="{00000000-0005-0000-0000-000079000000}"/>
    <cellStyle name="Procent 3" xfId="123" xr:uid="{00000000-0005-0000-0000-00007A000000}"/>
    <cellStyle name="Procent 4" xfId="124" xr:uid="{00000000-0005-0000-0000-00007B000000}"/>
    <cellStyle name="Procent 5" xfId="125" xr:uid="{00000000-0005-0000-0000-00007C000000}"/>
    <cellStyle name="Procent 6" xfId="126" xr:uid="{00000000-0005-0000-0000-00007D000000}"/>
    <cellStyle name="SAPBEXaggData" xfId="127" xr:uid="{00000000-0005-0000-0000-00007E000000}"/>
    <cellStyle name="SAPBEXaggDataEmph" xfId="128" xr:uid="{00000000-0005-0000-0000-00007F000000}"/>
    <cellStyle name="SAPBEXaggItem" xfId="129" xr:uid="{00000000-0005-0000-0000-000080000000}"/>
    <cellStyle name="SAPBEXaggItemX" xfId="130" xr:uid="{00000000-0005-0000-0000-000081000000}"/>
    <cellStyle name="SAPBEXchaText" xfId="131" xr:uid="{00000000-0005-0000-0000-000082000000}"/>
    <cellStyle name="SAPBEXchaText 2" xfId="132" xr:uid="{00000000-0005-0000-0000-000083000000}"/>
    <cellStyle name="SAPBEXexcBad7" xfId="133" xr:uid="{00000000-0005-0000-0000-000084000000}"/>
    <cellStyle name="SAPBEXexcBad8" xfId="134" xr:uid="{00000000-0005-0000-0000-000085000000}"/>
    <cellStyle name="SAPBEXexcBad9" xfId="135" xr:uid="{00000000-0005-0000-0000-000086000000}"/>
    <cellStyle name="SAPBEXexcCritical4" xfId="136" xr:uid="{00000000-0005-0000-0000-000087000000}"/>
    <cellStyle name="SAPBEXexcCritical5" xfId="137" xr:uid="{00000000-0005-0000-0000-000088000000}"/>
    <cellStyle name="SAPBEXexcCritical6" xfId="138" xr:uid="{00000000-0005-0000-0000-000089000000}"/>
    <cellStyle name="SAPBEXexcGood1" xfId="139" xr:uid="{00000000-0005-0000-0000-00008A000000}"/>
    <cellStyle name="SAPBEXexcGood2" xfId="140" xr:uid="{00000000-0005-0000-0000-00008B000000}"/>
    <cellStyle name="SAPBEXexcGood3" xfId="141" xr:uid="{00000000-0005-0000-0000-00008C000000}"/>
    <cellStyle name="SAPBEXfilterDrill" xfId="142" xr:uid="{00000000-0005-0000-0000-00008D000000}"/>
    <cellStyle name="SAPBEXfilterItem" xfId="143" xr:uid="{00000000-0005-0000-0000-00008E000000}"/>
    <cellStyle name="SAPBEXfilterText" xfId="144" xr:uid="{00000000-0005-0000-0000-00008F000000}"/>
    <cellStyle name="SAPBEXformats" xfId="145" xr:uid="{00000000-0005-0000-0000-000090000000}"/>
    <cellStyle name="SAPBEXheaderItem" xfId="146" xr:uid="{00000000-0005-0000-0000-000091000000}"/>
    <cellStyle name="SAPBEXheaderText" xfId="147" xr:uid="{00000000-0005-0000-0000-000092000000}"/>
    <cellStyle name="SAPBEXHLevel0" xfId="148" xr:uid="{00000000-0005-0000-0000-000093000000}"/>
    <cellStyle name="SAPBEXHLevel0X" xfId="149" xr:uid="{00000000-0005-0000-0000-000094000000}"/>
    <cellStyle name="SAPBEXHLevel1" xfId="150" xr:uid="{00000000-0005-0000-0000-000095000000}"/>
    <cellStyle name="SAPBEXHLevel1X" xfId="151" xr:uid="{00000000-0005-0000-0000-000096000000}"/>
    <cellStyle name="SAPBEXHLevel2" xfId="152" xr:uid="{00000000-0005-0000-0000-000097000000}"/>
    <cellStyle name="SAPBEXHLevel2X" xfId="153" xr:uid="{00000000-0005-0000-0000-000098000000}"/>
    <cellStyle name="SAPBEXHLevel3" xfId="154" xr:uid="{00000000-0005-0000-0000-000099000000}"/>
    <cellStyle name="SAPBEXHLevel3X" xfId="155" xr:uid="{00000000-0005-0000-0000-00009A000000}"/>
    <cellStyle name="SAPBEXinputData" xfId="156" xr:uid="{00000000-0005-0000-0000-00009B000000}"/>
    <cellStyle name="SAPBEXresData" xfId="157" xr:uid="{00000000-0005-0000-0000-00009C000000}"/>
    <cellStyle name="SAPBEXresDataEmph" xfId="158" xr:uid="{00000000-0005-0000-0000-00009D000000}"/>
    <cellStyle name="SAPBEXresItem" xfId="159" xr:uid="{00000000-0005-0000-0000-00009E000000}"/>
    <cellStyle name="SAPBEXresItemX" xfId="160" xr:uid="{00000000-0005-0000-0000-00009F000000}"/>
    <cellStyle name="SAPBEXstdData" xfId="161" xr:uid="{00000000-0005-0000-0000-0000A0000000}"/>
    <cellStyle name="SAPBEXstdDataEmph" xfId="162" xr:uid="{00000000-0005-0000-0000-0000A1000000}"/>
    <cellStyle name="SAPBEXstdItem" xfId="163" xr:uid="{00000000-0005-0000-0000-0000A2000000}"/>
    <cellStyle name="SAPBEXstdItem 2" xfId="164" xr:uid="{00000000-0005-0000-0000-0000A3000000}"/>
    <cellStyle name="SAPBEXstdItemX" xfId="165" xr:uid="{00000000-0005-0000-0000-0000A4000000}"/>
    <cellStyle name="SAPBEXtitle" xfId="166" xr:uid="{00000000-0005-0000-0000-0000A5000000}"/>
    <cellStyle name="SAPBEXundefined" xfId="167" xr:uid="{00000000-0005-0000-0000-0000A6000000}"/>
    <cellStyle name="Sheet Title" xfId="168" xr:uid="{00000000-0005-0000-0000-0000A7000000}"/>
    <cellStyle name="Standaard" xfId="0" builtinId="0"/>
    <cellStyle name="Standaard 2" xfId="169" xr:uid="{00000000-0005-0000-0000-0000A9000000}"/>
    <cellStyle name="Standaard 2 2" xfId="170" xr:uid="{00000000-0005-0000-0000-0000AA000000}"/>
    <cellStyle name="Standaard 2 3" xfId="171" xr:uid="{00000000-0005-0000-0000-0000AB000000}"/>
    <cellStyle name="Standaard 2 4" xfId="172" xr:uid="{00000000-0005-0000-0000-0000AC000000}"/>
    <cellStyle name="Standaard 2_B2009_doorvervoer ELEK_MATRIX_versie DEF" xfId="173" xr:uid="{00000000-0005-0000-0000-0000AD000000}"/>
    <cellStyle name="Standaard 3" xfId="174" xr:uid="{00000000-0005-0000-0000-0000AE000000}"/>
    <cellStyle name="Standaard 3 2" xfId="175" xr:uid="{00000000-0005-0000-0000-0000AF000000}"/>
    <cellStyle name="Standaard 3 3" xfId="176" xr:uid="{00000000-0005-0000-0000-0000B0000000}"/>
    <cellStyle name="Standaard 4" xfId="177" xr:uid="{00000000-0005-0000-0000-0000B1000000}"/>
    <cellStyle name="Standaard 4 2" xfId="178" xr:uid="{00000000-0005-0000-0000-0000B2000000}"/>
    <cellStyle name="Standaard 4_B2009_doorvervoer ELEK_MATRIX_versie DEF" xfId="179" xr:uid="{00000000-0005-0000-0000-0000B3000000}"/>
    <cellStyle name="Standaard 5" xfId="180" xr:uid="{00000000-0005-0000-0000-0000B4000000}"/>
    <cellStyle name="Standaard 6" xfId="181" xr:uid="{00000000-0005-0000-0000-0000B5000000}"/>
    <cellStyle name="Standaard 7" xfId="182" xr:uid="{00000000-0005-0000-0000-0000B6000000}"/>
    <cellStyle name="Standaard 7 2" xfId="183" xr:uid="{00000000-0005-0000-0000-0000B7000000}"/>
    <cellStyle name="Standaard 8" xfId="184" xr:uid="{00000000-0005-0000-0000-0000B8000000}"/>
    <cellStyle name="Standaard_20100727 Rekenmodel NE5R v1.9" xfId="185" xr:uid="{00000000-0005-0000-0000-0000B9000000}"/>
    <cellStyle name="Standaard_Balans IL-Glob. PLAU" xfId="186" xr:uid="{00000000-0005-0000-0000-0000BA000000}"/>
    <cellStyle name="Standaard_Balans IL-Glob. PLAU 2" xfId="187" xr:uid="{00000000-0005-0000-0000-0000BB000000}"/>
    <cellStyle name="Stijl 1" xfId="188" xr:uid="{00000000-0005-0000-0000-0000BC000000}"/>
    <cellStyle name="Style 1" xfId="189" xr:uid="{00000000-0005-0000-0000-0000BD000000}"/>
    <cellStyle name="Title" xfId="190" xr:uid="{00000000-0005-0000-0000-0000BE000000}"/>
    <cellStyle name="Total" xfId="191" xr:uid="{00000000-0005-0000-0000-0000BF000000}"/>
    <cellStyle name="Valuta" xfId="194" builtinId="4"/>
    <cellStyle name="Valuta 2" xfId="192" xr:uid="{00000000-0005-0000-0000-0000C0000000}"/>
    <cellStyle name="Warning Text" xfId="193" xr:uid="{00000000-0005-0000-0000-0000C1000000}"/>
  </cellStyles>
  <dxfs count="7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19050</xdr:colOff>
      <xdr:row>37</xdr:row>
      <xdr:rowOff>6350</xdr:rowOff>
    </xdr:from>
    <xdr:to>
      <xdr:col>16</xdr:col>
      <xdr:colOff>119063</xdr:colOff>
      <xdr:row>47</xdr:row>
      <xdr:rowOff>38100</xdr:rowOff>
    </xdr:to>
    <xdr:sp macro="" textlink="">
      <xdr:nvSpPr>
        <xdr:cNvPr id="47254" name="AutoShape 2">
          <a:extLst>
            <a:ext uri="{FF2B5EF4-FFF2-40B4-BE49-F238E27FC236}">
              <a16:creationId xmlns:a16="http://schemas.microsoft.com/office/drawing/2014/main" id="{29286435-CF18-413D-B605-60ECEF42A1D4}"/>
            </a:ext>
          </a:extLst>
        </xdr:cNvPr>
        <xdr:cNvSpPr>
          <a:spLocks/>
        </xdr:cNvSpPr>
      </xdr:nvSpPr>
      <xdr:spPr bwMode="auto">
        <a:xfrm>
          <a:off x="17604581" y="6792913"/>
          <a:ext cx="100013" cy="1698625"/>
        </a:xfrm>
        <a:prstGeom prst="rightBrace">
          <a:avLst>
            <a:gd name="adj1" fmla="val 18566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xdr:colOff>
      <xdr:row>72</xdr:row>
      <xdr:rowOff>6350</xdr:rowOff>
    </xdr:from>
    <xdr:to>
      <xdr:col>16</xdr:col>
      <xdr:colOff>130968</xdr:colOff>
      <xdr:row>82</xdr:row>
      <xdr:rowOff>38100</xdr:rowOff>
    </xdr:to>
    <xdr:sp macro="" textlink="">
      <xdr:nvSpPr>
        <xdr:cNvPr id="48278" name="AutoShape 2">
          <a:extLst>
            <a:ext uri="{FF2B5EF4-FFF2-40B4-BE49-F238E27FC236}">
              <a16:creationId xmlns:a16="http://schemas.microsoft.com/office/drawing/2014/main" id="{262EECD2-220A-4FE4-B017-619C16A3C7C0}"/>
            </a:ext>
          </a:extLst>
        </xdr:cNvPr>
        <xdr:cNvSpPr>
          <a:spLocks/>
        </xdr:cNvSpPr>
      </xdr:nvSpPr>
      <xdr:spPr bwMode="auto">
        <a:xfrm>
          <a:off x="18378488" y="22187694"/>
          <a:ext cx="111918" cy="1698625"/>
        </a:xfrm>
        <a:prstGeom prst="rightBrace">
          <a:avLst>
            <a:gd name="adj1" fmla="val 19098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99</xdr:row>
      <xdr:rowOff>6350</xdr:rowOff>
    </xdr:from>
    <xdr:to>
      <xdr:col>14</xdr:col>
      <xdr:colOff>130968</xdr:colOff>
      <xdr:row>107</xdr:row>
      <xdr:rowOff>38100</xdr:rowOff>
    </xdr:to>
    <xdr:sp macro="" textlink="">
      <xdr:nvSpPr>
        <xdr:cNvPr id="39288" name="AutoShape 2">
          <a:extLst>
            <a:ext uri="{FF2B5EF4-FFF2-40B4-BE49-F238E27FC236}">
              <a16:creationId xmlns:a16="http://schemas.microsoft.com/office/drawing/2014/main" id="{6493A4A7-2CF1-4C69-90B0-C290086BEC5A}"/>
            </a:ext>
          </a:extLst>
        </xdr:cNvPr>
        <xdr:cNvSpPr>
          <a:spLocks/>
        </xdr:cNvSpPr>
      </xdr:nvSpPr>
      <xdr:spPr bwMode="auto">
        <a:xfrm>
          <a:off x="17235488" y="32022256"/>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33</xdr:row>
      <xdr:rowOff>6350</xdr:rowOff>
    </xdr:from>
    <xdr:to>
      <xdr:col>14</xdr:col>
      <xdr:colOff>130968</xdr:colOff>
      <xdr:row>41</xdr:row>
      <xdr:rowOff>38100</xdr:rowOff>
    </xdr:to>
    <xdr:sp macro="" textlink="">
      <xdr:nvSpPr>
        <xdr:cNvPr id="42340" name="AutoShape 2">
          <a:extLst>
            <a:ext uri="{FF2B5EF4-FFF2-40B4-BE49-F238E27FC236}">
              <a16:creationId xmlns:a16="http://schemas.microsoft.com/office/drawing/2014/main" id="{611A36E6-7A7A-4918-9601-5B46D5C48ECF}"/>
            </a:ext>
          </a:extLst>
        </xdr:cNvPr>
        <xdr:cNvSpPr>
          <a:spLocks/>
        </xdr:cNvSpPr>
      </xdr:nvSpPr>
      <xdr:spPr bwMode="auto">
        <a:xfrm>
          <a:off x="20283488" y="5983288"/>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29</xdr:row>
      <xdr:rowOff>0</xdr:rowOff>
    </xdr:from>
    <xdr:to>
      <xdr:col>10</xdr:col>
      <xdr:colOff>130968</xdr:colOff>
      <xdr:row>33</xdr:row>
      <xdr:rowOff>38100</xdr:rowOff>
    </xdr:to>
    <xdr:sp macro="" textlink="">
      <xdr:nvSpPr>
        <xdr:cNvPr id="2" name="AutoShape 2">
          <a:extLst>
            <a:ext uri="{FF2B5EF4-FFF2-40B4-BE49-F238E27FC236}">
              <a16:creationId xmlns:a16="http://schemas.microsoft.com/office/drawing/2014/main" id="{65D00904-DBC9-4330-81C7-AADEC92BCC31}"/>
            </a:ext>
          </a:extLst>
        </xdr:cNvPr>
        <xdr:cNvSpPr>
          <a:spLocks/>
        </xdr:cNvSpPr>
      </xdr:nvSpPr>
      <xdr:spPr bwMode="auto">
        <a:xfrm>
          <a:off x="20783550" y="5867400"/>
          <a:ext cx="111918" cy="1323975"/>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enters\OP\OP_EV\CREG\Dossier%202007\Nacalculatie\Nacalc20080215\Documents%20and%20Settings\htulpinck\Local%20Settings\Temporary%20Internet%20Files\OLK39B\Tariefvoorstel%20aansluitingen%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Centers/OP/OP_EV/CREG/Dossier%202007/Nacalculatie/Nacalc20080215/Documents%20and%20Settings/htulpinck/Local%20Settings/Temporary%20Internet%20Files/OLK39B/Tariefvoorstel%20aansluitingen%20200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Q66"/>
  <sheetViews>
    <sheetView showGridLines="0" topLeftCell="A4" zoomScaleNormal="100" workbookViewId="0">
      <selection activeCell="C10" sqref="C10:F10"/>
    </sheetView>
  </sheetViews>
  <sheetFormatPr defaultColWidth="8.85546875" defaultRowHeight="12.75" x14ac:dyDescent="0.2"/>
  <cols>
    <col min="1" max="1" width="10.7109375" style="3" bestFit="1" customWidth="1"/>
    <col min="2" max="2" width="36.28515625" style="3" customWidth="1"/>
    <col min="3" max="3" width="11.5703125" style="3" customWidth="1"/>
    <col min="4" max="4" width="14" style="3" customWidth="1"/>
    <col min="5" max="6" width="8.85546875" style="3"/>
    <col min="7" max="7" width="10.7109375" style="3" bestFit="1" customWidth="1"/>
    <col min="8" max="14" width="8.85546875" style="3"/>
    <col min="15" max="15" width="10.140625" style="3" bestFit="1" customWidth="1"/>
    <col min="16" max="17" width="10.140625" style="3" customWidth="1"/>
    <col min="18" max="16384" width="8.85546875" style="3"/>
  </cols>
  <sheetData>
    <row r="1" spans="1:17" x14ac:dyDescent="0.2">
      <c r="B1" s="4"/>
      <c r="C1" s="5"/>
      <c r="O1" s="125"/>
    </row>
    <row r="2" spans="1:17" ht="26.25" x14ac:dyDescent="0.4">
      <c r="A2" s="1001" t="s">
        <v>322</v>
      </c>
      <c r="B2" s="1001"/>
      <c r="C2" s="1001"/>
      <c r="D2" s="1001"/>
      <c r="E2" s="1001"/>
      <c r="F2" s="1001"/>
      <c r="G2" s="1001"/>
      <c r="H2" s="1001"/>
      <c r="I2" s="1001"/>
      <c r="J2" s="1001"/>
      <c r="K2" s="1001"/>
      <c r="L2" s="1001"/>
      <c r="M2" s="1001"/>
      <c r="N2" s="1001"/>
      <c r="O2" s="1001"/>
      <c r="P2" s="1001"/>
      <c r="Q2" s="1001"/>
    </row>
    <row r="3" spans="1:17" x14ac:dyDescent="0.2">
      <c r="B3" s="4"/>
      <c r="C3" s="5"/>
    </row>
    <row r="4" spans="1:17" x14ac:dyDescent="0.2">
      <c r="B4" s="4"/>
      <c r="C4" s="5"/>
    </row>
    <row r="5" spans="1:17" x14ac:dyDescent="0.2">
      <c r="B5" s="4"/>
      <c r="C5" s="6"/>
    </row>
    <row r="6" spans="1:17" ht="13.5" thickBot="1" x14ac:dyDescent="0.25">
      <c r="B6" s="4"/>
      <c r="C6" s="5"/>
    </row>
    <row r="7" spans="1:17" ht="13.5" thickBot="1" x14ac:dyDescent="0.25">
      <c r="B7" s="4" t="s">
        <v>10</v>
      </c>
      <c r="C7" s="1005" t="s">
        <v>422</v>
      </c>
      <c r="D7" s="1006"/>
      <c r="E7" s="1006"/>
      <c r="F7" s="1007"/>
    </row>
    <row r="8" spans="1:17" ht="13.5" thickBot="1" x14ac:dyDescent="0.25">
      <c r="B8" s="4" t="s">
        <v>11</v>
      </c>
      <c r="C8" s="1005"/>
      <c r="D8" s="1006"/>
      <c r="E8" s="1006"/>
      <c r="F8" s="1007"/>
    </row>
    <row r="9" spans="1:17" s="7" customFormat="1" ht="13.5" thickBot="1" x14ac:dyDescent="0.25">
      <c r="B9" s="8"/>
      <c r="C9" s="9"/>
      <c r="D9" s="9"/>
      <c r="E9" s="9"/>
      <c r="F9" s="9"/>
    </row>
    <row r="10" spans="1:17" ht="13.5" thickBot="1" x14ac:dyDescent="0.25">
      <c r="B10" s="4" t="s">
        <v>143</v>
      </c>
      <c r="C10" s="1008" t="s">
        <v>470</v>
      </c>
      <c r="D10" s="1009"/>
      <c r="E10" s="1009"/>
      <c r="F10" s="1010"/>
    </row>
    <row r="11" spans="1:17" x14ac:dyDescent="0.2">
      <c r="B11" s="4"/>
      <c r="C11" s="5"/>
    </row>
    <row r="12" spans="1:17" ht="13.5" thickBot="1" x14ac:dyDescent="0.25">
      <c r="B12" s="4"/>
      <c r="C12" s="5"/>
    </row>
    <row r="13" spans="1:17" ht="13.5" thickBot="1" x14ac:dyDescent="0.25">
      <c r="B13" s="10" t="s">
        <v>12</v>
      </c>
      <c r="C13" s="4"/>
      <c r="D13" s="10" t="s">
        <v>13</v>
      </c>
      <c r="E13" s="158">
        <v>2021</v>
      </c>
    </row>
    <row r="14" spans="1:17" ht="13.5" thickBot="1" x14ac:dyDescent="0.25">
      <c r="B14" s="10"/>
      <c r="C14" s="4"/>
      <c r="D14" s="10" t="s">
        <v>14</v>
      </c>
      <c r="E14" s="158">
        <v>2024</v>
      </c>
    </row>
    <row r="15" spans="1:17" ht="13.5" thickBot="1" x14ac:dyDescent="0.25">
      <c r="B15" s="11"/>
      <c r="C15" s="5"/>
    </row>
    <row r="16" spans="1:17" s="12" customFormat="1" ht="13.5" thickBot="1" x14ac:dyDescent="0.25">
      <c r="B16" s="10" t="s">
        <v>87</v>
      </c>
      <c r="E16" s="793">
        <v>2022</v>
      </c>
      <c r="F16" s="794" t="s">
        <v>464</v>
      </c>
      <c r="G16" s="13"/>
      <c r="H16" s="13"/>
      <c r="I16" s="13"/>
      <c r="J16" s="13"/>
      <c r="K16" s="13"/>
      <c r="L16" s="13"/>
      <c r="M16" s="13"/>
      <c r="N16" s="13"/>
      <c r="O16" s="13"/>
      <c r="P16" s="13"/>
    </row>
    <row r="17" spans="1:12" x14ac:dyDescent="0.2">
      <c r="B17" s="14"/>
      <c r="C17" s="15"/>
    </row>
    <row r="19" spans="1:12" s="7" customFormat="1" x14ac:dyDescent="0.2">
      <c r="A19" s="1002" t="s">
        <v>317</v>
      </c>
      <c r="B19" s="1003"/>
      <c r="C19" s="1003"/>
      <c r="D19" s="1003"/>
      <c r="E19" s="1003"/>
      <c r="F19" s="1003"/>
      <c r="G19" s="1003"/>
      <c r="H19" s="1003"/>
      <c r="I19" s="1004"/>
    </row>
    <row r="20" spans="1:12" ht="14.25" x14ac:dyDescent="0.2">
      <c r="A20" s="16"/>
    </row>
    <row r="21" spans="1:12" s="789" customFormat="1" ht="152.44999999999999" customHeight="1" x14ac:dyDescent="0.2">
      <c r="A21" s="1011" t="s">
        <v>370</v>
      </c>
      <c r="B21" s="1012"/>
      <c r="C21" s="1012"/>
      <c r="D21" s="1012"/>
      <c r="E21" s="1012"/>
      <c r="F21" s="1012"/>
      <c r="G21" s="1012"/>
      <c r="H21" s="1012"/>
      <c r="I21" s="1012"/>
    </row>
    <row r="22" spans="1:12" s="18" customFormat="1" x14ac:dyDescent="0.2"/>
    <row r="23" spans="1:12" s="7" customFormat="1" x14ac:dyDescent="0.2">
      <c r="A23" s="1002" t="s">
        <v>381</v>
      </c>
      <c r="B23" s="1003"/>
      <c r="C23" s="1003"/>
      <c r="D23" s="1003"/>
      <c r="E23" s="1003"/>
      <c r="F23" s="1003"/>
      <c r="G23" s="1003"/>
      <c r="H23" s="1003"/>
      <c r="I23" s="1004"/>
    </row>
    <row r="24" spans="1:12" s="17" customFormat="1" x14ac:dyDescent="0.2">
      <c r="A24" s="19"/>
      <c r="B24" s="19"/>
      <c r="C24" s="3"/>
      <c r="D24" s="3"/>
      <c r="E24" s="3"/>
      <c r="F24" s="3"/>
      <c r="G24" s="3"/>
      <c r="H24" s="3"/>
      <c r="I24" s="3"/>
      <c r="J24" s="3"/>
      <c r="K24" s="3"/>
      <c r="L24" s="3"/>
    </row>
    <row r="25" spans="1:12" x14ac:dyDescent="0.2">
      <c r="A25" s="19"/>
      <c r="B25" s="20"/>
      <c r="C25" s="21"/>
      <c r="D25" s="22" t="s">
        <v>61</v>
      </c>
      <c r="E25" s="21"/>
      <c r="F25" s="21"/>
      <c r="G25" s="21"/>
      <c r="H25" s="21"/>
      <c r="I25" s="21"/>
      <c r="J25" s="21"/>
    </row>
    <row r="26" spans="1:12" x14ac:dyDescent="0.2">
      <c r="A26" s="19"/>
      <c r="B26" s="23"/>
      <c r="C26" s="21"/>
      <c r="D26" s="22"/>
      <c r="E26" s="21"/>
      <c r="F26" s="21"/>
      <c r="G26" s="21"/>
      <c r="H26" s="21"/>
      <c r="I26" s="21"/>
      <c r="J26" s="21"/>
    </row>
    <row r="27" spans="1:12" ht="15" customHeight="1" x14ac:dyDescent="0.2">
      <c r="A27" s="19"/>
      <c r="B27" s="24"/>
      <c r="C27" s="25"/>
      <c r="D27" s="22" t="s">
        <v>36</v>
      </c>
      <c r="E27" s="26"/>
      <c r="F27" s="26"/>
      <c r="G27" s="26"/>
      <c r="H27" s="21"/>
      <c r="I27" s="21"/>
      <c r="J27" s="21"/>
    </row>
    <row r="28" spans="1:12" x14ac:dyDescent="0.2">
      <c r="A28" s="19"/>
      <c r="B28" s="27"/>
      <c r="C28" s="21"/>
      <c r="D28" s="22"/>
      <c r="E28" s="21"/>
      <c r="F28" s="21"/>
      <c r="G28" s="21"/>
      <c r="H28" s="21"/>
      <c r="I28" s="21"/>
      <c r="J28" s="21"/>
    </row>
    <row r="29" spans="1:12" x14ac:dyDescent="0.2">
      <c r="A29" s="19"/>
      <c r="B29" s="28"/>
      <c r="C29" s="21"/>
      <c r="D29" s="22" t="s">
        <v>62</v>
      </c>
      <c r="E29" s="21"/>
      <c r="F29" s="21"/>
      <c r="G29" s="21"/>
      <c r="H29" s="21"/>
      <c r="I29" s="21"/>
      <c r="J29" s="21"/>
    </row>
    <row r="30" spans="1:12" x14ac:dyDescent="0.2">
      <c r="A30" s="19"/>
      <c r="B30" s="29"/>
      <c r="C30" s="21"/>
      <c r="D30" s="22"/>
      <c r="E30" s="21"/>
      <c r="F30" s="21"/>
      <c r="G30" s="21"/>
      <c r="H30" s="21"/>
      <c r="I30" s="21"/>
      <c r="J30" s="21"/>
    </row>
    <row r="31" spans="1:12" ht="12.75" customHeight="1" x14ac:dyDescent="0.2">
      <c r="A31" s="19"/>
      <c r="B31" s="30"/>
      <c r="C31" s="21"/>
      <c r="D31" s="790" t="s">
        <v>371</v>
      </c>
      <c r="E31" s="31"/>
      <c r="F31" s="31"/>
      <c r="G31" s="31"/>
      <c r="H31" s="31"/>
      <c r="I31" s="31"/>
      <c r="J31" s="31"/>
      <c r="K31" s="32"/>
    </row>
    <row r="32" spans="1:12" x14ac:dyDescent="0.2">
      <c r="A32" s="19"/>
      <c r="B32" s="19"/>
      <c r="D32" s="33"/>
    </row>
    <row r="33" spans="1:9" s="7" customFormat="1" ht="13.5" thickBot="1" x14ac:dyDescent="0.25">
      <c r="A33" s="1002" t="s">
        <v>382</v>
      </c>
      <c r="B33" s="1003"/>
      <c r="C33" s="1003"/>
      <c r="D33" s="1003"/>
      <c r="E33" s="1003"/>
      <c r="F33" s="1003"/>
      <c r="G33" s="1003"/>
      <c r="H33" s="1003"/>
      <c r="I33" s="1004"/>
    </row>
    <row r="34" spans="1:9" s="7" customFormat="1" x14ac:dyDescent="0.2">
      <c r="A34" s="194"/>
    </row>
    <row r="35" spans="1:9" s="7" customFormat="1" x14ac:dyDescent="0.2">
      <c r="A35" s="656" t="s">
        <v>319</v>
      </c>
    </row>
    <row r="36" spans="1:9" s="7" customFormat="1" ht="6.95" customHeight="1" x14ac:dyDescent="0.2">
      <c r="A36" s="656"/>
    </row>
    <row r="37" spans="1:9" s="7" customFormat="1" x14ac:dyDescent="0.2">
      <c r="A37" s="657" t="str">
        <f>+'T1'!B1</f>
        <v>TABEL 1: Resultatenrekening (algemene boekhouding) voor boekjaar 2022 (waarden boekhouding)</v>
      </c>
      <c r="B37" s="657"/>
      <c r="C37" s="659"/>
      <c r="D37" s="659"/>
      <c r="E37" s="659"/>
    </row>
    <row r="38" spans="1:9" s="7" customFormat="1" x14ac:dyDescent="0.2">
      <c r="A38" s="657" t="str">
        <f>+'T2 - Overzicht'!A1</f>
        <v>TABEL 2: Algemeen overzicht exogene kosten</v>
      </c>
      <c r="B38" s="657"/>
      <c r="C38" s="791"/>
      <c r="D38" s="791"/>
      <c r="E38" s="791"/>
      <c r="F38" s="792"/>
      <c r="G38" s="1"/>
    </row>
    <row r="39" spans="1:9" s="7" customFormat="1" x14ac:dyDescent="0.2">
      <c r="A39" s="657" t="str">
        <f>+'T3'!A1</f>
        <v>TABEL 3: Detail inzake samenstelling exogene kosten</v>
      </c>
      <c r="B39" s="657"/>
      <c r="C39" s="791"/>
      <c r="D39" s="660"/>
      <c r="E39" s="660"/>
    </row>
    <row r="40" spans="1:9" x14ac:dyDescent="0.2">
      <c r="A40" s="657" t="str">
        <f>+T4A!A1</f>
        <v>TABEL 4A: Opvolging regulatoir saldo inzake exogene kosten</v>
      </c>
      <c r="B40" s="657"/>
      <c r="C40" s="657"/>
      <c r="D40" s="657"/>
      <c r="E40" s="658"/>
    </row>
    <row r="41" spans="1:9" x14ac:dyDescent="0.2">
      <c r="A41" s="657" t="str">
        <f>+T4B!A1</f>
        <v>TABEL 4B: Overzicht regulatoir saldo inzake exogene kosten per tariefcomponent</v>
      </c>
      <c r="B41" s="657"/>
      <c r="C41" s="657"/>
      <c r="D41" s="657"/>
      <c r="E41" s="657"/>
    </row>
    <row r="42" spans="1:9" x14ac:dyDescent="0.2">
      <c r="A42" s="657" t="str">
        <f>+T5A!A1</f>
        <v>TABEL 5A: Opvolging regulatoir saldo inzake volumerisico endogeen budget</v>
      </c>
      <c r="B42" s="657"/>
      <c r="C42" s="657"/>
      <c r="D42" s="657"/>
      <c r="E42" s="658"/>
    </row>
    <row r="43" spans="1:9" x14ac:dyDescent="0.2">
      <c r="A43" s="657" t="str">
        <f>+T5B!A1</f>
        <v>TABEL 5B: Overzicht regulatoir saldo inzake volumerisico endogeen budget per tariefcomponent</v>
      </c>
      <c r="B43" s="657"/>
      <c r="C43" s="657"/>
      <c r="D43" s="657"/>
      <c r="E43" s="657"/>
    </row>
    <row r="44" spans="1:9" x14ac:dyDescent="0.2">
      <c r="A44" s="657" t="str">
        <f>+T5C!A1</f>
        <v>TABEL 5C: Werkelijke opbrengsten uit periodieke distributienettarieven in boekjaar 2022 (elektriciteit - afname)</v>
      </c>
      <c r="B44" s="657"/>
      <c r="C44" s="657"/>
      <c r="D44" s="657"/>
      <c r="E44" s="657"/>
      <c r="F44" s="655"/>
    </row>
    <row r="45" spans="1:9" x14ac:dyDescent="0.2">
      <c r="A45" s="657" t="str">
        <f>+T5D!A1</f>
        <v>TABEL 5D: Werkelijke opbrengsten uit periodieke distributienettarieven in boekjaar 2022 (elektriciteit-injectie)</v>
      </c>
      <c r="B45" s="657"/>
      <c r="C45" s="657"/>
      <c r="D45" s="657"/>
      <c r="E45" s="657"/>
      <c r="F45" s="655"/>
    </row>
    <row r="46" spans="1:9" x14ac:dyDescent="0.2">
      <c r="A46" s="657" t="str">
        <f>+T5E!A1</f>
        <v>TABEL 5E: Werkelijke opbrengsten uit periodieke distributienettarieven in boekjaar 2022 (gas - afname)</v>
      </c>
      <c r="B46" s="657"/>
      <c r="C46" s="657"/>
      <c r="D46" s="657"/>
      <c r="E46" s="657"/>
      <c r="F46" s="655"/>
    </row>
    <row r="47" spans="1:9" x14ac:dyDescent="0.2">
      <c r="A47" s="657" t="str">
        <f>+T5F!A1</f>
        <v>TABEL 5F: Werkelijke opbrengsten uit periodieke distributienettarieven in boekjaar 2022 (gas - injectie)</v>
      </c>
      <c r="B47" s="657"/>
      <c r="C47" s="657"/>
      <c r="D47" s="657"/>
      <c r="E47" s="657"/>
      <c r="F47" s="655"/>
    </row>
    <row r="48" spans="1:9" x14ac:dyDescent="0.2">
      <c r="A48" s="657" t="str">
        <f>+T6A!A1</f>
        <v>TABEL 6A: Opvolging regulatoir saldo inzake herindexering van het budget voor endogene kosten</v>
      </c>
      <c r="B48" s="657"/>
      <c r="C48" s="657"/>
      <c r="D48" s="657"/>
      <c r="E48" s="657"/>
    </row>
    <row r="49" spans="1:7" x14ac:dyDescent="0.2">
      <c r="A49" s="657" t="str">
        <f>+T6B!A1</f>
        <v>TABEL 6B: Overzicht regulatoir saldo inzake herindexering van het budget voor endogene kosten per tariefcomponent</v>
      </c>
      <c r="B49" s="657"/>
      <c r="C49" s="657"/>
      <c r="D49" s="657"/>
      <c r="E49" s="657"/>
      <c r="F49" s="655"/>
      <c r="G49" s="655"/>
    </row>
    <row r="50" spans="1:7" x14ac:dyDescent="0.2">
      <c r="A50" s="657" t="str">
        <f>+'T7'!A1:L1</f>
        <v>TABEL 7: Opvolging regulatoir saldo inzake vennootschapsbelasting</v>
      </c>
      <c r="B50" s="657"/>
      <c r="C50" s="657"/>
      <c r="D50" s="658"/>
      <c r="E50" s="658"/>
    </row>
    <row r="51" spans="1:7" x14ac:dyDescent="0.2">
      <c r="A51" s="657" t="str">
        <f>+'T8'!A1:H1</f>
        <v>TABEL 8: Opvolging regulatoir saldo inzake herwaarderingsmeerwaarden</v>
      </c>
      <c r="B51" s="657"/>
      <c r="C51" s="657"/>
      <c r="D51" s="658"/>
      <c r="E51" s="658"/>
    </row>
    <row r="52" spans="1:7" x14ac:dyDescent="0.2">
      <c r="A52" s="658"/>
      <c r="B52" s="658"/>
      <c r="C52" s="658"/>
      <c r="D52" s="658"/>
      <c r="E52" s="658"/>
    </row>
    <row r="53" spans="1:7" s="7" customFormat="1" x14ac:dyDescent="0.2">
      <c r="A53" s="656" t="s">
        <v>320</v>
      </c>
    </row>
    <row r="54" spans="1:7" s="7" customFormat="1" ht="6.95" customHeight="1" x14ac:dyDescent="0.2">
      <c r="A54" s="656"/>
    </row>
    <row r="55" spans="1:7" x14ac:dyDescent="0.2">
      <c r="A55" s="657" t="str">
        <f>+'T9 - Overzicht'!A1:L1</f>
        <v>TABEL 9: Algemeen overzicht aanvullende endogene termen</v>
      </c>
      <c r="B55" s="655"/>
      <c r="C55" s="655"/>
      <c r="D55" s="658"/>
      <c r="E55" s="658"/>
    </row>
    <row r="56" spans="1:7" x14ac:dyDescent="0.2">
      <c r="A56" s="657" t="str">
        <f>+'T10'!A1:K1</f>
        <v>TABEL 10: Fiscaal niet-aftrekbare afschrijvingen op herwaarderingsmeerwaarden</v>
      </c>
      <c r="B56" s="657"/>
      <c r="C56" s="657"/>
      <c r="D56" s="657"/>
      <c r="E56" s="658"/>
    </row>
    <row r="57" spans="1:7" x14ac:dyDescent="0.2">
      <c r="A57" s="657" t="str">
        <f>+'T11'!A1:D1</f>
        <v>TABEL 11: Fiscaal niet-aftrekbare heffing volgens het Decreet houdende het Grootschalig Referentiebestand</v>
      </c>
      <c r="B57" s="655"/>
      <c r="C57" s="655"/>
      <c r="D57" s="655"/>
      <c r="E57" s="655"/>
      <c r="F57" s="655"/>
    </row>
    <row r="58" spans="1:7" x14ac:dyDescent="0.2">
      <c r="A58" s="657" t="str">
        <f>+'T12'!A1:L1</f>
        <v>TABEL 12: Notionele intrestaftrek</v>
      </c>
      <c r="B58" s="657"/>
      <c r="C58" s="658"/>
      <c r="D58" s="658"/>
      <c r="E58" s="658"/>
    </row>
    <row r="59" spans="1:7" x14ac:dyDescent="0.2">
      <c r="A59" s="657" t="str">
        <f>+T13A!A1</f>
        <v>TABEL 13A: Afschrijvingen van de meerwaarde op basis van de historische indexatie (materiële vaste activa) - elektriciteit</v>
      </c>
      <c r="B59" s="657"/>
      <c r="C59" s="657"/>
      <c r="D59" s="657"/>
      <c r="E59" s="657"/>
      <c r="F59" s="655"/>
      <c r="G59" s="655"/>
    </row>
    <row r="60" spans="1:7" x14ac:dyDescent="0.2">
      <c r="A60" s="657" t="str">
        <f>+T13B!A1</f>
        <v>TABEL 13B: Afschrijvingen van de meerwaarde op basis van de iRAB (materiële vaste activa) - elektriciteit</v>
      </c>
      <c r="B60" s="657"/>
      <c r="C60" s="657"/>
      <c r="D60" s="657"/>
      <c r="E60" s="657"/>
      <c r="F60" s="655"/>
    </row>
    <row r="61" spans="1:7" x14ac:dyDescent="0.2">
      <c r="A61" s="657" t="str">
        <f>+T13C!A1</f>
        <v>TABEL 13C: Afschrijvingen van de meerwaarde op basis van de historische indexatie (materiële vaste activa) - gas</v>
      </c>
      <c r="B61" s="657"/>
      <c r="C61" s="657"/>
      <c r="D61" s="657"/>
      <c r="E61" s="657"/>
      <c r="F61" s="655"/>
      <c r="G61" s="655"/>
    </row>
    <row r="62" spans="1:7" x14ac:dyDescent="0.2">
      <c r="A62" s="657" t="str">
        <f>+T13D!A1</f>
        <v>TABEL 13D: Afschrijvingen van de meerwaarde op basis van de iRAB (materiële vaste activa) - gas</v>
      </c>
      <c r="B62" s="657"/>
      <c r="C62" s="657"/>
      <c r="D62" s="657"/>
      <c r="E62" s="657"/>
      <c r="F62" s="655"/>
    </row>
    <row r="63" spans="1:7" x14ac:dyDescent="0.2">
      <c r="A63" s="657" t="str">
        <f>+'T14'!A1:G1</f>
        <v>TABEL 14: Kapitaalkostvergoeding herwaarderingsmeerwaarden</v>
      </c>
      <c r="B63" s="657"/>
      <c r="C63" s="657"/>
      <c r="D63" s="658"/>
      <c r="E63" s="658"/>
    </row>
    <row r="64" spans="1:7" x14ac:dyDescent="0.2">
      <c r="A64" s="658"/>
      <c r="B64" s="658"/>
      <c r="C64" s="658"/>
      <c r="D64" s="658"/>
      <c r="E64" s="658"/>
    </row>
    <row r="65" spans="1:5" x14ac:dyDescent="0.2">
      <c r="A65" s="658"/>
      <c r="B65" s="658"/>
      <c r="C65" s="658"/>
      <c r="D65" s="658"/>
      <c r="E65" s="658"/>
    </row>
    <row r="66" spans="1:5" x14ac:dyDescent="0.2">
      <c r="A66" s="658"/>
      <c r="B66" s="658"/>
      <c r="C66" s="658"/>
      <c r="D66" s="658"/>
      <c r="E66" s="658"/>
    </row>
  </sheetData>
  <sheetProtection algorithmName="SHA-512" hashValue="jHgf7l5snFaC5QFHoPErQd8UBpJ2Vz/Vw4ORzK8wZrJ/PCqqFLhOiA0ZKGi0M+2v2iyqCg2lawiNDQuMN/BWvw==" saltValue="EwB59p0SOjIyUIiqXrghqQ==" spinCount="100000" sheet="1" objects="1" scenarios="1"/>
  <customSheetViews>
    <customSheetView guid="{C8C7977F-B6BF-432B-A1A7-559450D521AF}" showGridLines="0" topLeftCell="A20">
      <selection activeCell="E53" sqref="E53"/>
      <colBreaks count="1" manualBreakCount="1">
        <brk id="17" max="1048575" man="1"/>
      </colBreaks>
      <pageMargins left="0.98425196850393704" right="0.23622047244094491" top="0.82677165354330717" bottom="0.70866141732283472" header="0.74803149606299213" footer="0.47244094488188981"/>
      <pageSetup paperSize="8" scale="90" orientation="landscape" r:id="rId1"/>
      <headerFooter alignWithMargins="0">
        <oddFooter>&amp;C&amp;P/&amp;N</oddFooter>
      </headerFooter>
    </customSheetView>
  </customSheetViews>
  <mergeCells count="8">
    <mergeCell ref="A2:Q2"/>
    <mergeCell ref="A33:I33"/>
    <mergeCell ref="A19:I19"/>
    <mergeCell ref="C7:F7"/>
    <mergeCell ref="C8:F8"/>
    <mergeCell ref="C10:F10"/>
    <mergeCell ref="A23:I23"/>
    <mergeCell ref="A21:I21"/>
  </mergeCells>
  <dataValidations count="3">
    <dataValidation type="list" allowBlank="1" showInputMessage="1" showErrorMessage="1" sqref="C10" xr:uid="{00000000-0002-0000-0000-000000000000}">
      <formula1>"elektriciteit,gas"</formula1>
    </dataValidation>
    <dataValidation type="list" allowBlank="1" showInputMessage="1" showErrorMessage="1" sqref="F16" xr:uid="{00000000-0002-0000-0000-000001000000}">
      <formula1>"ex-ante,ex-post"</formula1>
    </dataValidation>
    <dataValidation type="list" allowBlank="1" showInputMessage="1" showErrorMessage="1" sqref="E16" xr:uid="{00000000-0002-0000-0000-000002000000}">
      <formula1>"2022,2023,2024"</formula1>
    </dataValidation>
  </dataValidations>
  <hyperlinks>
    <hyperlink ref="A37:E37" location="'T1'!A1" display="'T1'!A1" xr:uid="{CFD9507C-C1D3-48BB-9F0C-9BA1EEBD928C}"/>
    <hyperlink ref="A38:B38" location="'T2 - Overzicht'!A1" display="'T2 - Overzicht'!A1" xr:uid="{827D5F22-584C-43A9-9317-9AA70562685C}"/>
    <hyperlink ref="A39:B39" location="'T3'!A1" display="'T3'!A1" xr:uid="{4F8627D4-03F2-47B8-B80A-34EF83D9D6D0}"/>
    <hyperlink ref="A40:D40" location="T4A!A1" display="T4A!A1" xr:uid="{CC59734A-1FC0-4CCC-8B7D-4550974F8A84}"/>
    <hyperlink ref="A41:E41" location="T4B!A1" display="T4B!A1" xr:uid="{4F09AEC1-D318-4655-BF3D-9DC2312FBE05}"/>
    <hyperlink ref="A42:D42" location="T5A!A1" display="T5A!A1" xr:uid="{7CD12772-5130-4DCD-9E63-ECA3135C64B1}"/>
    <hyperlink ref="A43:E43" location="T5B!A1" display="T5B!A1" xr:uid="{9EEF4A80-B791-4BE0-BC95-385845028C46}"/>
    <hyperlink ref="A44:F44" location="T5C!A1" display="T5C!A1" xr:uid="{001DBD05-15C0-4ECD-B08E-488AEAF597C6}"/>
    <hyperlink ref="A45:F45" location="T5D!A1" display="T5D!A1" xr:uid="{0478B678-1CE9-4E51-9FE6-8B4C78817A20}"/>
    <hyperlink ref="A46:F46" location="T5E!A1" display="T5E!A1" xr:uid="{4859F98A-B9A9-4575-9ECF-FD869FE12C42}"/>
    <hyperlink ref="A47:F47" location="T5F!A1" display="T5F!A1" xr:uid="{057E6744-359A-48BF-BCE3-C3CD2387EEFB}"/>
    <hyperlink ref="A48:E48" location="T6A!A1" display="T6A!A1" xr:uid="{813F6AB1-5224-4D8D-B4F5-BD3D3D64B37B}"/>
    <hyperlink ref="A49:G49" location="T6B!A1" display="T6B!A1" xr:uid="{C955F57B-621D-4E51-A7C2-7FE4A45BCD29}"/>
    <hyperlink ref="A50:C50" location="'T7'!A1" display="'T7'!A1" xr:uid="{6D2CD0C1-43C2-41AE-8C73-05DD0D401966}"/>
    <hyperlink ref="A51:C51" location="'T8'!A1" display="'T8'!A1" xr:uid="{D11E9D25-AEFE-4B64-B391-FD0A9FF3535D}"/>
    <hyperlink ref="A56:D56" location="'T11'!A1" display="'T11'!A1" xr:uid="{D95468AE-8022-4E73-9FC9-172ABCA69142}"/>
    <hyperlink ref="A58:B58" location="'T12'!A1" display="'T12'!A1" xr:uid="{335F438E-29B2-455B-9D6D-C7AFDC0F1FE5}"/>
    <hyperlink ref="A59:G59" location="T13A!A1" display="T13A!A1" xr:uid="{72D6B2A5-6C19-48B4-AE80-849947BCF852}"/>
    <hyperlink ref="A60:F60" location="T13B!A1" display="T13B!A1" xr:uid="{492209BF-8E89-4355-9225-33FD2D77C871}"/>
    <hyperlink ref="A61:G61" location="T13C!A1" display="T13C!A1" xr:uid="{8355A8F5-5CD8-4000-86EF-3389ECC8CFA3}"/>
    <hyperlink ref="A62:F62" location="T13D!A1" display="T13D!A1" xr:uid="{9FE1AB3A-9435-4B75-BD5B-706A28C88930}"/>
    <hyperlink ref="A63:C63" location="'T14'!A1" display="'T14'!A1" xr:uid="{BFCD7A01-7051-4AA2-A2F4-C6A43072A89B}"/>
    <hyperlink ref="A55:C55" location="'T9 - Overzicht'!A1" display="'T9 - Overzicht'!A1" xr:uid="{6245355F-D4D4-4DF7-8D77-F3DD890372C8}"/>
    <hyperlink ref="A56" location="'T10'!A1" display="'T10'!A1" xr:uid="{E314017E-DACB-4305-9E38-E3EC3A455FD9}"/>
    <hyperlink ref="A57:F57" location="'T11'!A1" display="'T11'!A1" xr:uid="{DD11B68F-D1D6-4F6F-B910-C89689AFF84D}"/>
  </hyperlinks>
  <pageMargins left="0.98425196850393704" right="0.23622047244094491" top="0.82677165354330717" bottom="0.70866141732283472" header="0.74803149606299213" footer="0.47244094488188981"/>
  <pageSetup paperSize="8" scale="61" orientation="portrait" r:id="rId2"/>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Blad13">
    <pageSetUpPr fitToPage="1"/>
  </sheetPr>
  <dimension ref="A1:BC46"/>
  <sheetViews>
    <sheetView showGridLines="0" zoomScale="90" zoomScaleNormal="90" workbookViewId="0">
      <selection activeCell="D31" sqref="D31"/>
    </sheetView>
  </sheetViews>
  <sheetFormatPr defaultColWidth="8.85546875" defaultRowHeight="12.75" x14ac:dyDescent="0.2"/>
  <cols>
    <col min="1" max="1" width="2.85546875" style="355" customWidth="1"/>
    <col min="2" max="2" width="7.140625" style="355" customWidth="1"/>
    <col min="3" max="3" width="32.85546875" style="355" customWidth="1"/>
    <col min="4" max="4" width="48.28515625" style="356" customWidth="1"/>
    <col min="5" max="5" width="20.42578125" style="355" customWidth="1"/>
    <col min="6" max="11" width="20.7109375" style="355" customWidth="1"/>
    <col min="12" max="12" width="17.5703125" style="355" customWidth="1"/>
    <col min="13" max="13" width="2.28515625" style="355" customWidth="1"/>
    <col min="14" max="14" width="25.7109375" style="355" customWidth="1"/>
    <col min="15" max="15" width="2.28515625" style="355" customWidth="1"/>
    <col min="16" max="16" width="25.7109375" style="355" customWidth="1"/>
    <col min="17" max="20" width="10.7109375" style="355" customWidth="1"/>
    <col min="21" max="21" width="10.140625" style="355" customWidth="1"/>
    <col min="22" max="16384" width="8.85546875" style="355"/>
  </cols>
  <sheetData>
    <row r="1" spans="1:55" s="349" customFormat="1" ht="18.75" thickBot="1" x14ac:dyDescent="0.25">
      <c r="A1" s="1074" t="str">
        <f>"TABEL 5C: Werkelijke opbrengsten uit periodieke distributienettarieven in boekjaar "&amp;TITELBLAD!E16&amp;" (elektriciteit - afname)"</f>
        <v>TABEL 5C: Werkelijke opbrengsten uit periodieke distributienettarieven in boekjaar 2022 (elektriciteit - afname)</v>
      </c>
      <c r="B1" s="1075"/>
      <c r="C1" s="1075"/>
      <c r="D1" s="1075"/>
      <c r="E1" s="1075"/>
      <c r="F1" s="1075"/>
      <c r="G1" s="1075"/>
      <c r="H1" s="1075"/>
      <c r="I1" s="1075"/>
      <c r="J1" s="1075"/>
      <c r="K1" s="1075"/>
      <c r="L1" s="1075"/>
      <c r="M1" s="1075"/>
      <c r="N1" s="1075"/>
      <c r="O1" s="1075"/>
      <c r="P1" s="1076"/>
      <c r="Q1" s="478"/>
      <c r="R1" s="350" t="str">
        <f>+TITELBLAD!C10</f>
        <v>gas</v>
      </c>
      <c r="S1" s="350"/>
      <c r="T1" s="350"/>
      <c r="U1" s="350"/>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478"/>
      <c r="AV1" s="478"/>
      <c r="AW1" s="478"/>
      <c r="AX1" s="478"/>
      <c r="AY1" s="478"/>
      <c r="AZ1" s="478"/>
      <c r="BA1" s="478"/>
      <c r="BB1" s="478"/>
      <c r="BC1" s="478"/>
    </row>
    <row r="2" spans="1:55" s="351" customFormat="1" ht="11.25" x14ac:dyDescent="0.2">
      <c r="A2" s="226"/>
      <c r="B2" s="226"/>
      <c r="C2" s="226"/>
      <c r="D2" s="226"/>
      <c r="E2" s="477"/>
      <c r="F2" s="477"/>
      <c r="Q2" s="477"/>
      <c r="R2" s="352" t="str">
        <f>+TITELBLAD!B16</f>
        <v>Rapportering over boekjaar:</v>
      </c>
      <c r="S2" s="352"/>
      <c r="T2" s="352">
        <f>+TITELBLAD!E16</f>
        <v>2022</v>
      </c>
      <c r="U2" s="352" t="str">
        <f>+TITELBLAD!F16</f>
        <v>ex-ante</v>
      </c>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row>
    <row r="3" spans="1:55" s="166" customFormat="1" x14ac:dyDescent="0.2">
      <c r="A3" s="291"/>
      <c r="B3" s="291"/>
      <c r="C3" s="291"/>
      <c r="D3" s="291"/>
      <c r="E3" s="291"/>
      <c r="F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row>
    <row r="4" spans="1:55" s="166" customFormat="1" x14ac:dyDescent="0.2">
      <c r="B4" s="353" t="s">
        <v>99</v>
      </c>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row>
    <row r="5" spans="1:55" s="166" customFormat="1" x14ac:dyDescent="0.2">
      <c r="B5" s="1154" t="s">
        <v>214</v>
      </c>
      <c r="C5" s="1154"/>
      <c r="D5" s="1154"/>
      <c r="E5" s="1154"/>
      <c r="F5" s="1154"/>
      <c r="G5" s="788"/>
      <c r="H5" s="788"/>
      <c r="I5" s="788"/>
      <c r="J5" s="788"/>
      <c r="K5" s="788"/>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row>
    <row r="6" spans="1:55" s="166" customFormat="1" x14ac:dyDescent="0.2">
      <c r="B6" s="1154"/>
      <c r="C6" s="1154"/>
      <c r="D6" s="1154"/>
      <c r="E6" s="1154"/>
      <c r="F6" s="1154"/>
      <c r="G6" s="788"/>
      <c r="H6" s="788"/>
      <c r="I6" s="788"/>
      <c r="J6" s="788"/>
      <c r="K6" s="788"/>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row>
    <row r="7" spans="1:55" s="166" customFormat="1" x14ac:dyDescent="0.2">
      <c r="B7" s="1154"/>
      <c r="C7" s="1154"/>
      <c r="D7" s="1154"/>
      <c r="E7" s="1154"/>
      <c r="F7" s="1154"/>
      <c r="G7" s="788"/>
      <c r="H7" s="788"/>
      <c r="I7" s="788"/>
      <c r="J7" s="788"/>
      <c r="K7" s="788"/>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row>
    <row r="8" spans="1:55" s="166" customFormat="1" x14ac:dyDescent="0.2">
      <c r="B8" s="1154"/>
      <c r="C8" s="1154"/>
      <c r="D8" s="1154"/>
      <c r="E8" s="1154"/>
      <c r="F8" s="1154"/>
      <c r="G8" s="788"/>
      <c r="H8" s="788"/>
      <c r="I8" s="788"/>
      <c r="J8" s="788"/>
      <c r="K8" s="788"/>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row>
    <row r="9" spans="1:55" s="166" customFormat="1" x14ac:dyDescent="0.2">
      <c r="B9" s="1154"/>
      <c r="C9" s="1154"/>
      <c r="D9" s="1154"/>
      <c r="E9" s="1154"/>
      <c r="F9" s="1154"/>
      <c r="G9" s="788"/>
      <c r="H9" s="788"/>
      <c r="I9" s="788"/>
      <c r="J9" s="788"/>
      <c r="K9" s="788"/>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row>
    <row r="10" spans="1:55" s="166" customFormat="1" x14ac:dyDescent="0.2">
      <c r="B10" s="1154"/>
      <c r="C10" s="1154"/>
      <c r="D10" s="1154"/>
      <c r="E10" s="1154"/>
      <c r="F10" s="1154"/>
      <c r="G10" s="788"/>
      <c r="H10" s="788"/>
      <c r="I10" s="788"/>
      <c r="J10" s="788"/>
      <c r="K10" s="788"/>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row>
    <row r="11" spans="1:55" s="166" customFormat="1" x14ac:dyDescent="0.2">
      <c r="B11" s="1154"/>
      <c r="C11" s="1154"/>
      <c r="D11" s="1154"/>
      <c r="E11" s="1154"/>
      <c r="F11" s="1154"/>
      <c r="G11" s="788"/>
      <c r="H11" s="788"/>
      <c r="I11" s="788"/>
      <c r="J11" s="788"/>
      <c r="K11" s="788"/>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row>
    <row r="12" spans="1:55" s="166" customFormat="1" x14ac:dyDescent="0.2">
      <c r="B12" s="1154"/>
      <c r="C12" s="1154"/>
      <c r="D12" s="1154"/>
      <c r="E12" s="1154"/>
      <c r="F12" s="1154"/>
      <c r="G12" s="788"/>
      <c r="H12" s="788"/>
      <c r="I12" s="788"/>
      <c r="J12" s="788"/>
      <c r="K12" s="788"/>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row>
    <row r="13" spans="1:55" s="166" customFormat="1" x14ac:dyDescent="0.2">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row>
    <row r="14" spans="1:55" ht="13.5" thickBot="1" x14ac:dyDescent="0.25">
      <c r="A14" s="354"/>
      <c r="Q14" s="479"/>
      <c r="R14" s="479"/>
      <c r="S14" s="479"/>
      <c r="T14" s="477"/>
      <c r="U14" s="477"/>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row>
    <row r="15" spans="1:55" s="361" customFormat="1" ht="75.75" customHeight="1" thickBot="1" x14ac:dyDescent="0.25">
      <c r="A15" s="357"/>
      <c r="B15" s="358"/>
      <c r="C15" s="358"/>
      <c r="D15" s="359"/>
      <c r="E15" s="94"/>
      <c r="F15" s="1155" t="str">
        <f>"Werkelijke opbrengsten uit periodieke distributienettarieven in boekjaar "&amp;TITELBLAD!E16&amp;" (elektriciteit- afname)"</f>
        <v>Werkelijke opbrengsten uit periodieke distributienettarieven in boekjaar 2022 (elektriciteit- afname)</v>
      </c>
      <c r="G15" s="1156"/>
      <c r="H15" s="1156"/>
      <c r="I15" s="1156"/>
      <c r="J15" s="1156"/>
      <c r="K15" s="1157"/>
      <c r="L15" s="700" t="s">
        <v>94</v>
      </c>
      <c r="M15" s="360"/>
      <c r="N15" s="124" t="str">
        <f>"Werkelijke opbrengsten m.b.t. endogene kosten in boekjaar "&amp;TITELBLAD!E16&amp;" (elektriciteit-afname)"</f>
        <v>Werkelijke opbrengsten m.b.t. endogene kosten in boekjaar 2022 (elektriciteit-afname)</v>
      </c>
      <c r="O15" s="360"/>
      <c r="P15" s="124" t="str">
        <f>"Werkelijke opbrengsten m.b.t. exogene kosten in boekjaar "&amp;TITELBLAD!E16&amp;" (elektriciteit-afname)"</f>
        <v>Werkelijke opbrengsten m.b.t. exogene kosten in boekjaar 2022 (elektriciteit-afname)</v>
      </c>
      <c r="Q15" s="480"/>
      <c r="R15" s="480"/>
      <c r="S15" s="480"/>
      <c r="T15" s="480"/>
      <c r="U15" s="481"/>
      <c r="V15" s="481"/>
      <c r="W15" s="481"/>
      <c r="X15" s="481"/>
      <c r="Y15" s="481"/>
      <c r="Z15" s="481"/>
      <c r="AA15" s="481"/>
      <c r="AB15" s="481"/>
      <c r="AC15" s="481"/>
      <c r="AD15" s="481"/>
      <c r="AE15" s="481"/>
      <c r="AF15" s="481"/>
      <c r="AG15" s="481"/>
      <c r="AH15" s="481"/>
      <c r="AI15" s="481"/>
      <c r="AJ15" s="481"/>
      <c r="AK15" s="481"/>
      <c r="AL15" s="481"/>
      <c r="AM15" s="481"/>
      <c r="AN15" s="481"/>
      <c r="AO15" s="481"/>
      <c r="AP15" s="481"/>
      <c r="AQ15" s="481"/>
      <c r="AR15" s="481"/>
      <c r="AS15" s="481"/>
      <c r="AT15" s="481"/>
      <c r="AU15" s="481"/>
      <c r="AV15" s="481"/>
      <c r="AW15" s="481"/>
      <c r="AX15" s="481"/>
      <c r="AY15" s="481"/>
      <c r="AZ15" s="481"/>
      <c r="BA15" s="481"/>
      <c r="BB15" s="481"/>
      <c r="BC15" s="481"/>
    </row>
    <row r="16" spans="1:55" s="344" customFormat="1" ht="27" customHeight="1" thickBot="1" x14ac:dyDescent="0.25">
      <c r="A16" s="341"/>
      <c r="B16" s="342"/>
      <c r="C16" s="342"/>
      <c r="D16" s="343"/>
      <c r="F16" s="345" t="s">
        <v>208</v>
      </c>
      <c r="G16" s="346" t="s">
        <v>209</v>
      </c>
      <c r="H16" s="346" t="s">
        <v>210</v>
      </c>
      <c r="I16" s="346" t="s">
        <v>211</v>
      </c>
      <c r="J16" s="346" t="s">
        <v>212</v>
      </c>
      <c r="K16" s="347" t="s">
        <v>20</v>
      </c>
      <c r="L16" s="701"/>
      <c r="N16" s="682" t="s">
        <v>372</v>
      </c>
      <c r="P16" s="682" t="s">
        <v>373</v>
      </c>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c r="BB16" s="482"/>
      <c r="BC16" s="482"/>
    </row>
    <row r="17" spans="1:16" s="96" customFormat="1" ht="16.5" customHeight="1" x14ac:dyDescent="0.2">
      <c r="A17" s="362" t="s">
        <v>70</v>
      </c>
      <c r="B17" s="363" t="s">
        <v>360</v>
      </c>
      <c r="C17" s="363"/>
      <c r="D17" s="364"/>
      <c r="F17" s="822">
        <v>0</v>
      </c>
      <c r="G17" s="823">
        <v>0</v>
      </c>
      <c r="H17" s="823">
        <v>0</v>
      </c>
      <c r="I17" s="823">
        <v>0</v>
      </c>
      <c r="J17" s="823">
        <v>0</v>
      </c>
      <c r="K17" s="348">
        <f>SUM(F17:J17)</f>
        <v>0</v>
      </c>
      <c r="L17" s="824">
        <v>0</v>
      </c>
      <c r="M17" s="665"/>
      <c r="N17" s="142">
        <f>K17*L17</f>
        <v>0</v>
      </c>
      <c r="O17" s="665"/>
      <c r="P17" s="142">
        <f>K17-N17</f>
        <v>0</v>
      </c>
    </row>
    <row r="18" spans="1:16" s="377" customFormat="1" ht="16.5" customHeight="1" x14ac:dyDescent="0.2">
      <c r="A18" s="372"/>
      <c r="B18" s="373"/>
      <c r="C18" s="374"/>
      <c r="D18" s="367"/>
      <c r="E18" s="375"/>
      <c r="F18" s="368"/>
      <c r="G18" s="369"/>
      <c r="H18" s="369"/>
      <c r="I18" s="369"/>
      <c r="J18" s="369"/>
      <c r="K18" s="370"/>
      <c r="L18" s="702"/>
      <c r="M18" s="376"/>
      <c r="N18" s="371"/>
      <c r="O18" s="376"/>
      <c r="P18" s="371"/>
    </row>
    <row r="19" spans="1:16" s="377" customFormat="1" ht="16.5" customHeight="1" x14ac:dyDescent="0.2">
      <c r="A19" s="372"/>
      <c r="B19" s="373"/>
      <c r="C19" s="374"/>
      <c r="D19" s="378"/>
      <c r="E19" s="375"/>
      <c r="F19" s="379"/>
      <c r="G19" s="380"/>
      <c r="H19" s="380"/>
      <c r="I19" s="380"/>
      <c r="J19" s="380"/>
      <c r="K19" s="381"/>
      <c r="L19" s="703"/>
      <c r="M19" s="376"/>
      <c r="N19" s="382"/>
      <c r="O19" s="376"/>
      <c r="P19" s="382"/>
    </row>
    <row r="20" spans="1:16" s="96" customFormat="1" ht="16.5" customHeight="1" x14ac:dyDescent="0.2">
      <c r="A20" s="362" t="s">
        <v>71</v>
      </c>
      <c r="B20" s="363" t="s">
        <v>74</v>
      </c>
      <c r="C20" s="363"/>
      <c r="D20" s="364"/>
      <c r="F20" s="822">
        <v>0</v>
      </c>
      <c r="G20" s="823">
        <v>0</v>
      </c>
      <c r="H20" s="823">
        <v>0</v>
      </c>
      <c r="I20" s="823">
        <v>0</v>
      </c>
      <c r="J20" s="823">
        <v>0</v>
      </c>
      <c r="K20" s="348">
        <f>SUM(F20:J20)</f>
        <v>0</v>
      </c>
      <c r="L20" s="824">
        <v>0</v>
      </c>
      <c r="M20" s="665"/>
      <c r="N20" s="142">
        <f>K20*L20</f>
        <v>0</v>
      </c>
      <c r="O20" s="665"/>
      <c r="P20" s="142">
        <f>K20-N20</f>
        <v>0</v>
      </c>
    </row>
    <row r="21" spans="1:16" s="377" customFormat="1" ht="16.5" customHeight="1" x14ac:dyDescent="0.2">
      <c r="A21" s="372"/>
      <c r="B21" s="373"/>
      <c r="C21" s="374"/>
      <c r="D21" s="367"/>
      <c r="E21" s="375"/>
      <c r="F21" s="368"/>
      <c r="G21" s="369"/>
      <c r="H21" s="369"/>
      <c r="I21" s="369"/>
      <c r="J21" s="369"/>
      <c r="K21" s="370"/>
      <c r="L21" s="702"/>
      <c r="M21" s="376"/>
      <c r="N21" s="371"/>
      <c r="O21" s="376"/>
      <c r="P21" s="371"/>
    </row>
    <row r="22" spans="1:16" s="377" customFormat="1" ht="16.5" customHeight="1" x14ac:dyDescent="0.2">
      <c r="A22" s="372"/>
      <c r="B22" s="373"/>
      <c r="C22" s="374"/>
      <c r="D22" s="378"/>
      <c r="E22" s="375"/>
      <c r="F22" s="379"/>
      <c r="G22" s="380"/>
      <c r="H22" s="380"/>
      <c r="I22" s="380"/>
      <c r="J22" s="380"/>
      <c r="K22" s="381"/>
      <c r="L22" s="703"/>
      <c r="M22" s="376"/>
      <c r="N22" s="382"/>
      <c r="O22" s="376"/>
      <c r="P22" s="382"/>
    </row>
    <row r="23" spans="1:16" s="96" customFormat="1" ht="16.5" customHeight="1" x14ac:dyDescent="0.2">
      <c r="A23" s="362" t="s">
        <v>73</v>
      </c>
      <c r="B23" s="363" t="s">
        <v>213</v>
      </c>
      <c r="C23" s="363"/>
      <c r="D23" s="364"/>
      <c r="F23" s="822">
        <v>0</v>
      </c>
      <c r="G23" s="823">
        <v>0</v>
      </c>
      <c r="H23" s="823">
        <v>0</v>
      </c>
      <c r="I23" s="823">
        <v>0</v>
      </c>
      <c r="J23" s="823">
        <v>0</v>
      </c>
      <c r="K23" s="348">
        <f>SUM(F23:J23)</f>
        <v>0</v>
      </c>
      <c r="L23" s="824">
        <v>0</v>
      </c>
      <c r="M23" s="665"/>
      <c r="N23" s="142">
        <f>K23*L23</f>
        <v>0</v>
      </c>
      <c r="O23" s="665"/>
      <c r="P23" s="142">
        <f>K23-N23</f>
        <v>0</v>
      </c>
    </row>
    <row r="24" spans="1:16" s="377" customFormat="1" ht="16.5" customHeight="1" x14ac:dyDescent="0.2">
      <c r="A24" s="372"/>
      <c r="B24" s="373"/>
      <c r="C24" s="374"/>
      <c r="D24" s="367"/>
      <c r="E24" s="375"/>
      <c r="F24" s="368"/>
      <c r="G24" s="369"/>
      <c r="H24" s="369"/>
      <c r="I24" s="369"/>
      <c r="J24" s="369"/>
      <c r="K24" s="370"/>
      <c r="L24" s="702"/>
      <c r="M24" s="376"/>
      <c r="N24" s="371"/>
      <c r="O24" s="376"/>
      <c r="P24" s="371"/>
    </row>
    <row r="25" spans="1:16" s="377" customFormat="1" ht="16.5" customHeight="1" x14ac:dyDescent="0.2">
      <c r="A25" s="372"/>
      <c r="B25" s="373"/>
      <c r="C25" s="374"/>
      <c r="D25" s="378"/>
      <c r="E25" s="375"/>
      <c r="F25" s="379"/>
      <c r="G25" s="380"/>
      <c r="H25" s="380"/>
      <c r="I25" s="380"/>
      <c r="J25" s="380"/>
      <c r="K25" s="381"/>
      <c r="L25" s="703"/>
      <c r="M25" s="376"/>
      <c r="N25" s="382"/>
      <c r="O25" s="376"/>
      <c r="P25" s="382"/>
    </row>
    <row r="26" spans="1:16" s="96" customFormat="1" ht="16.5" customHeight="1" x14ac:dyDescent="0.2">
      <c r="A26" s="362" t="s">
        <v>75</v>
      </c>
      <c r="B26" s="363" t="s">
        <v>72</v>
      </c>
      <c r="C26" s="363"/>
      <c r="D26" s="383"/>
      <c r="F26" s="822">
        <v>0</v>
      </c>
      <c r="G26" s="823">
        <v>0</v>
      </c>
      <c r="H26" s="823">
        <v>0</v>
      </c>
      <c r="I26" s="823">
        <v>0</v>
      </c>
      <c r="J26" s="823">
        <v>0</v>
      </c>
      <c r="K26" s="348">
        <f>SUM(F26:J26)</f>
        <v>0</v>
      </c>
      <c r="L26" s="824">
        <v>0</v>
      </c>
      <c r="M26" s="365"/>
      <c r="N26" s="142">
        <f>K26*L26</f>
        <v>0</v>
      </c>
      <c r="O26" s="365"/>
      <c r="P26" s="142">
        <f>K26-N26</f>
        <v>0</v>
      </c>
    </row>
    <row r="27" spans="1:16" s="96" customFormat="1" ht="16.5" customHeight="1" x14ac:dyDescent="0.2">
      <c r="A27" s="366"/>
      <c r="B27" s="363"/>
      <c r="C27" s="1160"/>
      <c r="D27" s="1161"/>
      <c r="E27" s="384"/>
      <c r="F27" s="338"/>
      <c r="G27" s="339"/>
      <c r="H27" s="339"/>
      <c r="I27" s="339"/>
      <c r="J27" s="339"/>
      <c r="K27" s="348"/>
      <c r="L27" s="704"/>
      <c r="M27" s="365"/>
      <c r="N27" s="143"/>
      <c r="O27" s="365"/>
      <c r="P27" s="143"/>
    </row>
    <row r="28" spans="1:16" s="96" customFormat="1" ht="16.5" customHeight="1" x14ac:dyDescent="0.2">
      <c r="A28" s="366"/>
      <c r="B28" s="363"/>
      <c r="C28" s="1160"/>
      <c r="D28" s="1161"/>
      <c r="E28" s="384"/>
      <c r="F28" s="368"/>
      <c r="G28" s="369"/>
      <c r="H28" s="369"/>
      <c r="I28" s="369"/>
      <c r="J28" s="369"/>
      <c r="K28" s="370"/>
      <c r="L28" s="702"/>
      <c r="M28" s="365"/>
      <c r="N28" s="371"/>
      <c r="O28" s="365"/>
      <c r="P28" s="371"/>
    </row>
    <row r="29" spans="1:16" s="96" customFormat="1" ht="16.5" customHeight="1" x14ac:dyDescent="0.2">
      <c r="A29" s="362" t="s">
        <v>77</v>
      </c>
      <c r="B29" s="363" t="s">
        <v>361</v>
      </c>
      <c r="C29" s="363"/>
      <c r="D29" s="364"/>
      <c r="F29" s="822">
        <v>0</v>
      </c>
      <c r="G29" s="823">
        <v>0</v>
      </c>
      <c r="H29" s="823">
        <v>0</v>
      </c>
      <c r="I29" s="823">
        <v>0</v>
      </c>
      <c r="J29" s="823">
        <v>0</v>
      </c>
      <c r="K29" s="348">
        <f>SUM(F29:J29)</f>
        <v>0</v>
      </c>
      <c r="L29" s="824">
        <v>0</v>
      </c>
      <c r="M29" s="665"/>
      <c r="N29" s="142">
        <f>K29*L29</f>
        <v>0</v>
      </c>
      <c r="O29" s="665"/>
      <c r="P29" s="142">
        <f>K29-N29</f>
        <v>0</v>
      </c>
    </row>
    <row r="30" spans="1:16" s="377" customFormat="1" ht="16.5" customHeight="1" x14ac:dyDescent="0.2">
      <c r="A30" s="372"/>
      <c r="B30" s="373"/>
      <c r="C30" s="374"/>
      <c r="D30" s="367"/>
      <c r="E30" s="375"/>
      <c r="F30" s="368"/>
      <c r="G30" s="369"/>
      <c r="H30" s="369"/>
      <c r="I30" s="369"/>
      <c r="J30" s="369"/>
      <c r="K30" s="370"/>
      <c r="L30" s="702"/>
      <c r="M30" s="376"/>
      <c r="N30" s="371"/>
      <c r="O30" s="376"/>
      <c r="P30" s="371"/>
    </row>
    <row r="31" spans="1:16" s="377" customFormat="1" ht="16.5" customHeight="1" x14ac:dyDescent="0.2">
      <c r="A31" s="372"/>
      <c r="B31" s="373"/>
      <c r="C31" s="374"/>
      <c r="D31" s="378"/>
      <c r="E31" s="375"/>
      <c r="F31" s="379"/>
      <c r="G31" s="380"/>
      <c r="H31" s="380"/>
      <c r="I31" s="380"/>
      <c r="J31" s="380"/>
      <c r="K31" s="381"/>
      <c r="L31" s="703"/>
      <c r="M31" s="376"/>
      <c r="N31" s="382"/>
      <c r="O31" s="376"/>
      <c r="P31" s="382"/>
    </row>
    <row r="32" spans="1:16" s="96" customFormat="1" ht="16.5" customHeight="1" x14ac:dyDescent="0.2">
      <c r="A32" s="362" t="s">
        <v>138</v>
      </c>
      <c r="B32" s="363" t="s">
        <v>362</v>
      </c>
      <c r="C32" s="363"/>
      <c r="D32" s="385"/>
      <c r="F32" s="822">
        <v>0</v>
      </c>
      <c r="G32" s="823">
        <v>0</v>
      </c>
      <c r="H32" s="823">
        <v>0</v>
      </c>
      <c r="I32" s="823">
        <v>0</v>
      </c>
      <c r="J32" s="823">
        <v>0</v>
      </c>
      <c r="K32" s="348">
        <f>SUM(F32:J32)</f>
        <v>0</v>
      </c>
      <c r="L32" s="824">
        <v>0</v>
      </c>
      <c r="M32" s="365"/>
      <c r="N32" s="142">
        <f>K32*L32</f>
        <v>0</v>
      </c>
      <c r="O32" s="365"/>
      <c r="P32" s="142">
        <f>K32-N32</f>
        <v>0</v>
      </c>
    </row>
    <row r="33" spans="1:20" s="96" customFormat="1" ht="16.5" customHeight="1" x14ac:dyDescent="0.2">
      <c r="A33" s="387"/>
      <c r="B33" s="97"/>
      <c r="C33" s="1162"/>
      <c r="D33" s="1163"/>
      <c r="F33" s="338"/>
      <c r="G33" s="339"/>
      <c r="H33" s="339"/>
      <c r="I33" s="339"/>
      <c r="J33" s="339"/>
      <c r="K33" s="348"/>
      <c r="L33" s="704"/>
      <c r="M33" s="365"/>
      <c r="N33" s="143"/>
      <c r="O33" s="365"/>
      <c r="P33" s="143"/>
    </row>
    <row r="34" spans="1:20" s="391" customFormat="1" x14ac:dyDescent="0.2">
      <c r="A34" s="388"/>
      <c r="B34" s="389"/>
      <c r="C34" s="139"/>
      <c r="D34" s="390"/>
      <c r="F34" s="392"/>
      <c r="G34" s="393"/>
      <c r="H34" s="393"/>
      <c r="I34" s="393"/>
      <c r="J34" s="393"/>
      <c r="K34" s="394"/>
      <c r="L34" s="705"/>
      <c r="N34" s="395"/>
      <c r="P34" s="395"/>
    </row>
    <row r="35" spans="1:20" s="391" customFormat="1" ht="17.25" customHeight="1" x14ac:dyDescent="0.2">
      <c r="A35" s="186" t="s">
        <v>363</v>
      </c>
      <c r="B35" s="1158" t="s">
        <v>82</v>
      </c>
      <c r="C35" s="1158"/>
      <c r="D35" s="1159"/>
      <c r="F35" s="396"/>
      <c r="G35" s="397"/>
      <c r="H35" s="397"/>
      <c r="I35" s="397"/>
      <c r="J35" s="397"/>
      <c r="K35" s="386"/>
      <c r="L35" s="706"/>
      <c r="N35" s="398"/>
      <c r="P35" s="398"/>
    </row>
    <row r="36" spans="1:20" s="391" customFormat="1" x14ac:dyDescent="0.2">
      <c r="A36" s="388"/>
      <c r="B36" s="389"/>
      <c r="C36" s="139"/>
      <c r="D36" s="390"/>
      <c r="F36" s="392"/>
      <c r="G36" s="393"/>
      <c r="H36" s="393"/>
      <c r="I36" s="393"/>
      <c r="J36" s="393"/>
      <c r="K36" s="394"/>
      <c r="L36" s="705"/>
      <c r="N36" s="395"/>
      <c r="P36" s="395"/>
    </row>
    <row r="37" spans="1:20" s="391" customFormat="1" ht="13.5" thickBot="1" x14ac:dyDescent="0.25">
      <c r="A37" s="388"/>
      <c r="B37" s="389"/>
      <c r="C37" s="139"/>
      <c r="D37" s="390"/>
      <c r="F37" s="392"/>
      <c r="G37" s="393"/>
      <c r="H37" s="393"/>
      <c r="I37" s="393"/>
      <c r="J37" s="393"/>
      <c r="K37" s="394"/>
      <c r="L37" s="707"/>
      <c r="N37" s="395"/>
      <c r="P37" s="395"/>
    </row>
    <row r="38" spans="1:20" s="340" customFormat="1" ht="16.5" customHeight="1" thickBot="1" x14ac:dyDescent="0.25">
      <c r="A38" s="399"/>
      <c r="B38" s="400" t="s">
        <v>364</v>
      </c>
      <c r="C38" s="401"/>
      <c r="D38" s="402"/>
      <c r="F38" s="403">
        <f>+SUM(F17,F20,F23,F26,F29,F32)</f>
        <v>0</v>
      </c>
      <c r="G38" s="404">
        <f t="shared" ref="G38:J38" si="0">+SUM(G17,G20,G23,G26,G29,G32)</f>
        <v>0</v>
      </c>
      <c r="H38" s="404">
        <f t="shared" si="0"/>
        <v>0</v>
      </c>
      <c r="I38" s="404">
        <f t="shared" si="0"/>
        <v>0</v>
      </c>
      <c r="J38" s="404">
        <f t="shared" si="0"/>
        <v>0</v>
      </c>
      <c r="K38" s="405">
        <f>+SUM(K17,K20,K23,K26,K29,K32)</f>
        <v>0</v>
      </c>
      <c r="L38" s="708"/>
      <c r="M38" s="406"/>
      <c r="N38" s="407">
        <f>+SUM(N17,N20,N23,N26,N29,N32)</f>
        <v>0</v>
      </c>
      <c r="O38" s="406"/>
      <c r="P38" s="407">
        <f>+SUM(P17,P20,P23,P26,P29,P32)</f>
        <v>0</v>
      </c>
    </row>
    <row r="39" spans="1:20" s="408" customFormat="1" ht="13.5" customHeight="1" x14ac:dyDescent="0.2">
      <c r="D39" s="409"/>
      <c r="F39" s="410"/>
      <c r="G39" s="410"/>
      <c r="H39" s="410"/>
      <c r="I39" s="410"/>
      <c r="J39" s="410"/>
      <c r="K39" s="410"/>
      <c r="L39" s="410"/>
      <c r="N39" s="410"/>
      <c r="T39" s="95"/>
    </row>
    <row r="40" spans="1:20" s="408" customFormat="1" ht="13.5" customHeight="1" x14ac:dyDescent="0.2">
      <c r="B40" s="411"/>
      <c r="D40" s="409"/>
      <c r="F40" s="412"/>
      <c r="G40" s="412"/>
      <c r="H40" s="412"/>
      <c r="I40" s="412"/>
      <c r="J40" s="412"/>
      <c r="K40" s="412"/>
      <c r="L40" s="412"/>
      <c r="N40" s="412"/>
    </row>
    <row r="41" spans="1:20" s="408" customFormat="1" ht="13.5" customHeight="1" x14ac:dyDescent="0.2">
      <c r="D41" s="409"/>
    </row>
    <row r="42" spans="1:20" ht="13.5" customHeight="1" x14ac:dyDescent="0.2"/>
    <row r="43" spans="1:20" ht="13.5" customHeight="1" x14ac:dyDescent="0.2"/>
    <row r="44" spans="1:20" ht="13.5" customHeight="1" x14ac:dyDescent="0.2"/>
    <row r="45" spans="1:20" ht="17.25" customHeight="1" x14ac:dyDescent="0.2"/>
    <row r="46" spans="1:20" ht="17.25" customHeight="1" x14ac:dyDescent="0.2"/>
  </sheetData>
  <sheetProtection algorithmName="SHA-512" hashValue="HZ69JlPXtJA58WR9M+9gcJNfVpunMgoOyRT+KZ3iRBOrwHWWU6Uxz7xP/MxG1gEtqlKjmP4Li3mv2PKty+ErMQ==" saltValue="byWoRwFvk1VWN3ZnNDe3kg==" spinCount="100000" sheet="1" objects="1" scenarios="1"/>
  <mergeCells count="7">
    <mergeCell ref="A1:P1"/>
    <mergeCell ref="B5:F12"/>
    <mergeCell ref="F15:K15"/>
    <mergeCell ref="B35:D35"/>
    <mergeCell ref="C27:D27"/>
    <mergeCell ref="C28:D28"/>
    <mergeCell ref="C33:D33"/>
  </mergeCells>
  <conditionalFormatting sqref="A1:XFD1048576">
    <cfRule type="expression" dxfId="32" priority="1">
      <formula>$U$2="ex-ante"</formula>
    </cfRule>
    <cfRule type="expression" dxfId="31" priority="2">
      <formula>$R$1="gas"</formula>
    </cfRule>
  </conditionalFormatting>
  <pageMargins left="0.55118110236220474" right="0.23622047244094491" top="0.43307086614173229" bottom="0.43307086614173229" header="0.27559055118110237" footer="0.27559055118110237"/>
  <pageSetup paperSize="8" scale="85" orientation="landscape" r:id="rId1"/>
  <headerFooter scaleWithDoc="0"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pageSetUpPr fitToPage="1"/>
  </sheetPr>
  <dimension ref="A1:BF36"/>
  <sheetViews>
    <sheetView zoomScale="80" zoomScaleNormal="80" workbookViewId="0">
      <selection activeCell="H38" sqref="H38"/>
    </sheetView>
  </sheetViews>
  <sheetFormatPr defaultColWidth="9.140625" defaultRowHeight="12.75" x14ac:dyDescent="0.2"/>
  <cols>
    <col min="1" max="1" width="7.28515625" style="419" customWidth="1"/>
    <col min="2" max="2" width="7" style="419" customWidth="1"/>
    <col min="3" max="3" width="30.5703125" style="419" customWidth="1"/>
    <col min="4" max="4" width="10.140625" style="455" customWidth="1"/>
    <col min="5" max="10" width="20.7109375" style="455" customWidth="1"/>
    <col min="11" max="11" width="20.28515625" style="455" customWidth="1"/>
    <col min="12" max="12" width="2" style="419" customWidth="1"/>
    <col min="13" max="13" width="25.7109375" style="455" customWidth="1"/>
    <col min="14" max="14" width="2" style="419" customWidth="1"/>
    <col min="15" max="15" width="25.7109375" style="419" customWidth="1"/>
    <col min="16" max="16384" width="9.140625" style="419"/>
  </cols>
  <sheetData>
    <row r="1" spans="1:58" s="413" customFormat="1" ht="18.75" thickBot="1" x14ac:dyDescent="0.25">
      <c r="A1" s="1074" t="str">
        <f>"TABEL 5D: Werkelijke opbrengsten uit periodieke distributienettarieven in boekjaar "&amp;TITELBLAD!E16&amp;" (elektriciteit-injectie)"</f>
        <v>TABEL 5D: Werkelijke opbrengsten uit periodieke distributienettarieven in boekjaar 2022 (elektriciteit-injectie)</v>
      </c>
      <c r="B1" s="1075"/>
      <c r="C1" s="1075"/>
      <c r="D1" s="1075"/>
      <c r="E1" s="1075"/>
      <c r="F1" s="1075"/>
      <c r="G1" s="1075"/>
      <c r="H1" s="1075"/>
      <c r="I1" s="1075"/>
      <c r="J1" s="1075"/>
      <c r="K1" s="1075"/>
      <c r="L1" s="1075"/>
      <c r="M1" s="1075"/>
      <c r="N1" s="1075"/>
      <c r="O1" s="1076"/>
      <c r="P1" s="483"/>
      <c r="Q1" s="483"/>
      <c r="R1" s="483"/>
      <c r="S1" s="483"/>
      <c r="T1" s="483"/>
      <c r="U1" s="483"/>
      <c r="V1" s="483"/>
      <c r="W1" s="483"/>
      <c r="X1" s="483"/>
    </row>
    <row r="2" spans="1:58" s="416" customFormat="1" ht="11.25" x14ac:dyDescent="0.2">
      <c r="A2" s="414"/>
      <c r="B2" s="414"/>
      <c r="C2" s="414"/>
      <c r="D2" s="415"/>
      <c r="E2" s="415"/>
      <c r="F2" s="415"/>
      <c r="G2" s="415"/>
      <c r="H2" s="415"/>
      <c r="I2" s="415"/>
      <c r="J2" s="415"/>
      <c r="K2" s="415"/>
      <c r="M2" s="415"/>
      <c r="P2" s="484"/>
      <c r="Q2" s="484"/>
      <c r="R2" s="484"/>
      <c r="S2" s="484"/>
      <c r="T2" s="484"/>
      <c r="U2" s="484"/>
      <c r="V2" s="484"/>
      <c r="W2" s="484"/>
      <c r="X2" s="484"/>
    </row>
    <row r="3" spans="1:58" s="166" customFormat="1" x14ac:dyDescent="0.2">
      <c r="P3" s="291"/>
      <c r="Q3" s="291"/>
      <c r="R3" s="291"/>
      <c r="S3" s="291"/>
      <c r="T3" s="291"/>
      <c r="U3" s="291"/>
      <c r="V3" s="291"/>
      <c r="W3" s="291"/>
      <c r="X3" s="291"/>
    </row>
    <row r="4" spans="1:58" s="166" customFormat="1" x14ac:dyDescent="0.2">
      <c r="B4" s="353" t="s">
        <v>99</v>
      </c>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row>
    <row r="5" spans="1:58" s="166" customFormat="1" ht="12.6" customHeight="1" x14ac:dyDescent="0.2">
      <c r="B5" s="1154" t="s">
        <v>215</v>
      </c>
      <c r="C5" s="1154"/>
      <c r="D5" s="1154"/>
      <c r="E5" s="1154"/>
      <c r="F5" s="1154"/>
      <c r="G5" s="1154"/>
      <c r="H5" s="456"/>
      <c r="I5" s="456"/>
      <c r="J5" s="456"/>
      <c r="K5" s="488"/>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row>
    <row r="6" spans="1:58" s="166" customFormat="1" ht="12.6" customHeight="1" x14ac:dyDescent="0.2">
      <c r="B6" s="1154"/>
      <c r="C6" s="1154"/>
      <c r="D6" s="1154"/>
      <c r="E6" s="1154"/>
      <c r="F6" s="1154"/>
      <c r="G6" s="1154"/>
      <c r="H6" s="456"/>
      <c r="I6" s="456"/>
      <c r="J6" s="456"/>
      <c r="K6" s="488"/>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row>
    <row r="7" spans="1:58" s="166" customFormat="1" ht="12.6" customHeight="1" x14ac:dyDescent="0.2">
      <c r="B7" s="1154"/>
      <c r="C7" s="1154"/>
      <c r="D7" s="1154"/>
      <c r="E7" s="1154"/>
      <c r="F7" s="1154"/>
      <c r="G7" s="1154"/>
      <c r="H7" s="456"/>
      <c r="I7" s="456"/>
      <c r="J7" s="456"/>
      <c r="K7" s="488"/>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row>
    <row r="8" spans="1:58" s="166" customFormat="1" ht="12.6" customHeight="1" x14ac:dyDescent="0.2">
      <c r="B8" s="1154"/>
      <c r="C8" s="1154"/>
      <c r="D8" s="1154"/>
      <c r="E8" s="1154"/>
      <c r="F8" s="1154"/>
      <c r="G8" s="1154"/>
      <c r="H8" s="488"/>
      <c r="I8" s="488"/>
      <c r="J8" s="488"/>
      <c r="K8" s="488"/>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row>
    <row r="9" spans="1:58" s="166" customFormat="1" ht="12.6" customHeight="1" x14ac:dyDescent="0.2">
      <c r="B9" s="1154"/>
      <c r="C9" s="1154"/>
      <c r="D9" s="1154"/>
      <c r="E9" s="1154"/>
      <c r="F9" s="1154"/>
      <c r="G9" s="1154"/>
      <c r="H9" s="488"/>
      <c r="I9" s="488"/>
      <c r="J9" s="488"/>
      <c r="K9" s="488"/>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row>
    <row r="10" spans="1:58" s="166" customFormat="1" ht="12.6" customHeight="1" x14ac:dyDescent="0.2">
      <c r="B10" s="1154"/>
      <c r="C10" s="1154"/>
      <c r="D10" s="1154"/>
      <c r="E10" s="1154"/>
      <c r="F10" s="1154"/>
      <c r="G10" s="1154"/>
      <c r="H10" s="488"/>
      <c r="I10" s="488"/>
      <c r="J10" s="488"/>
      <c r="K10" s="488"/>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row>
    <row r="11" spans="1:58" s="166" customFormat="1" ht="12.6" customHeight="1" x14ac:dyDescent="0.2">
      <c r="B11" s="1154"/>
      <c r="C11" s="1154"/>
      <c r="D11" s="1154"/>
      <c r="E11" s="1154"/>
      <c r="F11" s="1154"/>
      <c r="G11" s="1154"/>
      <c r="H11" s="488"/>
      <c r="I11" s="488"/>
      <c r="J11" s="488"/>
      <c r="K11" s="488"/>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row>
    <row r="12" spans="1:58" s="166" customFormat="1" ht="12.6" customHeight="1" x14ac:dyDescent="0.2">
      <c r="B12" s="1154"/>
      <c r="C12" s="1154"/>
      <c r="D12" s="1154"/>
      <c r="E12" s="1154"/>
      <c r="F12" s="1154"/>
      <c r="G12" s="1154"/>
      <c r="H12" s="456"/>
      <c r="I12" s="456"/>
      <c r="J12" s="456"/>
      <c r="K12" s="488"/>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row>
    <row r="13" spans="1:58" s="166" customFormat="1" ht="32.25" customHeight="1" x14ac:dyDescent="0.2">
      <c r="B13" s="1154"/>
      <c r="C13" s="1154"/>
      <c r="D13" s="1154"/>
      <c r="E13" s="1154"/>
      <c r="F13" s="1154"/>
      <c r="G13" s="1154"/>
      <c r="H13" s="456"/>
      <c r="I13" s="456"/>
      <c r="J13" s="456"/>
      <c r="K13" s="488"/>
      <c r="L13" s="291"/>
      <c r="M13" s="291"/>
      <c r="N13" s="291"/>
      <c r="O13" s="291"/>
      <c r="P13" s="291"/>
      <c r="Q13" s="203"/>
      <c r="R13" s="203"/>
      <c r="S13" s="203"/>
      <c r="T13" s="203"/>
      <c r="U13" s="203"/>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row>
    <row r="14" spans="1:58" s="166" customFormat="1" x14ac:dyDescent="0.2">
      <c r="P14" s="291"/>
      <c r="Q14" s="203" t="str">
        <f>+TITELBLAD!C10</f>
        <v>gas</v>
      </c>
      <c r="R14" s="420"/>
      <c r="S14" s="203"/>
      <c r="T14" s="203"/>
      <c r="U14" s="203"/>
      <c r="V14" s="291"/>
      <c r="W14" s="291"/>
      <c r="X14" s="291"/>
    </row>
    <row r="15" spans="1:58" ht="18.75" thickBot="1" x14ac:dyDescent="0.25">
      <c r="A15" s="417"/>
      <c r="B15" s="101"/>
      <c r="C15" s="101"/>
      <c r="D15" s="418"/>
      <c r="E15" s="418"/>
      <c r="F15" s="418"/>
      <c r="G15" s="418"/>
      <c r="H15" s="418"/>
      <c r="I15" s="418"/>
      <c r="J15" s="418"/>
      <c r="K15" s="418"/>
      <c r="L15" s="101"/>
      <c r="M15" s="418"/>
      <c r="N15" s="101"/>
      <c r="P15" s="485"/>
      <c r="Q15" s="420" t="str">
        <f>+TITELBLAD!B16</f>
        <v>Rapportering over boekjaar:</v>
      </c>
      <c r="R15" s="420"/>
      <c r="S15" s="420"/>
      <c r="T15" s="420">
        <f>+TITELBLAD!E16</f>
        <v>2022</v>
      </c>
      <c r="U15" s="420" t="str">
        <f>+TITELBLAD!F16</f>
        <v>ex-ante</v>
      </c>
      <c r="V15" s="485"/>
      <c r="W15" s="485"/>
      <c r="X15" s="485"/>
    </row>
    <row r="16" spans="1:58" s="424" customFormat="1" ht="60.75" customHeight="1" thickBot="1" x14ac:dyDescent="0.25">
      <c r="A16" s="421"/>
      <c r="B16" s="422"/>
      <c r="C16" s="422"/>
      <c r="D16" s="423"/>
      <c r="E16" s="1155" t="str">
        <f>"Werkelijke opbrengsten uit periodieke distributienettarieven in boekjaar "&amp;TITELBLAD!E16&amp;" (elektriciteit- injectie)"</f>
        <v>Werkelijke opbrengsten uit periodieke distributienettarieven in boekjaar 2022 (elektriciteit- injectie)</v>
      </c>
      <c r="F16" s="1156"/>
      <c r="G16" s="1156"/>
      <c r="H16" s="1156"/>
      <c r="I16" s="1156"/>
      <c r="J16" s="1156"/>
      <c r="K16" s="691" t="s">
        <v>94</v>
      </c>
      <c r="L16" s="101"/>
      <c r="M16" s="209" t="str">
        <f>"Werkelijke opbrengsten m.b.t. endogene kosten in boekjaar "&amp;TITELBLAD!E16&amp;" (elektriciteit-injectie)"</f>
        <v>Werkelijke opbrengsten m.b.t. endogene kosten in boekjaar 2022 (elektriciteit-injectie)</v>
      </c>
      <c r="N16" s="101"/>
      <c r="O16" s="209" t="str">
        <f>"Werkelijke opbrengsten m.b.t. exogene kosten in boekjaar "&amp;TITELBLAD!E16&amp;" (elektriciteit-injectie)"</f>
        <v>Werkelijke opbrengsten m.b.t. exogene kosten in boekjaar 2022 (elektriciteit-injectie)</v>
      </c>
      <c r="P16" s="486"/>
      <c r="Q16" s="425"/>
      <c r="R16" s="425"/>
      <c r="S16" s="425"/>
      <c r="T16" s="420"/>
      <c r="U16" s="420"/>
      <c r="V16" s="486"/>
      <c r="W16" s="486"/>
      <c r="X16" s="486"/>
    </row>
    <row r="17" spans="1:22" s="98" customFormat="1" ht="28.5" customHeight="1" thickBot="1" x14ac:dyDescent="0.25">
      <c r="A17" s="426"/>
      <c r="B17" s="427"/>
      <c r="C17" s="427"/>
      <c r="D17" s="428"/>
      <c r="E17" s="345" t="s">
        <v>208</v>
      </c>
      <c r="F17" s="346" t="s">
        <v>209</v>
      </c>
      <c r="G17" s="346" t="s">
        <v>210</v>
      </c>
      <c r="H17" s="346" t="s">
        <v>211</v>
      </c>
      <c r="I17" s="346" t="s">
        <v>212</v>
      </c>
      <c r="J17" s="475" t="s">
        <v>20</v>
      </c>
      <c r="K17" s="692"/>
      <c r="L17" s="101"/>
      <c r="M17" s="683" t="s">
        <v>372</v>
      </c>
      <c r="N17" s="440"/>
      <c r="O17" s="683" t="s">
        <v>373</v>
      </c>
      <c r="P17" s="487"/>
      <c r="Q17" s="487"/>
      <c r="R17" s="487"/>
      <c r="S17" s="487"/>
      <c r="T17" s="487"/>
      <c r="U17" s="487"/>
      <c r="V17" s="487"/>
    </row>
    <row r="18" spans="1:22" s="101" customFormat="1" ht="16.5" customHeight="1" x14ac:dyDescent="0.2">
      <c r="A18" s="429"/>
      <c r="B18" s="430"/>
      <c r="C18" s="431"/>
      <c r="D18" s="432"/>
      <c r="E18" s="463"/>
      <c r="F18" s="469"/>
      <c r="G18" s="469"/>
      <c r="H18" s="469"/>
      <c r="I18" s="469"/>
      <c r="J18" s="458"/>
      <c r="K18" s="693"/>
      <c r="M18" s="457"/>
      <c r="O18" s="457"/>
      <c r="P18" s="485"/>
      <c r="Q18" s="485"/>
      <c r="R18" s="485"/>
      <c r="S18" s="485"/>
      <c r="T18" s="485"/>
      <c r="U18" s="485"/>
      <c r="V18" s="485"/>
    </row>
    <row r="19" spans="1:22" s="101" customFormat="1" ht="16.5" customHeight="1" x14ac:dyDescent="0.2">
      <c r="A19" s="433"/>
      <c r="B19" s="434"/>
      <c r="C19" s="435"/>
      <c r="D19" s="100"/>
      <c r="E19" s="464"/>
      <c r="F19" s="470"/>
      <c r="G19" s="470"/>
      <c r="H19" s="470"/>
      <c r="I19" s="470"/>
      <c r="J19" s="459"/>
      <c r="K19" s="694"/>
      <c r="M19" s="436"/>
      <c r="O19" s="436"/>
      <c r="P19" s="485"/>
      <c r="Q19" s="485"/>
      <c r="R19" s="485"/>
      <c r="S19" s="485"/>
      <c r="T19" s="485"/>
      <c r="U19" s="485"/>
      <c r="V19" s="485"/>
    </row>
    <row r="20" spans="1:22" s="101" customFormat="1" ht="16.5" customHeight="1" x14ac:dyDescent="0.2">
      <c r="A20" s="433" t="s">
        <v>70</v>
      </c>
      <c r="B20" s="430" t="s">
        <v>360</v>
      </c>
      <c r="C20" s="437"/>
      <c r="D20" s="100"/>
      <c r="E20" s="822">
        <v>0</v>
      </c>
      <c r="F20" s="823">
        <v>0</v>
      </c>
      <c r="G20" s="823">
        <v>0</v>
      </c>
      <c r="H20" s="823">
        <v>0</v>
      </c>
      <c r="I20" s="823">
        <v>0</v>
      </c>
      <c r="J20" s="348">
        <f>SUM(E20:I20)</f>
        <v>0</v>
      </c>
      <c r="K20" s="825">
        <v>0</v>
      </c>
      <c r="M20" s="142">
        <f>+J20*K20</f>
        <v>0</v>
      </c>
      <c r="O20" s="142">
        <f>+J20-M20</f>
        <v>0</v>
      </c>
      <c r="P20" s="485"/>
      <c r="Q20" s="485"/>
      <c r="R20" s="485"/>
      <c r="S20" s="485"/>
      <c r="T20" s="485"/>
      <c r="U20" s="485"/>
      <c r="V20" s="485"/>
    </row>
    <row r="21" spans="1:22" s="101" customFormat="1" ht="16.5" customHeight="1" x14ac:dyDescent="0.2">
      <c r="A21" s="99"/>
      <c r="B21" s="438"/>
      <c r="C21" s="438"/>
      <c r="D21" s="367"/>
      <c r="E21" s="465"/>
      <c r="F21" s="471"/>
      <c r="G21" s="471"/>
      <c r="H21" s="471"/>
      <c r="I21" s="471"/>
      <c r="J21" s="476"/>
      <c r="K21" s="695"/>
      <c r="M21" s="144"/>
      <c r="O21" s="144"/>
      <c r="P21" s="485"/>
      <c r="Q21" s="485"/>
      <c r="R21" s="485"/>
      <c r="S21" s="485"/>
      <c r="T21" s="485"/>
      <c r="U21" s="485"/>
      <c r="V21" s="485"/>
    </row>
    <row r="22" spans="1:22" s="101" customFormat="1" ht="16.5" customHeight="1" x14ac:dyDescent="0.2">
      <c r="A22" s="99"/>
      <c r="B22" s="438"/>
      <c r="C22" s="438"/>
      <c r="D22" s="367"/>
      <c r="E22" s="466"/>
      <c r="F22" s="472"/>
      <c r="G22" s="472"/>
      <c r="H22" s="472"/>
      <c r="I22" s="472"/>
      <c r="J22" s="460"/>
      <c r="K22" s="696"/>
      <c r="M22" s="439"/>
      <c r="O22" s="439"/>
      <c r="P22" s="485"/>
      <c r="Q22" s="485"/>
      <c r="R22" s="485"/>
      <c r="S22" s="485"/>
      <c r="T22" s="485"/>
      <c r="U22" s="485"/>
      <c r="V22" s="485"/>
    </row>
    <row r="23" spans="1:22" s="101" customFormat="1" ht="14.25" customHeight="1" x14ac:dyDescent="0.2">
      <c r="A23" s="99" t="s">
        <v>71</v>
      </c>
      <c r="B23" s="1164" t="s">
        <v>213</v>
      </c>
      <c r="C23" s="1164"/>
      <c r="D23" s="1165"/>
      <c r="E23" s="822">
        <v>0</v>
      </c>
      <c r="F23" s="823">
        <v>0</v>
      </c>
      <c r="G23" s="823">
        <v>0</v>
      </c>
      <c r="H23" s="823">
        <v>0</v>
      </c>
      <c r="I23" s="823">
        <v>0</v>
      </c>
      <c r="J23" s="348">
        <f>SUM(E23:I23)</f>
        <v>0</v>
      </c>
      <c r="K23" s="825">
        <v>0</v>
      </c>
      <c r="L23" s="440"/>
      <c r="M23" s="142">
        <f>+J23*K23</f>
        <v>0</v>
      </c>
      <c r="N23" s="440"/>
      <c r="O23" s="142">
        <f>+J23-M23</f>
        <v>0</v>
      </c>
      <c r="P23" s="485"/>
      <c r="Q23" s="485"/>
      <c r="R23" s="485"/>
      <c r="S23" s="485"/>
      <c r="T23" s="485"/>
      <c r="U23" s="485"/>
      <c r="V23" s="485"/>
    </row>
    <row r="24" spans="1:22" s="101" customFormat="1" ht="16.5" customHeight="1" x14ac:dyDescent="0.2">
      <c r="A24" s="441"/>
      <c r="B24" s="138"/>
      <c r="C24" s="139"/>
      <c r="D24" s="100"/>
      <c r="E24" s="465"/>
      <c r="F24" s="471"/>
      <c r="G24" s="471"/>
      <c r="H24" s="471"/>
      <c r="I24" s="471"/>
      <c r="J24" s="476"/>
      <c r="K24" s="697"/>
      <c r="M24" s="144"/>
      <c r="O24" s="144"/>
    </row>
    <row r="25" spans="1:22" s="98" customFormat="1" ht="16.5" customHeight="1" thickBot="1" x14ac:dyDescent="0.25">
      <c r="A25" s="442"/>
      <c r="B25" s="443"/>
      <c r="C25" s="443"/>
      <c r="D25" s="444"/>
      <c r="E25" s="467"/>
      <c r="F25" s="473"/>
      <c r="G25" s="473"/>
      <c r="H25" s="473"/>
      <c r="I25" s="473"/>
      <c r="J25" s="461"/>
      <c r="K25" s="698"/>
      <c r="M25" s="445"/>
      <c r="O25" s="445"/>
    </row>
    <row r="26" spans="1:22" s="451" customFormat="1" ht="16.5" customHeight="1" thickBot="1" x14ac:dyDescent="0.25">
      <c r="A26" s="446"/>
      <c r="B26" s="447" t="s">
        <v>365</v>
      </c>
      <c r="C26" s="448"/>
      <c r="D26" s="449"/>
      <c r="E26" s="468">
        <f>+SUM(E23,E20)</f>
        <v>0</v>
      </c>
      <c r="F26" s="474">
        <f t="shared" ref="F26:J26" si="0">+SUM(F23,F20)</f>
        <v>0</v>
      </c>
      <c r="G26" s="474">
        <f t="shared" si="0"/>
        <v>0</v>
      </c>
      <c r="H26" s="474">
        <f t="shared" si="0"/>
        <v>0</v>
      </c>
      <c r="I26" s="474">
        <f t="shared" si="0"/>
        <v>0</v>
      </c>
      <c r="J26" s="462">
        <f t="shared" si="0"/>
        <v>0</v>
      </c>
      <c r="K26" s="699"/>
      <c r="L26" s="98"/>
      <c r="M26" s="450">
        <f>+SUM(M23,M20)</f>
        <v>0</v>
      </c>
      <c r="N26" s="98"/>
      <c r="O26" s="450">
        <f>+SUM(O23,O20)</f>
        <v>0</v>
      </c>
    </row>
    <row r="27" spans="1:22" s="452" customFormat="1" ht="13.5" customHeight="1" x14ac:dyDescent="0.2">
      <c r="C27" s="453"/>
      <c r="L27" s="98"/>
      <c r="N27" s="98"/>
    </row>
    <row r="28" spans="1:22" s="452" customFormat="1" ht="13.5" customHeight="1" x14ac:dyDescent="0.2">
      <c r="D28" s="454"/>
      <c r="E28" s="454"/>
      <c r="F28" s="454"/>
      <c r="G28" s="454"/>
      <c r="H28" s="454"/>
      <c r="I28" s="454"/>
      <c r="J28" s="454"/>
      <c r="K28" s="454"/>
      <c r="M28" s="454"/>
    </row>
    <row r="29" spans="1:22" s="452" customFormat="1" ht="13.5" customHeight="1" x14ac:dyDescent="0.2">
      <c r="D29" s="454"/>
      <c r="E29" s="454"/>
      <c r="F29" s="454"/>
      <c r="G29" s="454"/>
      <c r="H29" s="454"/>
      <c r="I29" s="454"/>
      <c r="J29" s="454"/>
      <c r="K29" s="454"/>
      <c r="M29" s="454"/>
    </row>
    <row r="30" spans="1:22" s="452" customFormat="1" ht="13.5" customHeight="1" x14ac:dyDescent="0.2">
      <c r="D30" s="454"/>
      <c r="E30" s="454"/>
      <c r="F30" s="454"/>
      <c r="G30" s="454"/>
      <c r="H30" s="454"/>
      <c r="I30" s="454"/>
      <c r="J30" s="454"/>
      <c r="K30" s="454"/>
      <c r="M30" s="454"/>
    </row>
    <row r="31" spans="1:22" s="452" customFormat="1" ht="13.5" customHeight="1" x14ac:dyDescent="0.2">
      <c r="D31" s="454"/>
      <c r="E31" s="454"/>
      <c r="F31" s="454"/>
      <c r="G31" s="454"/>
      <c r="H31" s="454"/>
      <c r="I31" s="454"/>
      <c r="J31" s="454"/>
      <c r="K31" s="454"/>
      <c r="M31" s="454"/>
    </row>
    <row r="32" spans="1:22" ht="13.5" customHeight="1" x14ac:dyDescent="0.2">
      <c r="L32" s="452"/>
      <c r="N32" s="452"/>
    </row>
    <row r="33" spans="12:14" ht="13.5" customHeight="1" x14ac:dyDescent="0.2">
      <c r="L33" s="452"/>
      <c r="N33" s="452"/>
    </row>
    <row r="34" spans="12:14" ht="13.5" customHeight="1" x14ac:dyDescent="0.2">
      <c r="L34" s="452"/>
      <c r="N34" s="452"/>
    </row>
    <row r="35" spans="12:14" ht="17.25" customHeight="1" x14ac:dyDescent="0.2"/>
    <row r="36" spans="12:14" ht="17.25" customHeight="1" x14ac:dyDescent="0.2"/>
  </sheetData>
  <sheetProtection algorithmName="SHA-512" hashValue="cwhfUm+gWBlul8b4g5IyT9NsxGBbRyPqSGTA9DGGxpWJLTPLIdPVkazuzZ7kSyDHeJjCpq4rEhTQrm4x6rgH2Q==" saltValue="/CFxodJJz4vog14XVC8FWA==" spinCount="100000" sheet="1" objects="1" scenarios="1"/>
  <mergeCells count="4">
    <mergeCell ref="B23:D23"/>
    <mergeCell ref="A1:O1"/>
    <mergeCell ref="E16:J16"/>
    <mergeCell ref="B5:G13"/>
  </mergeCells>
  <conditionalFormatting sqref="A1:XFD1048576">
    <cfRule type="expression" dxfId="30" priority="1">
      <formula>$U$15="ex-ante"</formula>
    </cfRule>
    <cfRule type="expression" dxfId="29" priority="2">
      <formula>$Q$14="gas"</formula>
    </cfRule>
  </conditionalFormatting>
  <pageMargins left="7.874015748031496E-2" right="7.874015748031496E-2" top="0.39370078740157483" bottom="0.39370078740157483" header="0.31496062992125984" footer="0.31496062992125984"/>
  <pageSetup paperSize="8" orientation="landscape" r:id="rId1"/>
  <headerFooter alignWithMargins="0">
    <oddFooter>&amp;L&amp;"Arial,Bold Italic"&amp;8&amp;F&amp;C&amp;"Arial,Bold Italic"&amp;8&amp;A&amp;"Arial,Regular"&amp;10
&amp;R&amp;"Arial,Bold Italic"&amp;8&amp;D
Pagina 1 / 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pageSetUpPr fitToPage="1"/>
  </sheetPr>
  <dimension ref="A1:Y38"/>
  <sheetViews>
    <sheetView zoomScale="80" zoomScaleNormal="80" workbookViewId="0">
      <selection activeCell="H36" sqref="H36"/>
    </sheetView>
  </sheetViews>
  <sheetFormatPr defaultColWidth="9.140625" defaultRowHeight="12.75" x14ac:dyDescent="0.2"/>
  <cols>
    <col min="1" max="1" width="8.5703125" style="489" customWidth="1"/>
    <col min="2" max="2" width="60.28515625" style="489" customWidth="1"/>
    <col min="3" max="3" width="5" style="489" customWidth="1"/>
    <col min="4" max="4" width="3.7109375" style="489" customWidth="1"/>
    <col min="5" max="13" width="20.7109375" style="489" customWidth="1"/>
    <col min="14" max="14" width="3.42578125" style="489" customWidth="1"/>
    <col min="15" max="15" width="25.7109375" style="489" customWidth="1"/>
    <col min="16" max="16" width="3.42578125" style="489" customWidth="1"/>
    <col min="17" max="17" width="25.7109375" style="489" customWidth="1"/>
    <col min="18" max="16384" width="9.140625" style="489"/>
  </cols>
  <sheetData>
    <row r="1" spans="1:25" ht="18.75" thickBot="1" x14ac:dyDescent="0.25">
      <c r="A1" s="1074" t="str">
        <f>"TABEL 5E: Werkelijke opbrengsten uit periodieke distributienettarieven in boekjaar "&amp;TITELBLAD!E16&amp;" (gas - afname)"</f>
        <v>TABEL 5E: Werkelijke opbrengsten uit periodieke distributienettarieven in boekjaar 2022 (gas - afname)</v>
      </c>
      <c r="B1" s="1075"/>
      <c r="C1" s="1075"/>
      <c r="D1" s="1075"/>
      <c r="E1" s="1075"/>
      <c r="F1" s="1075"/>
      <c r="G1" s="1075"/>
      <c r="H1" s="1075"/>
      <c r="I1" s="1075"/>
      <c r="J1" s="1075"/>
      <c r="K1" s="1075"/>
      <c r="L1" s="1075"/>
      <c r="M1" s="1075"/>
      <c r="N1" s="1075"/>
      <c r="O1" s="1075"/>
      <c r="P1" s="1075"/>
      <c r="Q1" s="1076"/>
      <c r="R1" s="511"/>
      <c r="S1" s="512"/>
      <c r="T1" s="512"/>
      <c r="U1" s="512"/>
      <c r="V1" s="512"/>
      <c r="W1" s="512"/>
      <c r="X1" s="512"/>
      <c r="Y1" s="512"/>
    </row>
    <row r="2" spans="1:25" x14ac:dyDescent="0.2">
      <c r="Q2" s="512"/>
      <c r="R2" s="512"/>
      <c r="S2" s="512"/>
      <c r="T2" s="512"/>
      <c r="U2" s="512"/>
      <c r="V2" s="512"/>
      <c r="W2" s="512"/>
      <c r="X2" s="512"/>
      <c r="Y2" s="512"/>
    </row>
    <row r="3" spans="1:25" s="166" customFormat="1" x14ac:dyDescent="0.2">
      <c r="Q3" s="291"/>
      <c r="R3" s="291"/>
      <c r="S3" s="291"/>
      <c r="T3" s="291"/>
      <c r="U3" s="291"/>
      <c r="V3" s="291"/>
      <c r="W3" s="291"/>
      <c r="X3" s="291"/>
      <c r="Y3" s="291"/>
    </row>
    <row r="4" spans="1:25" s="166" customFormat="1" x14ac:dyDescent="0.2">
      <c r="B4" s="353" t="s">
        <v>99</v>
      </c>
      <c r="Q4" s="291"/>
      <c r="R4" s="291"/>
      <c r="S4" s="291"/>
      <c r="T4" s="291"/>
      <c r="U4" s="291"/>
      <c r="V4" s="291"/>
      <c r="W4" s="291"/>
      <c r="X4" s="291"/>
      <c r="Y4" s="291"/>
    </row>
    <row r="5" spans="1:25" s="166" customFormat="1" ht="12.6" customHeight="1" x14ac:dyDescent="0.2">
      <c r="B5" s="1154" t="s">
        <v>216</v>
      </c>
      <c r="C5" s="1154"/>
      <c r="D5" s="1154"/>
      <c r="E5" s="1154"/>
      <c r="F5" s="1154"/>
      <c r="G5" s="788"/>
      <c r="H5" s="456"/>
      <c r="I5" s="456"/>
      <c r="J5" s="456"/>
      <c r="K5" s="456"/>
      <c r="L5" s="456"/>
      <c r="M5" s="456"/>
      <c r="Q5" s="291"/>
      <c r="R5" s="291"/>
      <c r="S5" s="291"/>
      <c r="T5" s="291"/>
      <c r="U5" s="291"/>
      <c r="V5" s="291"/>
      <c r="W5" s="291"/>
      <c r="X5" s="291"/>
      <c r="Y5" s="291"/>
    </row>
    <row r="6" spans="1:25" s="166" customFormat="1" ht="12.6" customHeight="1" x14ac:dyDescent="0.2">
      <c r="B6" s="1154"/>
      <c r="C6" s="1154"/>
      <c r="D6" s="1154"/>
      <c r="E6" s="1154"/>
      <c r="F6" s="1154"/>
      <c r="G6" s="788"/>
      <c r="H6" s="456"/>
      <c r="I6" s="456"/>
      <c r="J6" s="456"/>
      <c r="K6" s="456"/>
      <c r="L6" s="456"/>
      <c r="M6" s="456"/>
      <c r="Q6" s="291"/>
      <c r="R6" s="291"/>
      <c r="S6" s="203"/>
      <c r="T6" s="203"/>
      <c r="U6" s="203"/>
      <c r="V6" s="203"/>
      <c r="W6" s="203"/>
      <c r="X6" s="291"/>
      <c r="Y6" s="291"/>
    </row>
    <row r="7" spans="1:25" s="166" customFormat="1" ht="12.6" customHeight="1" x14ac:dyDescent="0.2">
      <c r="B7" s="1154"/>
      <c r="C7" s="1154"/>
      <c r="D7" s="1154"/>
      <c r="E7" s="1154"/>
      <c r="F7" s="1154"/>
      <c r="G7" s="788"/>
      <c r="H7" s="456"/>
      <c r="I7" s="456"/>
      <c r="J7" s="456"/>
      <c r="K7" s="456"/>
      <c r="L7" s="456"/>
      <c r="M7" s="456"/>
      <c r="Q7" s="291"/>
      <c r="R7" s="291"/>
      <c r="S7" s="203"/>
      <c r="T7" s="203"/>
      <c r="U7" s="203"/>
      <c r="V7" s="203"/>
      <c r="W7" s="203"/>
      <c r="X7" s="291"/>
      <c r="Y7" s="291"/>
    </row>
    <row r="8" spans="1:25" s="166" customFormat="1" ht="12.6" customHeight="1" x14ac:dyDescent="0.2">
      <c r="B8" s="1154"/>
      <c r="C8" s="1154"/>
      <c r="D8" s="1154"/>
      <c r="E8" s="1154"/>
      <c r="F8" s="1154"/>
      <c r="G8" s="788"/>
      <c r="H8" s="456"/>
      <c r="I8" s="456"/>
      <c r="J8" s="456"/>
      <c r="K8" s="456"/>
      <c r="L8" s="456"/>
      <c r="M8" s="456"/>
      <c r="Q8" s="291"/>
      <c r="R8" s="291"/>
      <c r="S8" s="203"/>
      <c r="T8" s="203"/>
      <c r="U8" s="203"/>
      <c r="V8" s="203"/>
      <c r="W8" s="203"/>
      <c r="X8" s="291"/>
      <c r="Y8" s="291"/>
    </row>
    <row r="9" spans="1:25" s="166" customFormat="1" ht="12.6" customHeight="1" x14ac:dyDescent="0.2">
      <c r="B9" s="1154"/>
      <c r="C9" s="1154"/>
      <c r="D9" s="1154"/>
      <c r="E9" s="1154"/>
      <c r="F9" s="1154"/>
      <c r="G9" s="788"/>
      <c r="H9" s="456"/>
      <c r="I9" s="456"/>
      <c r="J9" s="456"/>
      <c r="K9" s="456"/>
      <c r="L9" s="456"/>
      <c r="M9" s="456"/>
      <c r="Q9" s="291"/>
      <c r="R9" s="291"/>
      <c r="S9" s="203"/>
      <c r="T9" s="203"/>
      <c r="U9" s="203"/>
      <c r="V9" s="203"/>
      <c r="W9" s="203"/>
      <c r="X9" s="291"/>
      <c r="Y9" s="291"/>
    </row>
    <row r="10" spans="1:25" s="166" customFormat="1" ht="12.6" customHeight="1" x14ac:dyDescent="0.2">
      <c r="B10" s="1154"/>
      <c r="C10" s="1154"/>
      <c r="D10" s="1154"/>
      <c r="E10" s="1154"/>
      <c r="F10" s="1154"/>
      <c r="G10" s="788"/>
      <c r="H10" s="456"/>
      <c r="I10" s="456"/>
      <c r="J10" s="456"/>
      <c r="K10" s="456"/>
      <c r="L10" s="456"/>
      <c r="M10" s="456"/>
      <c r="Q10" s="291"/>
      <c r="R10" s="291"/>
      <c r="S10" s="203"/>
      <c r="T10" s="203"/>
      <c r="U10" s="203"/>
      <c r="V10" s="203"/>
      <c r="W10" s="203"/>
      <c r="X10" s="291"/>
      <c r="Y10" s="291"/>
    </row>
    <row r="11" spans="1:25" s="166" customFormat="1" ht="12.6" customHeight="1" x14ac:dyDescent="0.2">
      <c r="B11" s="1154"/>
      <c r="C11" s="1154"/>
      <c r="D11" s="1154"/>
      <c r="E11" s="1154"/>
      <c r="F11" s="1154"/>
      <c r="G11" s="788"/>
      <c r="H11" s="456"/>
      <c r="I11" s="456"/>
      <c r="J11" s="456"/>
      <c r="K11" s="456"/>
      <c r="L11" s="456"/>
      <c r="M11" s="456"/>
      <c r="Q11" s="291"/>
      <c r="R11" s="291"/>
      <c r="S11" s="203"/>
      <c r="T11" s="203"/>
      <c r="U11" s="203"/>
      <c r="V11" s="203"/>
      <c r="W11" s="203"/>
      <c r="X11" s="291"/>
      <c r="Y11" s="291"/>
    </row>
    <row r="12" spans="1:25" s="166" customFormat="1" ht="12.6" customHeight="1" x14ac:dyDescent="0.2">
      <c r="B12" s="1154"/>
      <c r="C12" s="1154"/>
      <c r="D12" s="1154"/>
      <c r="E12" s="1154"/>
      <c r="F12" s="1154"/>
      <c r="G12" s="788"/>
      <c r="H12" s="456"/>
      <c r="I12" s="456"/>
      <c r="J12" s="456"/>
      <c r="K12" s="456"/>
      <c r="L12" s="456"/>
      <c r="M12" s="456"/>
      <c r="Q12" s="291"/>
      <c r="R12" s="291"/>
      <c r="S12" s="203"/>
      <c r="T12" s="203"/>
      <c r="U12" s="203"/>
      <c r="V12" s="203"/>
      <c r="W12" s="203"/>
      <c r="X12" s="291"/>
      <c r="Y12" s="291"/>
    </row>
    <row r="13" spans="1:25" s="166" customFormat="1" ht="30.75" customHeight="1" x14ac:dyDescent="0.2">
      <c r="B13" s="1154"/>
      <c r="C13" s="1154"/>
      <c r="D13" s="1154"/>
      <c r="E13" s="1154"/>
      <c r="F13" s="1154"/>
      <c r="G13" s="788"/>
      <c r="H13" s="456"/>
      <c r="I13" s="456"/>
      <c r="J13" s="456"/>
      <c r="K13" s="456"/>
      <c r="L13" s="456"/>
      <c r="M13" s="456"/>
      <c r="Q13" s="291"/>
      <c r="R13" s="291"/>
      <c r="S13" s="203"/>
      <c r="T13" s="203"/>
      <c r="U13" s="203"/>
      <c r="V13" s="203"/>
      <c r="W13" s="203"/>
      <c r="X13" s="291"/>
      <c r="Y13" s="291"/>
    </row>
    <row r="14" spans="1:25" s="166" customFormat="1" x14ac:dyDescent="0.2">
      <c r="Q14" s="291"/>
      <c r="R14" s="291"/>
      <c r="S14" s="203"/>
      <c r="T14" s="203"/>
      <c r="U14" s="203"/>
      <c r="V14" s="203"/>
      <c r="W14" s="203"/>
      <c r="X14" s="291"/>
      <c r="Y14" s="291"/>
    </row>
    <row r="15" spans="1:25" x14ac:dyDescent="0.2">
      <c r="Q15" s="512"/>
      <c r="R15" s="512"/>
      <c r="S15" s="490" t="str">
        <f>+TITELBLAD!C10</f>
        <v>gas</v>
      </c>
      <c r="T15" s="490"/>
      <c r="U15" s="490"/>
      <c r="V15" s="490"/>
      <c r="W15" s="490"/>
      <c r="X15" s="512"/>
      <c r="Y15" s="512"/>
    </row>
    <row r="16" spans="1:25" ht="15" customHeight="1" thickBot="1" x14ac:dyDescent="0.25">
      <c r="R16" s="490"/>
      <c r="S16" s="490" t="str">
        <f>+TITELBLAD!B16</f>
        <v>Rapportering over boekjaar:</v>
      </c>
      <c r="T16" s="490"/>
      <c r="U16" s="490"/>
      <c r="V16" s="490">
        <f>+TITELBLAD!E16</f>
        <v>2022</v>
      </c>
      <c r="W16" s="490" t="str">
        <f>+TITELBLAD!F16</f>
        <v>ex-ante</v>
      </c>
    </row>
    <row r="17" spans="1:23" ht="71.25" customHeight="1" thickBot="1" x14ac:dyDescent="0.25">
      <c r="A17" s="1166"/>
      <c r="B17" s="1167"/>
      <c r="C17" s="1168"/>
      <c r="D17" s="210"/>
      <c r="E17" s="1172" t="str">
        <f>"Werkelijke opbrengsten uit periodieke distributienettarieven in boekjaar "&amp;TITELBLAD!E16&amp;" (gas-afname)"</f>
        <v>Werkelijke opbrengsten uit periodieke distributienettarieven in boekjaar 2022 (gas-afname)</v>
      </c>
      <c r="F17" s="1173"/>
      <c r="G17" s="1173"/>
      <c r="H17" s="1173"/>
      <c r="I17" s="1173"/>
      <c r="J17" s="1173"/>
      <c r="K17" s="1173"/>
      <c r="L17" s="1174"/>
      <c r="M17" s="684" t="s">
        <v>94</v>
      </c>
      <c r="O17" s="209" t="str">
        <f>"Werkelijke opbrengsten m.b.t. endogene kosten in boekjaar "&amp;TITELBLAD!E16&amp;" (gas-afname)"</f>
        <v>Werkelijke opbrengsten m.b.t. endogene kosten in boekjaar 2022 (gas-afname)</v>
      </c>
      <c r="Q17" s="209" t="str">
        <f>"Werkelijke opbrengsten m.b.t. exogene kosten in boekjaar "&amp;TITELBLAD!E16&amp;" (gas-afname)"</f>
        <v>Werkelijke opbrengsten m.b.t. exogene kosten in boekjaar 2022 (gas-afname)</v>
      </c>
      <c r="R17" s="490"/>
      <c r="S17" s="490"/>
      <c r="T17" s="490"/>
      <c r="U17" s="490"/>
      <c r="V17" s="490"/>
      <c r="W17" s="490"/>
    </row>
    <row r="18" spans="1:23" s="121" customFormat="1" ht="23.45" customHeight="1" thickBot="1" x14ac:dyDescent="0.25">
      <c r="A18" s="1169"/>
      <c r="B18" s="1170"/>
      <c r="C18" s="1171"/>
      <c r="D18" s="210"/>
      <c r="E18" s="715" t="s">
        <v>221</v>
      </c>
      <c r="F18" s="716" t="s">
        <v>222</v>
      </c>
      <c r="G18" s="716" t="s">
        <v>223</v>
      </c>
      <c r="H18" s="716" t="s">
        <v>224</v>
      </c>
      <c r="I18" s="716" t="s">
        <v>225</v>
      </c>
      <c r="J18" s="716" t="s">
        <v>226</v>
      </c>
      <c r="K18" s="716" t="s">
        <v>227</v>
      </c>
      <c r="L18" s="717" t="s">
        <v>20</v>
      </c>
      <c r="M18" s="718"/>
      <c r="O18" s="683" t="s">
        <v>372</v>
      </c>
      <c r="P18" s="709"/>
      <c r="Q18" s="683" t="s">
        <v>373</v>
      </c>
      <c r="S18" s="490"/>
      <c r="T18" s="490"/>
      <c r="U18" s="490"/>
      <c r="V18" s="490"/>
      <c r="W18" s="490"/>
    </row>
    <row r="19" spans="1:23" s="121" customFormat="1" ht="18.75" customHeight="1" x14ac:dyDescent="0.2">
      <c r="A19" s="494" t="s">
        <v>217</v>
      </c>
      <c r="B19" s="102"/>
      <c r="C19" s="103"/>
      <c r="D19" s="104"/>
      <c r="E19" s="496">
        <f t="shared" ref="E19:L19" si="0">SUM(E21,E27,E24)</f>
        <v>0</v>
      </c>
      <c r="F19" s="505">
        <f t="shared" si="0"/>
        <v>0</v>
      </c>
      <c r="G19" s="505">
        <f t="shared" si="0"/>
        <v>0</v>
      </c>
      <c r="H19" s="505">
        <f t="shared" si="0"/>
        <v>0</v>
      </c>
      <c r="I19" s="505">
        <f t="shared" si="0"/>
        <v>0</v>
      </c>
      <c r="J19" s="505">
        <f t="shared" si="0"/>
        <v>0</v>
      </c>
      <c r="K19" s="505">
        <f t="shared" si="0"/>
        <v>0</v>
      </c>
      <c r="L19" s="498">
        <f t="shared" si="0"/>
        <v>0</v>
      </c>
      <c r="M19" s="685"/>
      <c r="O19" s="150">
        <f>SUM(O21,O27,O24)</f>
        <v>0</v>
      </c>
      <c r="Q19" s="150">
        <f>SUM(Q21,Q27,Q24)</f>
        <v>0</v>
      </c>
      <c r="S19" s="490"/>
      <c r="T19" s="490"/>
      <c r="U19" s="490"/>
      <c r="V19" s="490"/>
      <c r="W19" s="490"/>
    </row>
    <row r="20" spans="1:23" s="491" customFormat="1" ht="18" customHeight="1" x14ac:dyDescent="0.2">
      <c r="A20" s="105"/>
      <c r="B20" s="102"/>
      <c r="C20" s="103"/>
      <c r="D20" s="104"/>
      <c r="E20" s="105"/>
      <c r="F20" s="506"/>
      <c r="G20" s="506"/>
      <c r="H20" s="506"/>
      <c r="I20" s="506"/>
      <c r="J20" s="506"/>
      <c r="K20" s="506"/>
      <c r="L20" s="499"/>
      <c r="M20" s="686"/>
      <c r="O20" s="151"/>
      <c r="Q20" s="151"/>
      <c r="S20" s="513"/>
      <c r="T20" s="513"/>
      <c r="U20" s="513"/>
      <c r="V20" s="513"/>
      <c r="W20" s="513"/>
    </row>
    <row r="21" spans="1:23" s="121" customFormat="1" ht="18" customHeight="1" x14ac:dyDescent="0.2">
      <c r="A21" s="106"/>
      <c r="B21" s="495" t="s">
        <v>233</v>
      </c>
      <c r="C21" s="108"/>
      <c r="D21" s="109"/>
      <c r="E21" s="826">
        <v>0</v>
      </c>
      <c r="F21" s="827">
        <v>0</v>
      </c>
      <c r="G21" s="827">
        <v>0</v>
      </c>
      <c r="H21" s="827">
        <v>0</v>
      </c>
      <c r="I21" s="827">
        <v>0</v>
      </c>
      <c r="J21" s="827">
        <v>0</v>
      </c>
      <c r="K21" s="827">
        <v>0</v>
      </c>
      <c r="L21" s="508">
        <f>SUM(E21:K21)</f>
        <v>0</v>
      </c>
      <c r="M21" s="828">
        <v>0</v>
      </c>
      <c r="O21" s="152">
        <f>L21*M21</f>
        <v>0</v>
      </c>
      <c r="Q21" s="152">
        <f>L21-O21</f>
        <v>0</v>
      </c>
    </row>
    <row r="22" spans="1:23" s="121" customFormat="1" ht="18" customHeight="1" x14ac:dyDescent="0.2">
      <c r="A22" s="105"/>
      <c r="B22" s="110"/>
      <c r="C22" s="111"/>
      <c r="D22" s="112"/>
      <c r="E22" s="161"/>
      <c r="F22" s="500"/>
      <c r="G22" s="500"/>
      <c r="H22" s="500"/>
      <c r="I22" s="500"/>
      <c r="J22" s="500"/>
      <c r="K22" s="500"/>
      <c r="L22" s="500"/>
      <c r="M22" s="687"/>
      <c r="O22" s="153"/>
      <c r="Q22" s="153"/>
    </row>
    <row r="23" spans="1:23" s="121" customFormat="1" ht="18" customHeight="1" x14ac:dyDescent="0.2">
      <c r="A23" s="105"/>
      <c r="B23" s="102"/>
      <c r="C23" s="113"/>
      <c r="D23" s="114"/>
      <c r="E23" s="162"/>
      <c r="F23" s="501"/>
      <c r="G23" s="501"/>
      <c r="H23" s="501"/>
      <c r="I23" s="501"/>
      <c r="J23" s="501"/>
      <c r="K23" s="501"/>
      <c r="L23" s="501"/>
      <c r="M23" s="688"/>
      <c r="O23" s="154"/>
      <c r="Q23" s="154"/>
    </row>
    <row r="24" spans="1:23" s="121" customFormat="1" ht="19.5" customHeight="1" x14ac:dyDescent="0.2">
      <c r="A24" s="106"/>
      <c r="B24" s="495" t="s">
        <v>218</v>
      </c>
      <c r="C24" s="111"/>
      <c r="D24" s="112"/>
      <c r="E24" s="826">
        <v>0</v>
      </c>
      <c r="F24" s="827">
        <v>0</v>
      </c>
      <c r="G24" s="827">
        <v>0</v>
      </c>
      <c r="H24" s="827">
        <v>0</v>
      </c>
      <c r="I24" s="827">
        <v>0</v>
      </c>
      <c r="J24" s="827">
        <v>0</v>
      </c>
      <c r="K24" s="827">
        <v>0</v>
      </c>
      <c r="L24" s="508">
        <f>SUM(E24:K24)</f>
        <v>0</v>
      </c>
      <c r="M24" s="828">
        <v>0</v>
      </c>
      <c r="O24" s="152">
        <f>L24*M24</f>
        <v>0</v>
      </c>
      <c r="Q24" s="152">
        <f>L24-O24</f>
        <v>0</v>
      </c>
    </row>
    <row r="25" spans="1:23" s="121" customFormat="1" ht="14.25" customHeight="1" x14ac:dyDescent="0.2">
      <c r="A25" s="105"/>
      <c r="B25" s="102"/>
      <c r="C25" s="113"/>
      <c r="D25" s="114"/>
      <c r="E25" s="163"/>
      <c r="F25" s="501"/>
      <c r="G25" s="501"/>
      <c r="H25" s="501"/>
      <c r="I25" s="501"/>
      <c r="J25" s="501"/>
      <c r="K25" s="501"/>
      <c r="L25" s="501"/>
      <c r="M25" s="688"/>
      <c r="O25" s="154"/>
      <c r="Q25" s="154"/>
    </row>
    <row r="26" spans="1:23" s="121" customFormat="1" ht="14.25" customHeight="1" x14ac:dyDescent="0.2">
      <c r="A26" s="105"/>
      <c r="B26" s="102"/>
      <c r="C26" s="113"/>
      <c r="D26" s="114"/>
      <c r="E26" s="163"/>
      <c r="F26" s="501"/>
      <c r="G26" s="501"/>
      <c r="H26" s="501"/>
      <c r="I26" s="501"/>
      <c r="J26" s="501"/>
      <c r="K26" s="501"/>
      <c r="L26" s="501"/>
      <c r="M26" s="688"/>
      <c r="O26" s="154"/>
      <c r="Q26" s="154"/>
    </row>
    <row r="27" spans="1:23" s="121" customFormat="1" ht="18" customHeight="1" x14ac:dyDescent="0.2">
      <c r="A27" s="106"/>
      <c r="B27" s="495" t="s">
        <v>219</v>
      </c>
      <c r="C27" s="113"/>
      <c r="D27" s="114"/>
      <c r="E27" s="826">
        <v>0</v>
      </c>
      <c r="F27" s="827">
        <v>0</v>
      </c>
      <c r="G27" s="827">
        <v>0</v>
      </c>
      <c r="H27" s="827">
        <v>0</v>
      </c>
      <c r="I27" s="827">
        <v>0</v>
      </c>
      <c r="J27" s="827">
        <v>0</v>
      </c>
      <c r="K27" s="827">
        <v>0</v>
      </c>
      <c r="L27" s="508">
        <f>SUM(E27:K27)</f>
        <v>0</v>
      </c>
      <c r="M27" s="828">
        <v>0</v>
      </c>
      <c r="O27" s="152">
        <f>L27*M27</f>
        <v>0</v>
      </c>
      <c r="Q27" s="152">
        <f>L27-O27</f>
        <v>0</v>
      </c>
    </row>
    <row r="28" spans="1:23" s="121" customFormat="1" ht="21" customHeight="1" x14ac:dyDescent="0.2">
      <c r="A28" s="105"/>
      <c r="B28" s="110"/>
      <c r="C28" s="111"/>
      <c r="D28" s="112"/>
      <c r="E28" s="161"/>
      <c r="F28" s="500"/>
      <c r="G28" s="500"/>
      <c r="H28" s="500"/>
      <c r="I28" s="500"/>
      <c r="J28" s="500"/>
      <c r="K28" s="500"/>
      <c r="L28" s="500"/>
      <c r="M28" s="687"/>
      <c r="O28" s="153"/>
      <c r="Q28" s="153"/>
    </row>
    <row r="29" spans="1:23" s="121" customFormat="1" ht="18" customHeight="1" x14ac:dyDescent="0.2">
      <c r="A29" s="105"/>
      <c r="B29" s="102"/>
      <c r="C29" s="113"/>
      <c r="D29" s="114"/>
      <c r="E29" s="162"/>
      <c r="F29" s="501"/>
      <c r="G29" s="501"/>
      <c r="H29" s="501"/>
      <c r="I29" s="501"/>
      <c r="J29" s="501"/>
      <c r="K29" s="501"/>
      <c r="L29" s="501"/>
      <c r="M29" s="688"/>
      <c r="O29" s="154"/>
      <c r="Q29" s="154"/>
    </row>
    <row r="30" spans="1:23" s="121" customFormat="1" ht="18" customHeight="1" x14ac:dyDescent="0.2">
      <c r="A30" s="494" t="s">
        <v>237</v>
      </c>
      <c r="B30" s="102"/>
      <c r="C30" s="111"/>
      <c r="D30" s="112"/>
      <c r="E30" s="829">
        <v>0</v>
      </c>
      <c r="F30" s="830">
        <v>0</v>
      </c>
      <c r="G30" s="830">
        <v>0</v>
      </c>
      <c r="H30" s="830">
        <v>0</v>
      </c>
      <c r="I30" s="830">
        <v>0</v>
      </c>
      <c r="J30" s="830">
        <v>0</v>
      </c>
      <c r="K30" s="830">
        <v>0</v>
      </c>
      <c r="L30" s="509">
        <f>SUM(E30:K30)</f>
        <v>0</v>
      </c>
      <c r="M30" s="825">
        <v>0</v>
      </c>
      <c r="O30" s="150">
        <f>L30*M30</f>
        <v>0</v>
      </c>
      <c r="Q30" s="150">
        <f>L30-O30</f>
        <v>0</v>
      </c>
    </row>
    <row r="31" spans="1:23" s="121" customFormat="1" ht="18" customHeight="1" x14ac:dyDescent="0.2">
      <c r="A31" s="105"/>
      <c r="B31" s="102"/>
      <c r="C31" s="113"/>
      <c r="D31" s="114"/>
      <c r="E31" s="162"/>
      <c r="F31" s="501"/>
      <c r="G31" s="501"/>
      <c r="H31" s="501"/>
      <c r="I31" s="501"/>
      <c r="J31" s="501"/>
      <c r="K31" s="501"/>
      <c r="L31" s="501"/>
      <c r="M31" s="688"/>
      <c r="O31" s="154"/>
      <c r="Q31" s="154"/>
    </row>
    <row r="32" spans="1:23" s="121" customFormat="1" ht="18" customHeight="1" x14ac:dyDescent="0.2">
      <c r="A32" s="105"/>
      <c r="B32" s="102"/>
      <c r="C32" s="113"/>
      <c r="D32" s="114"/>
      <c r="E32" s="162"/>
      <c r="F32" s="501"/>
      <c r="G32" s="501"/>
      <c r="H32" s="501"/>
      <c r="I32" s="501"/>
      <c r="J32" s="501"/>
      <c r="K32" s="501"/>
      <c r="L32" s="501"/>
      <c r="M32" s="688"/>
      <c r="O32" s="154"/>
      <c r="Q32" s="154"/>
    </row>
    <row r="33" spans="1:17" s="121" customFormat="1" ht="22.5" customHeight="1" x14ac:dyDescent="0.2">
      <c r="A33" s="494" t="s">
        <v>220</v>
      </c>
      <c r="B33" s="102"/>
      <c r="C33" s="113"/>
      <c r="D33" s="114"/>
      <c r="E33" s="829">
        <v>0</v>
      </c>
      <c r="F33" s="830">
        <v>0</v>
      </c>
      <c r="G33" s="830">
        <v>0</v>
      </c>
      <c r="H33" s="830">
        <v>0</v>
      </c>
      <c r="I33" s="830">
        <v>0</v>
      </c>
      <c r="J33" s="830">
        <v>0</v>
      </c>
      <c r="K33" s="830">
        <v>0</v>
      </c>
      <c r="L33" s="509">
        <f>SUM(E33:K33)</f>
        <v>0</v>
      </c>
      <c r="M33" s="825">
        <v>0</v>
      </c>
      <c r="O33" s="150">
        <f>L33*M33</f>
        <v>0</v>
      </c>
      <c r="Q33" s="150">
        <f>L33-O33</f>
        <v>0</v>
      </c>
    </row>
    <row r="34" spans="1:17" s="121" customFormat="1" ht="18" customHeight="1" x14ac:dyDescent="0.2">
      <c r="A34" s="115"/>
      <c r="B34" s="107"/>
      <c r="C34" s="111"/>
      <c r="D34" s="112"/>
      <c r="E34" s="164"/>
      <c r="F34" s="502"/>
      <c r="G34" s="502"/>
      <c r="H34" s="502"/>
      <c r="I34" s="502"/>
      <c r="J34" s="502"/>
      <c r="K34" s="502"/>
      <c r="L34" s="510"/>
      <c r="M34" s="689"/>
      <c r="O34" s="155"/>
      <c r="Q34" s="155"/>
    </row>
    <row r="35" spans="1:17" s="121" customFormat="1" ht="14.25" customHeight="1" thickBot="1" x14ac:dyDescent="0.25">
      <c r="A35" s="115"/>
      <c r="B35" s="116"/>
      <c r="C35" s="117"/>
      <c r="D35" s="112"/>
      <c r="E35" s="112"/>
      <c r="F35" s="507"/>
      <c r="G35" s="507"/>
      <c r="H35" s="507"/>
      <c r="I35" s="507"/>
      <c r="J35" s="507"/>
      <c r="K35" s="507"/>
      <c r="L35" s="503"/>
      <c r="M35" s="690"/>
      <c r="O35" s="156"/>
      <c r="Q35" s="156"/>
    </row>
    <row r="36" spans="1:17" s="121" customFormat="1" ht="21" customHeight="1" thickBot="1" x14ac:dyDescent="0.25">
      <c r="A36" s="118"/>
      <c r="B36" s="119" t="s">
        <v>231</v>
      </c>
      <c r="C36" s="120"/>
      <c r="D36" s="112"/>
      <c r="E36" s="497">
        <f t="shared" ref="E36:L36" si="1">+SUM(E19,E30,E33)</f>
        <v>0</v>
      </c>
      <c r="F36" s="504">
        <f t="shared" si="1"/>
        <v>0</v>
      </c>
      <c r="G36" s="504">
        <f t="shared" si="1"/>
        <v>0</v>
      </c>
      <c r="H36" s="504">
        <f t="shared" si="1"/>
        <v>0</v>
      </c>
      <c r="I36" s="504">
        <f t="shared" si="1"/>
        <v>0</v>
      </c>
      <c r="J36" s="504">
        <f t="shared" si="1"/>
        <v>0</v>
      </c>
      <c r="K36" s="504">
        <f t="shared" si="1"/>
        <v>0</v>
      </c>
      <c r="L36" s="504">
        <f t="shared" si="1"/>
        <v>0</v>
      </c>
      <c r="M36" s="149"/>
      <c r="O36" s="157">
        <f>+SUM(O19,O30,O33)</f>
        <v>0</v>
      </c>
      <c r="Q36" s="157">
        <f>+SUM(Q19,Q30,Q33)</f>
        <v>0</v>
      </c>
    </row>
    <row r="38" spans="1:17" x14ac:dyDescent="0.2">
      <c r="C38" s="492"/>
      <c r="E38" s="493"/>
      <c r="F38" s="493"/>
      <c r="G38" s="493"/>
      <c r="H38" s="493"/>
      <c r="I38" s="493"/>
      <c r="J38" s="493"/>
      <c r="K38" s="493"/>
      <c r="L38" s="493"/>
      <c r="M38" s="493"/>
    </row>
  </sheetData>
  <sheetProtection algorithmName="SHA-512" hashValue="oawEYBYnoICci7aaPCAgki98TNvsHTLb5jXnjFZoFzlwSuCDBiL/HbSseWiAqAbXh0HEnBgzJ2re6CJwuJqL+Q==" saltValue="6uT6HlM9npqzj3xsqnd5zg==" spinCount="100000" sheet="1" objects="1" scenarios="1"/>
  <mergeCells count="4">
    <mergeCell ref="A17:C18"/>
    <mergeCell ref="B5:F13"/>
    <mergeCell ref="E17:L17"/>
    <mergeCell ref="A1:Q1"/>
  </mergeCells>
  <conditionalFormatting sqref="A1:XFD1048576">
    <cfRule type="expression" dxfId="28" priority="1">
      <formula>$W$16="ex-ante"</formula>
    </cfRule>
    <cfRule type="expression" dxfId="27" priority="2">
      <formula>$S$15="elektriciteit"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0975-2D20-4D95-A879-AA50E15E71FF}">
  <sheetPr codeName="Blad10">
    <pageSetUpPr fitToPage="1"/>
  </sheetPr>
  <dimension ref="A1:R29"/>
  <sheetViews>
    <sheetView zoomScale="80" zoomScaleNormal="80" workbookViewId="0">
      <selection activeCell="J19" sqref="J19"/>
    </sheetView>
  </sheetViews>
  <sheetFormatPr defaultColWidth="9.140625" defaultRowHeight="12.75" x14ac:dyDescent="0.2"/>
  <cols>
    <col min="1" max="1" width="8.5703125" style="489" customWidth="1"/>
    <col min="2" max="2" width="47.140625" style="489" customWidth="1"/>
    <col min="3" max="3" width="3.85546875" style="489" customWidth="1"/>
    <col min="4" max="4" width="3.7109375" style="489" customWidth="1"/>
    <col min="5" max="6" width="20.7109375" style="489" customWidth="1"/>
    <col min="7" max="7" width="3.42578125" style="489" customWidth="1"/>
    <col min="8" max="8" width="25.7109375" style="489" customWidth="1"/>
    <col min="9" max="9" width="3.42578125" style="489" customWidth="1"/>
    <col min="10" max="10" width="25.7109375" style="489" customWidth="1"/>
    <col min="11" max="16384" width="9.140625" style="489"/>
  </cols>
  <sheetData>
    <row r="1" spans="1:18" ht="18.75" thickBot="1" x14ac:dyDescent="0.25">
      <c r="A1" s="1074" t="str">
        <f>"TABEL 5F: Werkelijke opbrengsten uit periodieke distributienettarieven in boekjaar "&amp;TITELBLAD!E16&amp;" (gas - injectie)"</f>
        <v>TABEL 5F: Werkelijke opbrengsten uit periodieke distributienettarieven in boekjaar 2022 (gas - injectie)</v>
      </c>
      <c r="B1" s="1075"/>
      <c r="C1" s="1075"/>
      <c r="D1" s="1075"/>
      <c r="E1" s="1075"/>
      <c r="F1" s="1075"/>
      <c r="G1" s="1075"/>
      <c r="H1" s="1075"/>
      <c r="I1" s="1075"/>
      <c r="J1" s="1076"/>
      <c r="K1" s="511"/>
      <c r="L1" s="512"/>
      <c r="M1" s="512"/>
      <c r="N1" s="512"/>
      <c r="O1" s="512"/>
      <c r="P1" s="512"/>
      <c r="Q1" s="512"/>
      <c r="R1" s="512"/>
    </row>
    <row r="2" spans="1:18" x14ac:dyDescent="0.2">
      <c r="J2" s="512"/>
      <c r="K2" s="512"/>
      <c r="L2" s="512"/>
      <c r="M2" s="512"/>
      <c r="N2" s="512"/>
      <c r="O2" s="512"/>
      <c r="P2" s="512"/>
      <c r="Q2" s="512"/>
      <c r="R2" s="512"/>
    </row>
    <row r="3" spans="1:18" s="166" customFormat="1" x14ac:dyDescent="0.2">
      <c r="J3" s="291"/>
      <c r="K3" s="291"/>
      <c r="L3" s="291"/>
      <c r="M3" s="291"/>
      <c r="N3" s="291"/>
      <c r="O3" s="291"/>
      <c r="P3" s="291"/>
      <c r="Q3" s="291"/>
      <c r="R3" s="291"/>
    </row>
    <row r="4" spans="1:18" s="166" customFormat="1" x14ac:dyDescent="0.2">
      <c r="B4" s="353" t="s">
        <v>99</v>
      </c>
      <c r="J4" s="291"/>
      <c r="K4" s="291"/>
      <c r="L4" s="291"/>
      <c r="M4" s="291"/>
      <c r="N4" s="291"/>
      <c r="O4" s="291"/>
      <c r="P4" s="291"/>
      <c r="Q4" s="291"/>
      <c r="R4" s="291"/>
    </row>
    <row r="5" spans="1:18" s="166" customFormat="1" ht="12.6" customHeight="1" x14ac:dyDescent="0.2">
      <c r="B5" s="1154" t="s">
        <v>228</v>
      </c>
      <c r="C5" s="1154"/>
      <c r="D5" s="1154"/>
      <c r="E5" s="1154"/>
      <c r="F5" s="1154"/>
      <c r="J5" s="291"/>
      <c r="K5" s="291"/>
      <c r="L5" s="291"/>
      <c r="M5" s="291"/>
      <c r="N5" s="291"/>
      <c r="O5" s="291"/>
      <c r="P5" s="291"/>
      <c r="Q5" s="291"/>
      <c r="R5" s="291"/>
    </row>
    <row r="6" spans="1:18" s="166" customFormat="1" ht="12.6" customHeight="1" x14ac:dyDescent="0.2">
      <c r="B6" s="1154"/>
      <c r="C6" s="1154"/>
      <c r="D6" s="1154"/>
      <c r="E6" s="1154"/>
      <c r="F6" s="1154"/>
      <c r="J6" s="291"/>
      <c r="K6" s="291"/>
      <c r="L6" s="203"/>
      <c r="M6" s="203"/>
      <c r="N6" s="203"/>
      <c r="O6" s="203"/>
      <c r="P6" s="203"/>
      <c r="Q6" s="291"/>
      <c r="R6" s="291"/>
    </row>
    <row r="7" spans="1:18" s="166" customFormat="1" ht="12.6" customHeight="1" x14ac:dyDescent="0.2">
      <c r="B7" s="1154"/>
      <c r="C7" s="1154"/>
      <c r="D7" s="1154"/>
      <c r="E7" s="1154"/>
      <c r="F7" s="1154"/>
      <c r="J7" s="291"/>
      <c r="K7" s="291"/>
      <c r="L7" s="203"/>
      <c r="M7" s="203"/>
      <c r="N7" s="203"/>
      <c r="O7" s="203"/>
      <c r="P7" s="203"/>
      <c r="Q7" s="291"/>
      <c r="R7" s="291"/>
    </row>
    <row r="8" spans="1:18" s="166" customFormat="1" ht="12.6" customHeight="1" x14ac:dyDescent="0.2">
      <c r="B8" s="1154"/>
      <c r="C8" s="1154"/>
      <c r="D8" s="1154"/>
      <c r="E8" s="1154"/>
      <c r="F8" s="1154"/>
      <c r="J8" s="291"/>
      <c r="K8" s="291"/>
      <c r="L8" s="203"/>
      <c r="M8" s="203"/>
      <c r="N8" s="203"/>
      <c r="O8" s="203"/>
      <c r="P8" s="203"/>
      <c r="Q8" s="291"/>
      <c r="R8" s="291"/>
    </row>
    <row r="9" spans="1:18" s="166" customFormat="1" ht="12.6" customHeight="1" x14ac:dyDescent="0.2">
      <c r="B9" s="1154"/>
      <c r="C9" s="1154"/>
      <c r="D9" s="1154"/>
      <c r="E9" s="1154"/>
      <c r="F9" s="1154"/>
      <c r="J9" s="291"/>
      <c r="K9" s="291"/>
      <c r="L9" s="203"/>
      <c r="M9" s="203"/>
      <c r="N9" s="203"/>
      <c r="O9" s="203"/>
      <c r="P9" s="203"/>
      <c r="Q9" s="291"/>
      <c r="R9" s="291"/>
    </row>
    <row r="10" spans="1:18" s="166" customFormat="1" ht="12.6" customHeight="1" x14ac:dyDescent="0.2">
      <c r="B10" s="1154"/>
      <c r="C10" s="1154"/>
      <c r="D10" s="1154"/>
      <c r="E10" s="1154"/>
      <c r="F10" s="1154"/>
      <c r="J10" s="291"/>
      <c r="K10" s="291"/>
      <c r="L10" s="203"/>
      <c r="M10" s="203"/>
      <c r="N10" s="203"/>
      <c r="O10" s="203"/>
      <c r="P10" s="203"/>
      <c r="Q10" s="291"/>
      <c r="R10" s="291"/>
    </row>
    <row r="11" spans="1:18" s="166" customFormat="1" ht="12.6" customHeight="1" x14ac:dyDescent="0.2">
      <c r="B11" s="1154"/>
      <c r="C11" s="1154"/>
      <c r="D11" s="1154"/>
      <c r="E11" s="1154"/>
      <c r="F11" s="1154"/>
      <c r="J11" s="291"/>
      <c r="K11" s="291"/>
      <c r="L11" s="203"/>
      <c r="M11" s="203"/>
      <c r="N11" s="203"/>
      <c r="O11" s="203"/>
      <c r="P11" s="203"/>
      <c r="Q11" s="291"/>
      <c r="R11" s="291"/>
    </row>
    <row r="12" spans="1:18" s="166" customFormat="1" ht="12.6" customHeight="1" x14ac:dyDescent="0.2">
      <c r="B12" s="1154"/>
      <c r="C12" s="1154"/>
      <c r="D12" s="1154"/>
      <c r="E12" s="1154"/>
      <c r="F12" s="1154"/>
      <c r="J12" s="291"/>
      <c r="K12" s="291"/>
      <c r="L12" s="203"/>
      <c r="M12" s="203"/>
      <c r="N12" s="203"/>
      <c r="O12" s="203"/>
      <c r="P12" s="203"/>
      <c r="Q12" s="291"/>
      <c r="R12" s="291"/>
    </row>
    <row r="13" spans="1:18" s="166" customFormat="1" ht="34.5" customHeight="1" x14ac:dyDescent="0.2">
      <c r="B13" s="1154"/>
      <c r="C13" s="1154"/>
      <c r="D13" s="1154"/>
      <c r="E13" s="1154"/>
      <c r="F13" s="1154"/>
      <c r="J13" s="291"/>
      <c r="K13" s="291"/>
      <c r="L13" s="203"/>
      <c r="M13" s="203"/>
      <c r="N13" s="203"/>
      <c r="O13" s="203"/>
      <c r="P13" s="203"/>
      <c r="Q13" s="291"/>
      <c r="R13" s="291"/>
    </row>
    <row r="14" spans="1:18" s="166" customFormat="1" x14ac:dyDescent="0.2">
      <c r="J14" s="291"/>
      <c r="K14" s="291"/>
      <c r="L14" s="203"/>
      <c r="M14" s="203"/>
      <c r="N14" s="203"/>
      <c r="O14" s="203"/>
      <c r="P14" s="203"/>
      <c r="Q14" s="291"/>
      <c r="R14" s="291"/>
    </row>
    <row r="15" spans="1:18" x14ac:dyDescent="0.2">
      <c r="J15" s="512"/>
      <c r="K15" s="512"/>
      <c r="L15" s="490" t="str">
        <f>+TITELBLAD!C10</f>
        <v>gas</v>
      </c>
      <c r="M15" s="490"/>
      <c r="N15" s="490"/>
      <c r="O15" s="490"/>
      <c r="P15" s="490"/>
      <c r="Q15" s="512"/>
      <c r="R15" s="512"/>
    </row>
    <row r="16" spans="1:18" ht="15" customHeight="1" thickBot="1" x14ac:dyDescent="0.25">
      <c r="K16" s="490"/>
      <c r="L16" s="490" t="str">
        <f>+TITELBLAD!B16</f>
        <v>Rapportering over boekjaar:</v>
      </c>
      <c r="M16" s="490"/>
      <c r="N16" s="490"/>
      <c r="O16" s="490">
        <f>+TITELBLAD!E16</f>
        <v>2022</v>
      </c>
      <c r="P16" s="490" t="str">
        <f>+TITELBLAD!F16</f>
        <v>ex-ante</v>
      </c>
    </row>
    <row r="17" spans="1:16" ht="99.75" customHeight="1" thickBot="1" x14ac:dyDescent="0.25">
      <c r="A17" s="1166"/>
      <c r="B17" s="1167"/>
      <c r="C17" s="1168"/>
      <c r="D17" s="210"/>
      <c r="E17" s="211" t="str">
        <f>"Werkelijke opbrengsten uit periodieke distributienettarieven in boekjaar "&amp;TITELBLAD!E16&amp;" (gas-injectie)"</f>
        <v>Werkelijke opbrengsten uit periodieke distributienettarieven in boekjaar 2022 (gas-injectie)</v>
      </c>
      <c r="F17" s="710" t="s">
        <v>94</v>
      </c>
      <c r="H17" s="209" t="str">
        <f>"Werkelijke opbrengsten m.b.t. endogene kosten in boekjaar "&amp;TITELBLAD!E16&amp;" (gas-injectie)"</f>
        <v>Werkelijke opbrengsten m.b.t. endogene kosten in boekjaar 2022 (gas-injectie)</v>
      </c>
      <c r="J17" s="209" t="str">
        <f>"Werkelijke opbrengsten m.b.t. exogene kosten in boekjaar "&amp;TITELBLAD!E16&amp;" (gas-injectie)"</f>
        <v>Werkelijke opbrengsten m.b.t. exogene kosten in boekjaar 2022 (gas-injectie)</v>
      </c>
      <c r="K17" s="490"/>
      <c r="L17" s="490"/>
      <c r="M17" s="490"/>
      <c r="N17" s="490"/>
      <c r="O17" s="490"/>
      <c r="P17" s="490"/>
    </row>
    <row r="18" spans="1:16" s="121" customFormat="1" ht="23.45" customHeight="1" thickBot="1" x14ac:dyDescent="0.25">
      <c r="A18" s="1169"/>
      <c r="B18" s="1170"/>
      <c r="C18" s="1171"/>
      <c r="D18" s="210"/>
      <c r="E18" s="713" t="s">
        <v>20</v>
      </c>
      <c r="F18" s="714"/>
      <c r="G18" s="709"/>
      <c r="H18" s="683" t="s">
        <v>372</v>
      </c>
      <c r="I18" s="709"/>
      <c r="J18" s="683" t="s">
        <v>373</v>
      </c>
      <c r="L18" s="490"/>
      <c r="M18" s="490"/>
      <c r="N18" s="490"/>
      <c r="O18" s="490"/>
      <c r="P18" s="490"/>
    </row>
    <row r="19" spans="1:16" s="121" customFormat="1" ht="18.75" customHeight="1" x14ac:dyDescent="0.2">
      <c r="A19" s="494" t="s">
        <v>217</v>
      </c>
      <c r="B19" s="102"/>
      <c r="C19" s="103"/>
      <c r="D19" s="104"/>
      <c r="E19" s="145">
        <f>+SUM(E21,E24)</f>
        <v>0</v>
      </c>
      <c r="F19" s="685"/>
      <c r="H19" s="150">
        <f>+SUM(H21,H24)</f>
        <v>0</v>
      </c>
      <c r="J19" s="150">
        <f>+SUM(J21,J24)</f>
        <v>0</v>
      </c>
      <c r="L19" s="490"/>
      <c r="M19" s="490"/>
      <c r="N19" s="490"/>
      <c r="O19" s="490"/>
      <c r="P19" s="490"/>
    </row>
    <row r="20" spans="1:16" s="491" customFormat="1" ht="18" customHeight="1" x14ac:dyDescent="0.2">
      <c r="A20" s="105"/>
      <c r="B20" s="102"/>
      <c r="C20" s="103"/>
      <c r="D20" s="104"/>
      <c r="E20" s="146"/>
      <c r="F20" s="686"/>
      <c r="H20" s="151"/>
      <c r="J20" s="151"/>
      <c r="L20" s="513"/>
      <c r="M20" s="513"/>
      <c r="N20" s="513"/>
      <c r="O20" s="513"/>
      <c r="P20" s="513"/>
    </row>
    <row r="21" spans="1:16" s="121" customFormat="1" ht="19.5" customHeight="1" x14ac:dyDescent="0.2">
      <c r="A21" s="106"/>
      <c r="B21" s="495" t="s">
        <v>229</v>
      </c>
      <c r="C21" s="111"/>
      <c r="D21" s="112"/>
      <c r="E21" s="831">
        <v>0</v>
      </c>
      <c r="F21" s="832">
        <v>0</v>
      </c>
      <c r="H21" s="152">
        <f>+E21*F21</f>
        <v>0</v>
      </c>
      <c r="J21" s="152">
        <f>+E21-H21</f>
        <v>0</v>
      </c>
    </row>
    <row r="22" spans="1:16" s="121" customFormat="1" ht="14.25" customHeight="1" x14ac:dyDescent="0.2">
      <c r="A22" s="105"/>
      <c r="B22" s="102"/>
      <c r="C22" s="113"/>
      <c r="D22" s="114"/>
      <c r="E22" s="514"/>
      <c r="F22" s="686"/>
      <c r="H22" s="154"/>
      <c r="J22" s="154"/>
    </row>
    <row r="23" spans="1:16" s="121" customFormat="1" ht="14.25" customHeight="1" x14ac:dyDescent="0.2">
      <c r="A23" s="105"/>
      <c r="B23" s="102"/>
      <c r="C23" s="113"/>
      <c r="D23" s="114"/>
      <c r="E23" s="514"/>
      <c r="F23" s="686"/>
      <c r="H23" s="154"/>
      <c r="J23" s="154"/>
    </row>
    <row r="24" spans="1:16" s="121" customFormat="1" ht="18" customHeight="1" x14ac:dyDescent="0.2">
      <c r="A24" s="106"/>
      <c r="B24" s="495" t="s">
        <v>230</v>
      </c>
      <c r="C24" s="113"/>
      <c r="D24" s="114"/>
      <c r="E24" s="831">
        <v>0</v>
      </c>
      <c r="F24" s="832">
        <v>0</v>
      </c>
      <c r="H24" s="152">
        <f>+E24*F24</f>
        <v>0</v>
      </c>
      <c r="J24" s="152">
        <f>+E24-H24</f>
        <v>0</v>
      </c>
    </row>
    <row r="25" spans="1:16" s="121" customFormat="1" ht="18" customHeight="1" x14ac:dyDescent="0.2">
      <c r="A25" s="115"/>
      <c r="B25" s="107"/>
      <c r="C25" s="111"/>
      <c r="D25" s="112"/>
      <c r="E25" s="515"/>
      <c r="F25" s="711"/>
      <c r="H25" s="155"/>
      <c r="J25" s="155"/>
    </row>
    <row r="26" spans="1:16" s="121" customFormat="1" ht="14.25" customHeight="1" thickBot="1" x14ac:dyDescent="0.25">
      <c r="A26" s="115"/>
      <c r="B26" s="116"/>
      <c r="C26" s="117"/>
      <c r="D26" s="112"/>
      <c r="E26" s="147"/>
      <c r="F26" s="690"/>
      <c r="H26" s="156"/>
      <c r="J26" s="156"/>
    </row>
    <row r="27" spans="1:16" s="121" customFormat="1" ht="21" customHeight="1" thickBot="1" x14ac:dyDescent="0.25">
      <c r="A27" s="118"/>
      <c r="B27" s="119" t="s">
        <v>232</v>
      </c>
      <c r="C27" s="120"/>
      <c r="D27" s="112"/>
      <c r="E27" s="148">
        <f>+E19</f>
        <v>0</v>
      </c>
      <c r="F27" s="712"/>
      <c r="H27" s="157">
        <f>+H19</f>
        <v>0</v>
      </c>
      <c r="J27" s="157">
        <f>+J19</f>
        <v>0</v>
      </c>
    </row>
    <row r="29" spans="1:16" x14ac:dyDescent="0.2">
      <c r="C29" s="492"/>
      <c r="E29" s="493"/>
      <c r="F29" s="493"/>
    </row>
  </sheetData>
  <sheetProtection algorithmName="SHA-512" hashValue="ga2qZa1KM7TLwe7kONI8SwQFSc6zfx2+mMScY6SG1r8IhGlDD+JV0+uUkY+gs+FVlyFoQCIrLLzoF6fEY2W/EQ==" saltValue="IJR9GugQytSd87ogrS/vHA==" spinCount="100000" sheet="1" objects="1" scenarios="1"/>
  <mergeCells count="3">
    <mergeCell ref="A17:C18"/>
    <mergeCell ref="B5:F13"/>
    <mergeCell ref="A1:J1"/>
  </mergeCells>
  <conditionalFormatting sqref="A1:XFD1048576">
    <cfRule type="expression" dxfId="26" priority="21">
      <formula>$P$16="ex-ante"</formula>
    </cfRule>
    <cfRule type="expression" dxfId="25" priority="22">
      <formula>$L$15="elektriciteit"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pageSetUpPr fitToPage="1"/>
  </sheetPr>
  <dimension ref="A1:AE128"/>
  <sheetViews>
    <sheetView zoomScale="80" zoomScaleNormal="80" zoomScaleSheetLayoutView="80" workbookViewId="0">
      <selection activeCell="E54" sqref="E54"/>
    </sheetView>
  </sheetViews>
  <sheetFormatPr defaultColWidth="11.42578125" defaultRowHeight="12.75" x14ac:dyDescent="0.2"/>
  <cols>
    <col min="1" max="1" width="25.42578125" style="177" customWidth="1"/>
    <col min="2" max="2" width="28.28515625" style="177" customWidth="1"/>
    <col min="3" max="10" width="19.85546875" style="177" customWidth="1"/>
    <col min="11" max="11" width="2.28515625" style="177" customWidth="1"/>
    <col min="12" max="12" width="17.7109375" style="177" customWidth="1"/>
    <col min="13" max="13" width="2" style="177" customWidth="1"/>
    <col min="14" max="14" width="17.7109375" style="177" customWidth="1"/>
    <col min="15" max="15" width="28.7109375" style="177" bestFit="1" customWidth="1"/>
    <col min="16" max="16" width="14" style="177" customWidth="1"/>
    <col min="17" max="17" width="11.42578125" style="177"/>
    <col min="18" max="18" width="12.28515625" style="177" bestFit="1" customWidth="1"/>
    <col min="19" max="16384" width="11.42578125" style="177"/>
  </cols>
  <sheetData>
    <row r="1" spans="1:19" ht="21.75" customHeight="1" thickBot="1" x14ac:dyDescent="0.25">
      <c r="A1" s="1151" t="s">
        <v>102</v>
      </c>
      <c r="B1" s="1152"/>
      <c r="C1" s="1152"/>
      <c r="D1" s="1152"/>
      <c r="E1" s="1152"/>
      <c r="F1" s="1152"/>
      <c r="G1" s="1152"/>
      <c r="H1" s="1152"/>
      <c r="I1" s="1152"/>
      <c r="J1" s="1152"/>
      <c r="K1" s="1152"/>
      <c r="L1" s="1153"/>
      <c r="M1" s="212"/>
      <c r="N1" s="291"/>
      <c r="O1" s="531"/>
      <c r="P1" s="229"/>
      <c r="Q1" s="229"/>
      <c r="R1" s="223"/>
      <c r="S1" s="223"/>
    </row>
    <row r="2" spans="1:19" x14ac:dyDescent="0.2">
      <c r="A2" s="225"/>
      <c r="B2" s="225"/>
      <c r="C2" s="225"/>
      <c r="D2" s="225"/>
      <c r="E2" s="225"/>
      <c r="F2" s="225"/>
      <c r="G2" s="225"/>
      <c r="H2" s="225"/>
      <c r="I2" s="225"/>
      <c r="J2" s="225"/>
      <c r="K2" s="225"/>
      <c r="L2" s="225"/>
      <c r="M2" s="212"/>
      <c r="N2" s="291"/>
      <c r="O2" s="280"/>
      <c r="P2" s="229"/>
      <c r="Q2" s="229"/>
      <c r="R2" s="223"/>
      <c r="S2" s="223"/>
    </row>
    <row r="3" spans="1:19" x14ac:dyDescent="0.2">
      <c r="A3" s="225"/>
      <c r="B3" s="225"/>
      <c r="C3" s="225"/>
      <c r="D3" s="225"/>
      <c r="E3" s="225"/>
      <c r="F3" s="225"/>
      <c r="G3" s="225"/>
      <c r="H3" s="225"/>
      <c r="I3" s="225"/>
      <c r="J3" s="225"/>
      <c r="K3" s="225"/>
      <c r="L3" s="225"/>
      <c r="M3" s="212"/>
      <c r="N3" s="291"/>
      <c r="O3" s="280" t="str">
        <f>+TITELBLAD!B16</f>
        <v>Rapportering over boekjaar:</v>
      </c>
      <c r="P3" s="229">
        <f>+TITELBLAD!E16</f>
        <v>2022</v>
      </c>
      <c r="Q3" s="229" t="str">
        <f>+TITELBLAD!F16</f>
        <v>ex-ante</v>
      </c>
      <c r="R3" s="223"/>
      <c r="S3" s="223"/>
    </row>
    <row r="4" spans="1:19" s="166" customFormat="1" ht="16.5" x14ac:dyDescent="0.2">
      <c r="A4" s="216"/>
      <c r="C4" s="1094" t="str">
        <f>+TITELBLAD!C7</f>
        <v>NAAM DNB</v>
      </c>
      <c r="D4" s="1095"/>
      <c r="E4" s="1095"/>
      <c r="F4" s="1095"/>
      <c r="G4" s="1095"/>
      <c r="H4" s="1095"/>
      <c r="I4" s="1095"/>
      <c r="J4" s="1096"/>
      <c r="K4" s="212"/>
      <c r="M4" s="203"/>
      <c r="N4" s="223"/>
      <c r="O4" s="229"/>
      <c r="P4" s="203"/>
      <c r="Q4" s="203"/>
      <c r="R4" s="291"/>
      <c r="S4" s="291"/>
    </row>
    <row r="5" spans="1:19" s="166" customFormat="1" ht="16.5" x14ac:dyDescent="0.2">
      <c r="A5" s="216"/>
      <c r="C5" s="1094" t="str">
        <f>+TITELBLAD!C10</f>
        <v>gas</v>
      </c>
      <c r="D5" s="1095"/>
      <c r="E5" s="1095"/>
      <c r="F5" s="1095"/>
      <c r="G5" s="1095"/>
      <c r="H5" s="1095"/>
      <c r="I5" s="1095"/>
      <c r="J5" s="1096"/>
      <c r="K5" s="212"/>
      <c r="M5" s="203"/>
      <c r="N5" s="291"/>
      <c r="O5" s="203"/>
      <c r="P5" s="203"/>
      <c r="Q5" s="203"/>
      <c r="R5" s="291"/>
      <c r="S5" s="291"/>
    </row>
    <row r="6" spans="1:19" s="166" customFormat="1" ht="17.25" thickBot="1" x14ac:dyDescent="0.25">
      <c r="A6" s="216"/>
      <c r="C6" s="1192" t="s">
        <v>19</v>
      </c>
      <c r="D6" s="1193"/>
      <c r="E6" s="1193"/>
      <c r="F6" s="1193"/>
      <c r="G6" s="1193"/>
      <c r="H6" s="1193"/>
      <c r="I6" s="1193"/>
      <c r="J6" s="1194"/>
      <c r="K6" s="212"/>
      <c r="N6" s="291"/>
      <c r="O6" s="203"/>
      <c r="P6" s="203"/>
      <c r="Q6" s="203"/>
      <c r="R6" s="291"/>
      <c r="S6" s="291"/>
    </row>
    <row r="7" spans="1:19" s="166" customFormat="1" ht="44.45" customHeight="1" thickBot="1" x14ac:dyDescent="0.25">
      <c r="A7" s="1181"/>
      <c r="B7" s="1182"/>
      <c r="C7" s="764">
        <v>2017</v>
      </c>
      <c r="D7" s="764">
        <v>2018</v>
      </c>
      <c r="E7" s="764">
        <v>2019</v>
      </c>
      <c r="F7" s="764">
        <v>2020</v>
      </c>
      <c r="G7" s="764">
        <v>2021</v>
      </c>
      <c r="H7" s="764">
        <v>2022</v>
      </c>
      <c r="I7" s="764">
        <v>2023</v>
      </c>
      <c r="J7" s="765">
        <v>2024</v>
      </c>
      <c r="K7" s="212"/>
      <c r="N7" s="291"/>
      <c r="O7" s="203"/>
      <c r="P7" s="203"/>
      <c r="Q7" s="203"/>
      <c r="R7" s="291"/>
      <c r="S7" s="291"/>
    </row>
    <row r="8" spans="1:19" s="166" customFormat="1" ht="29.1" customHeight="1" thickBot="1" x14ac:dyDescent="0.25">
      <c r="A8" s="1145" t="s">
        <v>121</v>
      </c>
      <c r="B8" s="1146"/>
      <c r="C8" s="680">
        <f t="shared" ref="C8:J8" si="0">SUM(C9:C16)</f>
        <v>0</v>
      </c>
      <c r="D8" s="680">
        <f t="shared" si="0"/>
        <v>0</v>
      </c>
      <c r="E8" s="680">
        <f t="shared" si="0"/>
        <v>0</v>
      </c>
      <c r="F8" s="680">
        <f t="shared" si="0"/>
        <v>0</v>
      </c>
      <c r="G8" s="680">
        <f t="shared" si="0"/>
        <v>0</v>
      </c>
      <c r="H8" s="680">
        <f t="shared" si="0"/>
        <v>0</v>
      </c>
      <c r="I8" s="680">
        <f t="shared" si="0"/>
        <v>0</v>
      </c>
      <c r="J8" s="681">
        <f t="shared" si="0"/>
        <v>0</v>
      </c>
      <c r="K8" s="212"/>
      <c r="N8" s="291"/>
      <c r="O8" s="291"/>
      <c r="P8" s="291"/>
      <c r="Q8" s="291"/>
      <c r="R8" s="291"/>
      <c r="S8" s="291"/>
    </row>
    <row r="9" spans="1:19" s="166" customFormat="1" ht="29.1" customHeight="1" x14ac:dyDescent="0.2">
      <c r="A9" s="1185" t="s">
        <v>89</v>
      </c>
      <c r="B9" s="1186"/>
      <c r="C9" s="754">
        <f>+T5A!E9</f>
        <v>0</v>
      </c>
      <c r="D9" s="754">
        <f>+T5A!F9</f>
        <v>0</v>
      </c>
      <c r="E9" s="754">
        <f>+T5A!G9</f>
        <v>0</v>
      </c>
      <c r="F9" s="814">
        <v>0</v>
      </c>
      <c r="G9" s="814">
        <v>0</v>
      </c>
      <c r="H9" s="814">
        <v>0</v>
      </c>
      <c r="I9" s="814">
        <v>0</v>
      </c>
      <c r="J9" s="815">
        <v>0</v>
      </c>
      <c r="K9" s="212"/>
      <c r="N9" s="291"/>
      <c r="O9" s="291"/>
      <c r="P9" s="291"/>
      <c r="Q9" s="291"/>
      <c r="R9" s="291"/>
      <c r="S9" s="291"/>
    </row>
    <row r="10" spans="1:19" s="166" customFormat="1" ht="29.1" customHeight="1" x14ac:dyDescent="0.2">
      <c r="A10" s="1177" t="s">
        <v>331</v>
      </c>
      <c r="B10" s="1178"/>
      <c r="C10" s="520"/>
      <c r="D10" s="520"/>
      <c r="E10" s="520"/>
      <c r="F10" s="335"/>
      <c r="G10" s="335"/>
      <c r="H10" s="207">
        <v>0</v>
      </c>
      <c r="I10" s="207">
        <v>0</v>
      </c>
      <c r="J10" s="816">
        <v>0</v>
      </c>
      <c r="K10" s="212"/>
      <c r="N10" s="291"/>
      <c r="O10" s="291"/>
      <c r="P10" s="291"/>
      <c r="Q10" s="291"/>
      <c r="R10" s="291"/>
      <c r="S10" s="291"/>
    </row>
    <row r="11" spans="1:19" s="166" customFormat="1" ht="29.1" customHeight="1" x14ac:dyDescent="0.2">
      <c r="A11" s="1177" t="s">
        <v>90</v>
      </c>
      <c r="B11" s="1178"/>
      <c r="C11" s="247">
        <f>+T5A!E11</f>
        <v>0</v>
      </c>
      <c r="D11" s="247">
        <f>+T5A!F11</f>
        <v>0</v>
      </c>
      <c r="E11" s="247">
        <f>+T5A!G11</f>
        <v>0</v>
      </c>
      <c r="F11" s="207">
        <v>0</v>
      </c>
      <c r="G11" s="207">
        <v>0</v>
      </c>
      <c r="H11" s="207">
        <v>0</v>
      </c>
      <c r="I11" s="207">
        <v>0</v>
      </c>
      <c r="J11" s="816">
        <v>0</v>
      </c>
      <c r="K11" s="212"/>
    </row>
    <row r="12" spans="1:19" s="166" customFormat="1" ht="29.1" customHeight="1" x14ac:dyDescent="0.2">
      <c r="A12" s="1177" t="s">
        <v>332</v>
      </c>
      <c r="B12" s="1178"/>
      <c r="C12" s="247">
        <f>+T5A!E12</f>
        <v>0</v>
      </c>
      <c r="D12" s="247">
        <f>+T5A!F12</f>
        <v>0</v>
      </c>
      <c r="E12" s="247">
        <f>+T5A!G12</f>
        <v>0</v>
      </c>
      <c r="F12" s="207">
        <v>0</v>
      </c>
      <c r="G12" s="207">
        <v>0</v>
      </c>
      <c r="H12" s="207">
        <v>0</v>
      </c>
      <c r="I12" s="207">
        <v>0</v>
      </c>
      <c r="J12" s="816">
        <v>0</v>
      </c>
      <c r="K12" s="212"/>
    </row>
    <row r="13" spans="1:19" s="166" customFormat="1" ht="29.1" customHeight="1" x14ac:dyDescent="0.2">
      <c r="A13" s="1177" t="s">
        <v>168</v>
      </c>
      <c r="B13" s="1178"/>
      <c r="C13" s="207">
        <v>0</v>
      </c>
      <c r="D13" s="207">
        <v>0</v>
      </c>
      <c r="E13" s="207">
        <v>0</v>
      </c>
      <c r="F13" s="207">
        <v>0</v>
      </c>
      <c r="G13" s="207">
        <v>0</v>
      </c>
      <c r="H13" s="207">
        <v>0</v>
      </c>
      <c r="I13" s="207">
        <v>0</v>
      </c>
      <c r="J13" s="816">
        <v>0</v>
      </c>
      <c r="K13" s="212"/>
    </row>
    <row r="14" spans="1:19" s="166" customFormat="1" ht="29.1" customHeight="1" x14ac:dyDescent="0.2">
      <c r="A14" s="1177" t="s">
        <v>91</v>
      </c>
      <c r="B14" s="1178"/>
      <c r="C14" s="247">
        <f>+T5A!E14</f>
        <v>0</v>
      </c>
      <c r="D14" s="247">
        <f>+T5A!F14</f>
        <v>0</v>
      </c>
      <c r="E14" s="247">
        <f>+T5A!G14</f>
        <v>0</v>
      </c>
      <c r="F14" s="207">
        <v>0</v>
      </c>
      <c r="G14" s="207">
        <v>0</v>
      </c>
      <c r="H14" s="207">
        <v>0</v>
      </c>
      <c r="I14" s="207">
        <v>0</v>
      </c>
      <c r="J14" s="816">
        <v>0</v>
      </c>
      <c r="K14" s="212"/>
    </row>
    <row r="15" spans="1:19" s="166" customFormat="1" ht="29.1" customHeight="1" x14ac:dyDescent="0.2">
      <c r="A15" s="1177" t="s">
        <v>92</v>
      </c>
      <c r="B15" s="1178"/>
      <c r="C15" s="247">
        <f>+T5A!E15</f>
        <v>0</v>
      </c>
      <c r="D15" s="247">
        <f>+T5A!F15</f>
        <v>0</v>
      </c>
      <c r="E15" s="247">
        <f>+T5A!G15</f>
        <v>0</v>
      </c>
      <c r="F15" s="207">
        <v>0</v>
      </c>
      <c r="G15" s="207">
        <v>0</v>
      </c>
      <c r="H15" s="335"/>
      <c r="I15" s="335"/>
      <c r="J15" s="669"/>
      <c r="K15" s="212"/>
    </row>
    <row r="16" spans="1:19" s="166" customFormat="1" ht="29.1" customHeight="1" thickBot="1" x14ac:dyDescent="0.25">
      <c r="A16" s="1179" t="s">
        <v>359</v>
      </c>
      <c r="B16" s="1180"/>
      <c r="C16" s="719">
        <f>+T5A!E16</f>
        <v>0</v>
      </c>
      <c r="D16" s="719">
        <f>+T5A!F16</f>
        <v>0</v>
      </c>
      <c r="E16" s="719">
        <f>+T5A!G16</f>
        <v>0</v>
      </c>
      <c r="F16" s="817">
        <v>0</v>
      </c>
      <c r="G16" s="817">
        <v>0</v>
      </c>
      <c r="H16" s="817">
        <v>0</v>
      </c>
      <c r="I16" s="817">
        <v>0</v>
      </c>
      <c r="J16" s="818">
        <v>0</v>
      </c>
      <c r="K16" s="212"/>
    </row>
    <row r="17" spans="1:11" ht="13.5" thickBot="1" x14ac:dyDescent="0.25"/>
    <row r="18" spans="1:11" s="166" customFormat="1" ht="66" customHeight="1" thickBot="1" x14ac:dyDescent="0.25">
      <c r="A18" s="1145" t="s">
        <v>234</v>
      </c>
      <c r="B18" s="1146"/>
      <c r="C18" s="680"/>
      <c r="D18" s="680"/>
      <c r="E18" s="680"/>
      <c r="F18" s="680"/>
      <c r="G18" s="680"/>
      <c r="H18" s="680"/>
      <c r="I18" s="680"/>
      <c r="J18" s="681"/>
      <c r="K18" s="212"/>
    </row>
    <row r="19" spans="1:11" s="166" customFormat="1" ht="24" customHeight="1" thickBot="1" x14ac:dyDescent="0.25">
      <c r="A19" s="1183" t="s">
        <v>340</v>
      </c>
      <c r="B19" s="1184"/>
      <c r="C19" s="834">
        <v>0</v>
      </c>
      <c r="D19" s="834">
        <v>0</v>
      </c>
      <c r="E19" s="834">
        <v>0</v>
      </c>
      <c r="F19" s="834">
        <v>0</v>
      </c>
      <c r="G19" s="834">
        <v>0</v>
      </c>
      <c r="H19" s="834">
        <v>0</v>
      </c>
      <c r="I19" s="834">
        <v>0</v>
      </c>
      <c r="J19" s="835">
        <v>0</v>
      </c>
      <c r="K19" s="212"/>
    </row>
    <row r="20" spans="1:11" ht="13.5" thickBot="1" x14ac:dyDescent="0.25"/>
    <row r="21" spans="1:11" s="166" customFormat="1" ht="85.5" customHeight="1" thickBot="1" x14ac:dyDescent="0.25">
      <c r="A21" s="1145" t="s">
        <v>235</v>
      </c>
      <c r="B21" s="1146"/>
      <c r="C21" s="680"/>
      <c r="D21" s="680"/>
      <c r="E21" s="680"/>
      <c r="F21" s="680"/>
      <c r="G21" s="680"/>
      <c r="H21" s="680"/>
      <c r="I21" s="680"/>
      <c r="J21" s="681"/>
      <c r="K21" s="212"/>
    </row>
    <row r="22" spans="1:11" s="166" customFormat="1" ht="24" customHeight="1" thickBot="1" x14ac:dyDescent="0.25">
      <c r="A22" s="1183" t="s">
        <v>340</v>
      </c>
      <c r="B22" s="1184"/>
      <c r="C22" s="752"/>
      <c r="D22" s="752"/>
      <c r="E22" s="752"/>
      <c r="F22" s="752"/>
      <c r="G22" s="834">
        <v>0</v>
      </c>
      <c r="H22" s="834">
        <v>0</v>
      </c>
      <c r="I22" s="834">
        <v>0</v>
      </c>
      <c r="J22" s="835">
        <v>0</v>
      </c>
      <c r="K22" s="212"/>
    </row>
    <row r="23" spans="1:11" ht="13.5" thickBot="1" x14ac:dyDescent="0.25"/>
    <row r="24" spans="1:11" s="166" customFormat="1" ht="70.5" customHeight="1" thickBot="1" x14ac:dyDescent="0.25">
      <c r="A24" s="1145" t="s">
        <v>236</v>
      </c>
      <c r="B24" s="1146"/>
      <c r="C24" s="680"/>
      <c r="D24" s="680"/>
      <c r="E24" s="680"/>
      <c r="F24" s="680"/>
      <c r="G24" s="680"/>
      <c r="H24" s="680"/>
      <c r="I24" s="680"/>
      <c r="J24" s="681"/>
      <c r="K24" s="212"/>
    </row>
    <row r="25" spans="1:11" s="166" customFormat="1" ht="24" customHeight="1" thickBot="1" x14ac:dyDescent="0.25">
      <c r="A25" s="1183" t="s">
        <v>340</v>
      </c>
      <c r="B25" s="1184"/>
      <c r="C25" s="752"/>
      <c r="D25" s="752"/>
      <c r="E25" s="752"/>
      <c r="F25" s="752"/>
      <c r="G25" s="834">
        <v>0</v>
      </c>
      <c r="H25" s="834">
        <v>0</v>
      </c>
      <c r="I25" s="834">
        <v>0</v>
      </c>
      <c r="J25" s="835">
        <v>0</v>
      </c>
      <c r="K25" s="212"/>
    </row>
    <row r="26" spans="1:11" ht="13.5" thickBot="1" x14ac:dyDescent="0.25"/>
    <row r="27" spans="1:11" s="166" customFormat="1" ht="62.25" customHeight="1" thickBot="1" x14ac:dyDescent="0.25">
      <c r="A27" s="1145" t="s">
        <v>135</v>
      </c>
      <c r="B27" s="1146"/>
      <c r="C27" s="680">
        <v>0</v>
      </c>
      <c r="D27" s="680">
        <f t="shared" ref="D27:J27" si="1">SUM(D28:D35)</f>
        <v>0</v>
      </c>
      <c r="E27" s="680">
        <f t="shared" si="1"/>
        <v>0</v>
      </c>
      <c r="F27" s="680">
        <f t="shared" si="1"/>
        <v>0</v>
      </c>
      <c r="G27" s="680">
        <f t="shared" si="1"/>
        <v>0</v>
      </c>
      <c r="H27" s="680">
        <f t="shared" si="1"/>
        <v>0</v>
      </c>
      <c r="I27" s="680">
        <f t="shared" si="1"/>
        <v>0</v>
      </c>
      <c r="J27" s="681">
        <f t="shared" si="1"/>
        <v>0</v>
      </c>
      <c r="K27" s="212"/>
    </row>
    <row r="28" spans="1:11" s="166" customFormat="1" ht="24.6" customHeight="1" x14ac:dyDescent="0.2">
      <c r="A28" s="1185" t="s">
        <v>89</v>
      </c>
      <c r="B28" s="1186"/>
      <c r="C28" s="753"/>
      <c r="D28" s="754">
        <v>0</v>
      </c>
      <c r="E28" s="754">
        <v>0</v>
      </c>
      <c r="F28" s="754">
        <v>0</v>
      </c>
      <c r="G28" s="814">
        <v>0</v>
      </c>
      <c r="H28" s="814">
        <v>0</v>
      </c>
      <c r="I28" s="814">
        <v>0</v>
      </c>
      <c r="J28" s="815">
        <v>0</v>
      </c>
      <c r="K28" s="212"/>
    </row>
    <row r="29" spans="1:11" s="166" customFormat="1" ht="24.6" customHeight="1" x14ac:dyDescent="0.2">
      <c r="A29" s="1177" t="s">
        <v>331</v>
      </c>
      <c r="B29" s="1178"/>
      <c r="C29" s="520"/>
      <c r="D29" s="520"/>
      <c r="E29" s="520"/>
      <c r="F29" s="520"/>
      <c r="G29" s="335"/>
      <c r="H29" s="207">
        <v>0</v>
      </c>
      <c r="I29" s="207">
        <v>0</v>
      </c>
      <c r="J29" s="816">
        <v>0</v>
      </c>
      <c r="K29" s="212"/>
    </row>
    <row r="30" spans="1:11" s="166" customFormat="1" ht="24.6" customHeight="1" x14ac:dyDescent="0.2">
      <c r="A30" s="1177" t="s">
        <v>90</v>
      </c>
      <c r="B30" s="1178"/>
      <c r="C30" s="520"/>
      <c r="D30" s="247">
        <v>0</v>
      </c>
      <c r="E30" s="247">
        <v>0</v>
      </c>
      <c r="F30" s="247">
        <v>0</v>
      </c>
      <c r="G30" s="207">
        <v>0</v>
      </c>
      <c r="H30" s="207">
        <v>0</v>
      </c>
      <c r="I30" s="207">
        <v>0</v>
      </c>
      <c r="J30" s="816">
        <v>0</v>
      </c>
      <c r="K30" s="212"/>
    </row>
    <row r="31" spans="1:11" s="166" customFormat="1" ht="24.6" customHeight="1" x14ac:dyDescent="0.2">
      <c r="A31" s="1177" t="s">
        <v>332</v>
      </c>
      <c r="B31" s="1178"/>
      <c r="C31" s="520"/>
      <c r="D31" s="247">
        <v>0</v>
      </c>
      <c r="E31" s="247">
        <v>0</v>
      </c>
      <c r="F31" s="247">
        <v>0</v>
      </c>
      <c r="G31" s="207">
        <v>0</v>
      </c>
      <c r="H31" s="207">
        <v>0</v>
      </c>
      <c r="I31" s="207">
        <v>0</v>
      </c>
      <c r="J31" s="816">
        <v>0</v>
      </c>
      <c r="K31" s="212"/>
    </row>
    <row r="32" spans="1:11" s="166" customFormat="1" ht="24.6" customHeight="1" x14ac:dyDescent="0.2">
      <c r="A32" s="1177" t="s">
        <v>168</v>
      </c>
      <c r="B32" s="1178"/>
      <c r="C32" s="520"/>
      <c r="D32" s="247">
        <v>0</v>
      </c>
      <c r="E32" s="247">
        <v>0</v>
      </c>
      <c r="F32" s="247">
        <v>0</v>
      </c>
      <c r="G32" s="207">
        <v>0</v>
      </c>
      <c r="H32" s="207">
        <v>0</v>
      </c>
      <c r="I32" s="207">
        <v>0</v>
      </c>
      <c r="J32" s="816">
        <v>0</v>
      </c>
      <c r="K32" s="212"/>
    </row>
    <row r="33" spans="1:11" s="166" customFormat="1" ht="24.6" customHeight="1" x14ac:dyDescent="0.2">
      <c r="A33" s="1177" t="s">
        <v>91</v>
      </c>
      <c r="B33" s="1178"/>
      <c r="C33" s="520"/>
      <c r="D33" s="247">
        <v>0</v>
      </c>
      <c r="E33" s="247">
        <v>0</v>
      </c>
      <c r="F33" s="247">
        <v>0</v>
      </c>
      <c r="G33" s="207">
        <v>0</v>
      </c>
      <c r="H33" s="207">
        <v>0</v>
      </c>
      <c r="I33" s="207">
        <v>0</v>
      </c>
      <c r="J33" s="816">
        <v>0</v>
      </c>
      <c r="K33" s="212"/>
    </row>
    <row r="34" spans="1:11" s="166" customFormat="1" ht="24.6" customHeight="1" x14ac:dyDescent="0.2">
      <c r="A34" s="1177" t="s">
        <v>92</v>
      </c>
      <c r="B34" s="1178"/>
      <c r="C34" s="520"/>
      <c r="D34" s="247">
        <v>0</v>
      </c>
      <c r="E34" s="247">
        <v>0</v>
      </c>
      <c r="F34" s="247">
        <v>0</v>
      </c>
      <c r="G34" s="207">
        <v>0</v>
      </c>
      <c r="H34" s="335"/>
      <c r="I34" s="335"/>
      <c r="J34" s="669"/>
      <c r="K34" s="212"/>
    </row>
    <row r="35" spans="1:11" s="166" customFormat="1" ht="25.5" customHeight="1" thickBot="1" x14ac:dyDescent="0.25">
      <c r="A35" s="1179" t="s">
        <v>359</v>
      </c>
      <c r="B35" s="1180"/>
      <c r="C35" s="726"/>
      <c r="D35" s="719">
        <v>0</v>
      </c>
      <c r="E35" s="719">
        <v>0</v>
      </c>
      <c r="F35" s="719">
        <v>0</v>
      </c>
      <c r="G35" s="817">
        <v>0</v>
      </c>
      <c r="H35" s="817">
        <v>0</v>
      </c>
      <c r="I35" s="817">
        <v>0</v>
      </c>
      <c r="J35" s="818">
        <v>0</v>
      </c>
      <c r="K35" s="212"/>
    </row>
    <row r="36" spans="1:11" ht="13.5" thickBot="1" x14ac:dyDescent="0.25"/>
    <row r="37" spans="1:11" s="166" customFormat="1" ht="62.25" customHeight="1" thickBot="1" x14ac:dyDescent="0.25">
      <c r="A37" s="1145" t="s">
        <v>137</v>
      </c>
      <c r="B37" s="1146"/>
      <c r="C37" s="680">
        <v>0</v>
      </c>
      <c r="D37" s="680">
        <f t="shared" ref="D37:J37" si="2">SUM(D38:D45)</f>
        <v>0</v>
      </c>
      <c r="E37" s="680">
        <f t="shared" si="2"/>
        <v>0</v>
      </c>
      <c r="F37" s="680">
        <f t="shared" si="2"/>
        <v>0</v>
      </c>
      <c r="G37" s="680">
        <f t="shared" si="2"/>
        <v>0</v>
      </c>
      <c r="H37" s="680">
        <f t="shared" si="2"/>
        <v>0</v>
      </c>
      <c r="I37" s="680">
        <f t="shared" si="2"/>
        <v>0</v>
      </c>
      <c r="J37" s="681">
        <f t="shared" si="2"/>
        <v>0</v>
      </c>
      <c r="K37" s="212"/>
    </row>
    <row r="38" spans="1:11" s="166" customFormat="1" ht="25.5" customHeight="1" x14ac:dyDescent="0.2">
      <c r="A38" s="1185" t="s">
        <v>89</v>
      </c>
      <c r="B38" s="1186"/>
      <c r="C38" s="753"/>
      <c r="D38" s="754">
        <v>0</v>
      </c>
      <c r="E38" s="754">
        <v>0</v>
      </c>
      <c r="F38" s="754">
        <v>0</v>
      </c>
      <c r="G38" s="814">
        <v>0</v>
      </c>
      <c r="H38" s="814">
        <v>0</v>
      </c>
      <c r="I38" s="814">
        <v>0</v>
      </c>
      <c r="J38" s="815">
        <v>0</v>
      </c>
      <c r="K38" s="212"/>
    </row>
    <row r="39" spans="1:11" s="166" customFormat="1" ht="25.5" customHeight="1" x14ac:dyDescent="0.2">
      <c r="A39" s="1177" t="s">
        <v>331</v>
      </c>
      <c r="B39" s="1178"/>
      <c r="C39" s="520"/>
      <c r="D39" s="520"/>
      <c r="E39" s="520"/>
      <c r="F39" s="520"/>
      <c r="G39" s="335"/>
      <c r="H39" s="207">
        <v>0</v>
      </c>
      <c r="I39" s="207">
        <v>0</v>
      </c>
      <c r="J39" s="816">
        <v>0</v>
      </c>
      <c r="K39" s="212"/>
    </row>
    <row r="40" spans="1:11" s="166" customFormat="1" ht="25.5" customHeight="1" x14ac:dyDescent="0.2">
      <c r="A40" s="1177" t="s">
        <v>90</v>
      </c>
      <c r="B40" s="1178"/>
      <c r="C40" s="520"/>
      <c r="D40" s="247">
        <v>0</v>
      </c>
      <c r="E40" s="247">
        <v>0</v>
      </c>
      <c r="F40" s="247">
        <v>0</v>
      </c>
      <c r="G40" s="207">
        <v>0</v>
      </c>
      <c r="H40" s="207">
        <v>0</v>
      </c>
      <c r="I40" s="207">
        <v>0</v>
      </c>
      <c r="J40" s="816">
        <v>0</v>
      </c>
      <c r="K40" s="212"/>
    </row>
    <row r="41" spans="1:11" s="166" customFormat="1" ht="25.5" customHeight="1" x14ac:dyDescent="0.2">
      <c r="A41" s="1177" t="s">
        <v>332</v>
      </c>
      <c r="B41" s="1178"/>
      <c r="C41" s="520"/>
      <c r="D41" s="247">
        <v>0</v>
      </c>
      <c r="E41" s="247">
        <v>0</v>
      </c>
      <c r="F41" s="247">
        <v>0</v>
      </c>
      <c r="G41" s="207">
        <v>0</v>
      </c>
      <c r="H41" s="207">
        <v>0</v>
      </c>
      <c r="I41" s="207">
        <v>0</v>
      </c>
      <c r="J41" s="816">
        <v>0</v>
      </c>
      <c r="K41" s="212"/>
    </row>
    <row r="42" spans="1:11" s="166" customFormat="1" ht="25.5" customHeight="1" x14ac:dyDescent="0.2">
      <c r="A42" s="1177" t="s">
        <v>168</v>
      </c>
      <c r="B42" s="1178"/>
      <c r="C42" s="520"/>
      <c r="D42" s="247">
        <v>0</v>
      </c>
      <c r="E42" s="247">
        <v>0</v>
      </c>
      <c r="F42" s="247">
        <v>0</v>
      </c>
      <c r="G42" s="207">
        <v>0</v>
      </c>
      <c r="H42" s="207">
        <v>0</v>
      </c>
      <c r="I42" s="207">
        <v>0</v>
      </c>
      <c r="J42" s="816">
        <v>0</v>
      </c>
      <c r="K42" s="212"/>
    </row>
    <row r="43" spans="1:11" s="166" customFormat="1" ht="25.5" customHeight="1" x14ac:dyDescent="0.2">
      <c r="A43" s="1177" t="s">
        <v>91</v>
      </c>
      <c r="B43" s="1178"/>
      <c r="C43" s="520"/>
      <c r="D43" s="247">
        <v>0</v>
      </c>
      <c r="E43" s="247">
        <v>0</v>
      </c>
      <c r="F43" s="247">
        <v>0</v>
      </c>
      <c r="G43" s="207">
        <v>0</v>
      </c>
      <c r="H43" s="207">
        <v>0</v>
      </c>
      <c r="I43" s="207">
        <v>0</v>
      </c>
      <c r="J43" s="816">
        <v>0</v>
      </c>
      <c r="K43" s="212"/>
    </row>
    <row r="44" spans="1:11" s="166" customFormat="1" ht="25.5" customHeight="1" x14ac:dyDescent="0.2">
      <c r="A44" s="1177" t="s">
        <v>92</v>
      </c>
      <c r="B44" s="1178"/>
      <c r="C44" s="520"/>
      <c r="D44" s="247">
        <v>0</v>
      </c>
      <c r="E44" s="247">
        <v>0</v>
      </c>
      <c r="F44" s="247">
        <v>0</v>
      </c>
      <c r="G44" s="207">
        <v>0</v>
      </c>
      <c r="H44" s="335"/>
      <c r="I44" s="335"/>
      <c r="J44" s="669"/>
      <c r="K44" s="212"/>
    </row>
    <row r="45" spans="1:11" s="166" customFormat="1" ht="25.5" customHeight="1" thickBot="1" x14ac:dyDescent="0.25">
      <c r="A45" s="1179" t="s">
        <v>359</v>
      </c>
      <c r="B45" s="1180"/>
      <c r="C45" s="726"/>
      <c r="D45" s="719">
        <v>0</v>
      </c>
      <c r="E45" s="719">
        <v>0</v>
      </c>
      <c r="F45" s="719">
        <v>0</v>
      </c>
      <c r="G45" s="817">
        <v>0</v>
      </c>
      <c r="H45" s="817">
        <v>0</v>
      </c>
      <c r="I45" s="817">
        <v>0</v>
      </c>
      <c r="J45" s="818">
        <v>0</v>
      </c>
      <c r="K45" s="212"/>
    </row>
    <row r="46" spans="1:11" ht="13.5" thickBot="1" x14ac:dyDescent="0.25"/>
    <row r="47" spans="1:11" s="166" customFormat="1" ht="64.5" customHeight="1" x14ac:dyDescent="0.2">
      <c r="A47" s="1188" t="s">
        <v>123</v>
      </c>
      <c r="B47" s="1189"/>
      <c r="C47" s="724">
        <v>1.3938631303842763E-2</v>
      </c>
      <c r="D47" s="724">
        <v>1.6452686638135816E-2</v>
      </c>
      <c r="E47" s="724">
        <v>1.7499767290328538E-2</v>
      </c>
      <c r="F47" s="833">
        <v>1.4225403817915039E-2</v>
      </c>
      <c r="G47" s="836">
        <v>0</v>
      </c>
      <c r="H47" s="836">
        <v>0</v>
      </c>
      <c r="I47" s="836">
        <v>0</v>
      </c>
      <c r="J47" s="837">
        <v>0</v>
      </c>
      <c r="K47" s="212"/>
    </row>
    <row r="48" spans="1:11" s="166" customFormat="1" ht="33" customHeight="1" x14ac:dyDescent="0.2">
      <c r="A48" s="1187" t="s">
        <v>122</v>
      </c>
      <c r="B48" s="1120"/>
      <c r="C48" s="517">
        <v>1.7810473332688037E-2</v>
      </c>
      <c r="D48" s="517">
        <v>2.1683309557774644E-2</v>
      </c>
      <c r="E48" s="517">
        <v>1.4241831890533296E-2</v>
      </c>
      <c r="F48" s="838">
        <v>0</v>
      </c>
      <c r="G48" s="838">
        <v>0</v>
      </c>
      <c r="H48" s="838">
        <v>0</v>
      </c>
      <c r="I48" s="838">
        <v>0</v>
      </c>
      <c r="J48" s="839">
        <v>0</v>
      </c>
      <c r="K48" s="212"/>
    </row>
    <row r="49" spans="1:11" s="166" customFormat="1" ht="36.75" customHeight="1" x14ac:dyDescent="0.2">
      <c r="A49" s="1187" t="str">
        <f>"x-waarde "&amp;C5&amp;" voor de betreffende reguleringsperiode"</f>
        <v>x-waarde gas voor de betreffende reguleringsperiode</v>
      </c>
      <c r="B49" s="1120"/>
      <c r="C49" s="516"/>
      <c r="D49" s="522">
        <f>IF($C$5="elektriciteit",0.000387594609710495,IF($C$5="gas",-0.0133592722464226,"FOUT"))</f>
        <v>-1.33592722464226E-2</v>
      </c>
      <c r="E49" s="522">
        <f>IF($C$5="elektriciteit",0.000387594609710495,IF($C$5="gas",-0.0133592722464226,"FOUT"))</f>
        <v>-1.33592722464226E-2</v>
      </c>
      <c r="F49" s="522">
        <f>IF($C$5="elektriciteit",0.000505038423468718,IF($C$5="gas",-0.0133730694870156,"FOUT"))</f>
        <v>-1.3373069487015599E-2</v>
      </c>
      <c r="G49" s="516"/>
      <c r="H49" s="840">
        <v>0</v>
      </c>
      <c r="I49" s="840">
        <v>0</v>
      </c>
      <c r="J49" s="841">
        <v>0</v>
      </c>
      <c r="K49" s="212"/>
    </row>
    <row r="50" spans="1:11" s="166" customFormat="1" ht="56.45" customHeight="1" x14ac:dyDescent="0.2">
      <c r="A50" s="1175" t="str">
        <f>"ai-waarde in de relevante geactualiseerde endogene sectorkosten "&amp;C6&amp;" in de historische referentieperiode 2015-2019"</f>
        <v>ai-waarde in de relevante geactualiseerde endogene sectorkosten Saldo van het jaar in de historische referentieperiode 2015-2019</v>
      </c>
      <c r="B50" s="1176"/>
      <c r="C50" s="516"/>
      <c r="D50" s="516"/>
      <c r="E50" s="516"/>
      <c r="F50" s="516"/>
      <c r="G50" s="842">
        <v>0</v>
      </c>
      <c r="H50" s="516"/>
      <c r="I50" s="516"/>
      <c r="J50" s="725"/>
      <c r="K50" s="212"/>
    </row>
    <row r="51" spans="1:11" s="166" customFormat="1" ht="39" customHeight="1" x14ac:dyDescent="0.2">
      <c r="A51" s="1175" t="str">
        <f>"Fl21-waarde voor aan "&amp;C5&amp;" opgelegde kostenbesparing in 2021 n.a.v. de fusie tot FSO"</f>
        <v>Fl21-waarde voor aan gas opgelegde kostenbesparing in 2021 n.a.v. de fusie tot FSO</v>
      </c>
      <c r="B51" s="1176"/>
      <c r="C51" s="516"/>
      <c r="D51" s="516"/>
      <c r="E51" s="516"/>
      <c r="F51" s="516"/>
      <c r="G51" s="768">
        <f>IF(C5="elektriciteit",14000000,IF(C5="gas",6875000,"FOUT"))</f>
        <v>6875000</v>
      </c>
      <c r="H51" s="516"/>
      <c r="I51" s="516"/>
      <c r="J51" s="725"/>
      <c r="K51" s="212"/>
    </row>
    <row r="52" spans="1:11" s="206" customFormat="1" ht="36.75" customHeight="1" x14ac:dyDescent="0.2">
      <c r="A52" s="1175" t="s">
        <v>238</v>
      </c>
      <c r="B52" s="1176"/>
      <c r="C52" s="516"/>
      <c r="D52" s="516"/>
      <c r="E52" s="522">
        <f>IF($C$5="elektriciteit",0.00865726940505285,IF($C$5="gas",0.00858335614712047,"FOUT"))</f>
        <v>8.5833561471204706E-3</v>
      </c>
      <c r="F52" s="522">
        <f>+E52</f>
        <v>8.5833561471204706E-3</v>
      </c>
      <c r="G52" s="516"/>
      <c r="H52" s="840">
        <v>0</v>
      </c>
      <c r="I52" s="840">
        <v>0</v>
      </c>
      <c r="J52" s="841">
        <v>0</v>
      </c>
      <c r="K52" s="519"/>
    </row>
    <row r="53" spans="1:11" s="206" customFormat="1" ht="36.75" customHeight="1" x14ac:dyDescent="0.2">
      <c r="A53" s="1175" t="s">
        <v>239</v>
      </c>
      <c r="B53" s="1176"/>
      <c r="C53" s="516"/>
      <c r="D53" s="516"/>
      <c r="E53" s="516"/>
      <c r="F53" s="516"/>
      <c r="G53" s="766">
        <f>IF($C$5="elektriciteit",0,IF($C$5="gas",0.004,"FOUT"))</f>
        <v>4.0000000000000001E-3</v>
      </c>
      <c r="H53" s="766">
        <f t="shared" ref="H53:J53" si="3">IF($C$5="elektriciteit",0,IF($C$5="gas",0.004,"FOUT"))</f>
        <v>4.0000000000000001E-3</v>
      </c>
      <c r="I53" s="766">
        <f t="shared" si="3"/>
        <v>4.0000000000000001E-3</v>
      </c>
      <c r="J53" s="767">
        <f t="shared" si="3"/>
        <v>4.0000000000000001E-3</v>
      </c>
      <c r="K53" s="519"/>
    </row>
    <row r="54" spans="1:11" s="166" customFormat="1" ht="29.45" customHeight="1" thickBot="1" x14ac:dyDescent="0.25">
      <c r="A54" s="1195" t="s">
        <v>374</v>
      </c>
      <c r="B54" s="1196"/>
      <c r="C54" s="726"/>
      <c r="D54" s="719">
        <v>0</v>
      </c>
      <c r="E54" s="719">
        <v>0</v>
      </c>
      <c r="F54" s="719">
        <v>0</v>
      </c>
      <c r="G54" s="777"/>
      <c r="H54" s="843">
        <v>0</v>
      </c>
      <c r="I54" s="843">
        <v>0</v>
      </c>
      <c r="J54" s="844">
        <v>0</v>
      </c>
      <c r="K54" s="212"/>
    </row>
    <row r="55" spans="1:11" ht="13.5" thickBot="1" x14ac:dyDescent="0.25"/>
    <row r="56" spans="1:11" s="166" customFormat="1" ht="29.25" customHeight="1" x14ac:dyDescent="0.2">
      <c r="A56" s="757"/>
      <c r="B56" s="758"/>
      <c r="C56" s="759">
        <f t="shared" ref="C56:J56" si="4">+C7</f>
        <v>2017</v>
      </c>
      <c r="D56" s="759">
        <f t="shared" si="4"/>
        <v>2018</v>
      </c>
      <c r="E56" s="759">
        <f t="shared" si="4"/>
        <v>2019</v>
      </c>
      <c r="F56" s="759">
        <f t="shared" si="4"/>
        <v>2020</v>
      </c>
      <c r="G56" s="759">
        <f t="shared" si="4"/>
        <v>2021</v>
      </c>
      <c r="H56" s="759">
        <f t="shared" si="4"/>
        <v>2022</v>
      </c>
      <c r="I56" s="759">
        <f t="shared" si="4"/>
        <v>2023</v>
      </c>
      <c r="J56" s="760">
        <f t="shared" si="4"/>
        <v>2024</v>
      </c>
      <c r="K56" s="212"/>
    </row>
    <row r="57" spans="1:11" s="166" customFormat="1" ht="33.6" customHeight="1" thickBot="1" x14ac:dyDescent="0.25">
      <c r="A57" s="1190" t="s">
        <v>375</v>
      </c>
      <c r="B57" s="1191"/>
      <c r="C57" s="761">
        <f t="shared" ref="C57:J57" si="5">SUM(C58:C65)</f>
        <v>0</v>
      </c>
      <c r="D57" s="762">
        <f t="shared" si="5"/>
        <v>0</v>
      </c>
      <c r="E57" s="762">
        <f t="shared" si="5"/>
        <v>0</v>
      </c>
      <c r="F57" s="762">
        <f t="shared" si="5"/>
        <v>0</v>
      </c>
      <c r="G57" s="761">
        <f t="shared" si="5"/>
        <v>0</v>
      </c>
      <c r="H57" s="761">
        <f t="shared" si="5"/>
        <v>0</v>
      </c>
      <c r="I57" s="761">
        <f t="shared" si="5"/>
        <v>0</v>
      </c>
      <c r="J57" s="763">
        <f t="shared" si="5"/>
        <v>0</v>
      </c>
      <c r="K57" s="212"/>
    </row>
    <row r="58" spans="1:11" s="166" customFormat="1" ht="26.1" customHeight="1" x14ac:dyDescent="0.2">
      <c r="A58" s="1139" t="s">
        <v>89</v>
      </c>
      <c r="B58" s="1140"/>
      <c r="C58" s="755">
        <f>(C9-C19)*(((1+C48)/(1+C47))-1)</f>
        <v>0</v>
      </c>
      <c r="D58" s="676">
        <f>(D9-D19-D28+D38)*(((1+$D$48-$D$49+$D$54)/(1+$D$47-$D$49+$D$54))-1)</f>
        <v>0</v>
      </c>
      <c r="E58" s="676">
        <f>(E9-E19-E28+E38)*(((1+$E$48-$E$49-$E$52+$E$54)/(1+$E$47-$E$49-$E$52+$E$54))-1)</f>
        <v>0</v>
      </c>
      <c r="F58" s="676">
        <f>(F9-F19-F28+F38)*(((1+$F$48-$F$49-$F$52+$F$54)/(1+$F$47-$F$49-$F$52+$F$54))-1)</f>
        <v>0</v>
      </c>
      <c r="G58" s="755">
        <f>(((G9-(G19+G22+G25+(G28-G38)))+(G50*G51))*(((1+G$48-G$53)/(1+G$47-G$53))-1))+((G12-(G31-G41))*(((1+G$48-G$53)/(1+G$47-G$53))-1))+((G13-(G32-G42))*(((1+G$48-G$53)/(1+G$47-G$53))-1))</f>
        <v>0</v>
      </c>
      <c r="H58" s="755">
        <f>IF($C$5="elektriciteit",0,IF($C$5="gas",((H9-(H19+H22+H25+(H28-H38)))*(((1+H$48-H$49-H$52-H$53+H$54)/(1+H$47-H$49-H$52-H$53+H$54))-1))+((H13-(H32-H42))*(((1+H$48-H$49-H$52-H$53+H$54)/(1+H$47-H$49-H$52-H$53+H$54))-1)),"FOUT"))</f>
        <v>0</v>
      </c>
      <c r="I58" s="755">
        <f>IF($C$5="elektriciteit",0,IF($C$5="gas",((I9-(I19+I22+I25+(I28-I38)))*(((1+I$48-I$49-I$52-I$53+I$54)/(1+I$47-I$49-I$52-I$53+I$54))-1))+((I13-(I32-I42))*(((1+I$48-I$49-I$52-I$53+I$54)/(1+I$47-I$49-I$52-I$53+I$54))-1)),"FOUT"))</f>
        <v>0</v>
      </c>
      <c r="J58" s="756">
        <f>IF($C$5="elektriciteit",0,IF($C$5="gas",((J9-(J19+J22+J25+(J28-J38)))*(((1+J$48-J$49-J$52-J$53+J$54)/(1+J$47-J$49-J$52-J$53+J$54))-1))+((J13-(J32-J42))*(((1+J$48-J$49-J$52-J$53+J$54)/(1+J$47-J$49-J$52-J$53+J$54))-1)),"FOUT"))</f>
        <v>0</v>
      </c>
      <c r="K58" s="212"/>
    </row>
    <row r="59" spans="1:11" s="166" customFormat="1" ht="26.1" customHeight="1" x14ac:dyDescent="0.2">
      <c r="A59" s="1141" t="s">
        <v>331</v>
      </c>
      <c r="B59" s="1142"/>
      <c r="C59" s="526"/>
      <c r="D59" s="334"/>
      <c r="E59" s="334"/>
      <c r="F59" s="334"/>
      <c r="G59" s="526"/>
      <c r="H59" s="521">
        <f>IF($C$5="elektriciteit",((H10-(H19+H22+H25+(H29-H39)))*(((1+H$48-H$49-H$52-H$53+H$54)/(1+H$47-H$49-H$52-H$53+H$54))-1))+((H12-(H31-H41))*(((1+H$48-H$49-H$52-H$53+H$54)/(1+H$47-H$49-H$52-H$53+H$54))-1))+((H13-(H32-H42))*(((1+H$48-H$49-H$52-H$53+H$54)/(1+H$47-H$49-H$52-H$53+H$54))-1)),IF($C$5="gas",0,"FOUT"))</f>
        <v>0</v>
      </c>
      <c r="I59" s="521">
        <f>IF($C$5="elektriciteit",((I10-(I19+I22+I25+(I29-I39)))*(((1+I$48-I$49-I$52-I$53+I$54)/(1+I$47-I$49-I$52-I$53+I$54))-1))+((I12-(I31-I41))*(((1+I$48-I$49-I$52-I$53+I$54)/(1+I$47-I$49-I$52-I$53+I$54))-1))+((I13-(I32-I42))*(((1+I$48-I$49-I$52-I$53+I$54)/(1+I$47-I$49-I$52-I$53+I$54))-1)),IF($C$5="gas",0,"FOUT"))</f>
        <v>0</v>
      </c>
      <c r="J59" s="720">
        <f>IF($C$5="elektriciteit",((J10-(J19+J22+J25+(J29-J39)))*(((1+J$48-J$49-J$52-J$53+J$54)/(1+J$47-J$49-J$52-J$53+J$54))-1))+((J12-(J31-J41))*(((1+J$48-J$49-J$52-J$53+J$54)/(1+J$47-J$49-J$52-J$53+J$54))-1))+((J13-(J32-J42))*(((1+J$48-J$49-J$52-J$53+J$54)/(1+J$47-J$49-J$52-J$53+J$54))-1)),IF($C$5="gas",0,"FOUT"))</f>
        <v>0</v>
      </c>
      <c r="K59" s="212"/>
    </row>
    <row r="60" spans="1:11" s="166" customFormat="1" ht="26.1" customHeight="1" x14ac:dyDescent="0.2">
      <c r="A60" s="1141" t="s">
        <v>90</v>
      </c>
      <c r="B60" s="1142"/>
      <c r="C60" s="521">
        <f t="shared" ref="C60:C65" si="6">+C11*(((1+$C$48)/(1+$C$47))-1)</f>
        <v>0</v>
      </c>
      <c r="D60" s="176">
        <f t="shared" ref="D60:D65" si="7">(D11-D30+D40)*(((1+$D$48-$D$49+$D$54)/(1+$D$47-$D$49+$D$54))-1)</f>
        <v>0</v>
      </c>
      <c r="E60" s="176">
        <f t="shared" ref="E60:E65" si="8">(E11-E30+E40)*(((1+$E$48-$E$49-$E$52+$E$54)/(1+$E$47-$E$49-$E$52+$E$54))-1)</f>
        <v>0</v>
      </c>
      <c r="F60" s="176">
        <f t="shared" ref="F60:F65" si="9">(F11-F30+F40)*(((1+$F$48-$F$49-$F$52+$F$54)/(1+$F$47-$F$49-$F$52+$F$54))-1)</f>
        <v>0</v>
      </c>
      <c r="G60" s="521">
        <f>(G11-(G30-G40))*(((1+G$48-G$53)/(1+G$47-G$53))-1)</f>
        <v>0</v>
      </c>
      <c r="H60" s="521">
        <f>(H11-(H30-H40))*(((1+H$48-H$49-H$52-H$53+H$54)/(1+H$47-H$49-H$52-H$53+H$54))-1)</f>
        <v>0</v>
      </c>
      <c r="I60" s="521">
        <f>(I11-(I30-I40))*(((1+I$48-I$49-I$52-I$53+I$54)/(1+I$47-I$49-I$52-I$53+I$54))-1)</f>
        <v>0</v>
      </c>
      <c r="J60" s="720">
        <f>(J11-(J30-J40))*(((1+J$48-J$49-J$52-J$53+J$54)/(1+J$47-J$49-J$52-J$53+J$54))-1)</f>
        <v>0</v>
      </c>
      <c r="K60" s="212"/>
    </row>
    <row r="61" spans="1:11" s="166" customFormat="1" ht="26.1" customHeight="1" x14ac:dyDescent="0.2">
      <c r="A61" s="1141" t="s">
        <v>332</v>
      </c>
      <c r="B61" s="1142"/>
      <c r="C61" s="521">
        <f t="shared" si="6"/>
        <v>0</v>
      </c>
      <c r="D61" s="176">
        <f t="shared" si="7"/>
        <v>0</v>
      </c>
      <c r="E61" s="176">
        <f t="shared" si="8"/>
        <v>0</v>
      </c>
      <c r="F61" s="176">
        <f t="shared" si="9"/>
        <v>0</v>
      </c>
      <c r="G61" s="526"/>
      <c r="H61" s="526"/>
      <c r="I61" s="526"/>
      <c r="J61" s="721"/>
      <c r="K61" s="212"/>
    </row>
    <row r="62" spans="1:11" s="166" customFormat="1" ht="26.1" customHeight="1" x14ac:dyDescent="0.2">
      <c r="A62" s="1141" t="s">
        <v>168</v>
      </c>
      <c r="B62" s="1142"/>
      <c r="C62" s="521">
        <f t="shared" si="6"/>
        <v>0</v>
      </c>
      <c r="D62" s="176">
        <f t="shared" si="7"/>
        <v>0</v>
      </c>
      <c r="E62" s="176">
        <f t="shared" si="8"/>
        <v>0</v>
      </c>
      <c r="F62" s="176">
        <f t="shared" si="9"/>
        <v>0</v>
      </c>
      <c r="G62" s="526"/>
      <c r="H62" s="526"/>
      <c r="I62" s="526"/>
      <c r="J62" s="721"/>
      <c r="K62" s="212"/>
    </row>
    <row r="63" spans="1:11" s="166" customFormat="1" ht="26.1" customHeight="1" x14ac:dyDescent="0.2">
      <c r="A63" s="1141" t="s">
        <v>91</v>
      </c>
      <c r="B63" s="1142"/>
      <c r="C63" s="521">
        <f t="shared" si="6"/>
        <v>0</v>
      </c>
      <c r="D63" s="176">
        <f t="shared" si="7"/>
        <v>0</v>
      </c>
      <c r="E63" s="176">
        <f t="shared" si="8"/>
        <v>0</v>
      </c>
      <c r="F63" s="176">
        <f t="shared" si="9"/>
        <v>0</v>
      </c>
      <c r="G63" s="521">
        <f>(G14-(G33-G43))*(((1+G$48-G$53)/(1+G$47-G$53))-1)</f>
        <v>0</v>
      </c>
      <c r="H63" s="521">
        <f t="shared" ref="H63:J63" si="10">(H14-(H33-H43))*(((1+H$48-H$49-H$52-H$53+H$54)/(1+H$47-H$49-H$52-H$53+H$54))-1)</f>
        <v>0</v>
      </c>
      <c r="I63" s="521">
        <f t="shared" si="10"/>
        <v>0</v>
      </c>
      <c r="J63" s="720">
        <f t="shared" si="10"/>
        <v>0</v>
      </c>
      <c r="K63" s="212"/>
    </row>
    <row r="64" spans="1:11" s="166" customFormat="1" ht="26.1" customHeight="1" x14ac:dyDescent="0.2">
      <c r="A64" s="1141" t="s">
        <v>92</v>
      </c>
      <c r="B64" s="1142"/>
      <c r="C64" s="521">
        <f t="shared" si="6"/>
        <v>0</v>
      </c>
      <c r="D64" s="176">
        <f t="shared" si="7"/>
        <v>0</v>
      </c>
      <c r="E64" s="176">
        <f t="shared" si="8"/>
        <v>0</v>
      </c>
      <c r="F64" s="176">
        <f t="shared" si="9"/>
        <v>0</v>
      </c>
      <c r="G64" s="521">
        <f>(G15-(G34-G44))*(((1+G$48-G$53)/(1+G$47-G$53))-1)</f>
        <v>0</v>
      </c>
      <c r="H64" s="526"/>
      <c r="I64" s="526"/>
      <c r="J64" s="721"/>
      <c r="K64" s="212"/>
    </row>
    <row r="65" spans="1:31" s="166" customFormat="1" ht="26.1" customHeight="1" thickBot="1" x14ac:dyDescent="0.25">
      <c r="A65" s="1149" t="s">
        <v>359</v>
      </c>
      <c r="B65" s="1150"/>
      <c r="C65" s="722">
        <f t="shared" si="6"/>
        <v>0</v>
      </c>
      <c r="D65" s="674">
        <f t="shared" si="7"/>
        <v>0</v>
      </c>
      <c r="E65" s="674">
        <f t="shared" si="8"/>
        <v>0</v>
      </c>
      <c r="F65" s="674">
        <f t="shared" si="9"/>
        <v>0</v>
      </c>
      <c r="G65" s="722">
        <f>(G16-(G35-G45))*(((1+G$48-G$53)/(1+G$47-G$53))-1)</f>
        <v>0</v>
      </c>
      <c r="H65" s="722">
        <f>(H16-(H35-H45))*(((1+H$48-H$49-H$52-H$53+H$54)/(1+H$47-H$49-H$52-H$53+H$54))-1)</f>
        <v>0</v>
      </c>
      <c r="I65" s="722">
        <f>(I16-(I35-I45))*(((1+I$48-I$49-I$52-I$53+I$54)/(1+I$47-I$49-I$52-I$53+I$54))-1)</f>
        <v>0</v>
      </c>
      <c r="J65" s="723">
        <f>(J16-(J35-J45))*(((1+J$48-J$49-J$52-J$53+J$54)/(1+J$47-J$49-J$52-J$53+J$54))-1)</f>
        <v>0</v>
      </c>
      <c r="K65" s="212"/>
    </row>
    <row r="66" spans="1:31" s="166" customFormat="1" x14ac:dyDescent="0.2">
      <c r="A66" s="216"/>
      <c r="C66" s="233" t="s">
        <v>127</v>
      </c>
      <c r="M66" s="212"/>
    </row>
    <row r="67" spans="1:31" s="166" customFormat="1" x14ac:dyDescent="0.2">
      <c r="A67" s="216"/>
      <c r="C67" s="235" t="s">
        <v>103</v>
      </c>
      <c r="M67" s="212"/>
    </row>
    <row r="68" spans="1:31" s="166" customFormat="1" x14ac:dyDescent="0.2">
      <c r="A68" s="216"/>
      <c r="C68" s="212"/>
      <c r="M68" s="212"/>
    </row>
    <row r="69" spans="1:31" ht="14.25" customHeight="1" thickBot="1" x14ac:dyDescent="0.25">
      <c r="A69" s="224"/>
      <c r="B69" s="328"/>
      <c r="C69" s="328"/>
      <c r="D69" s="328"/>
      <c r="E69" s="328"/>
      <c r="F69" s="328"/>
      <c r="G69" s="328"/>
      <c r="H69" s="328"/>
      <c r="I69" s="328"/>
      <c r="J69" s="328"/>
      <c r="K69" s="328"/>
      <c r="L69" s="328"/>
      <c r="M69" s="227"/>
      <c r="N69" s="227"/>
    </row>
    <row r="70" spans="1:31" s="178" customFormat="1" ht="18" customHeight="1" thickBot="1" x14ac:dyDescent="0.25">
      <c r="A70" s="1077" t="s">
        <v>110</v>
      </c>
      <c r="B70" s="1078"/>
      <c r="C70" s="1078"/>
      <c r="D70" s="1078"/>
      <c r="E70" s="1078"/>
      <c r="F70" s="1078"/>
      <c r="G70" s="1078"/>
      <c r="H70" s="1078"/>
      <c r="I70" s="1078"/>
      <c r="J70" s="1078"/>
      <c r="K70" s="1078"/>
      <c r="L70" s="1079"/>
      <c r="M70" s="227"/>
      <c r="N70" s="227"/>
      <c r="O70" s="177"/>
      <c r="P70" s="177"/>
      <c r="Q70" s="177"/>
      <c r="R70" s="177"/>
      <c r="S70" s="177"/>
      <c r="T70" s="177"/>
      <c r="U70" s="177"/>
      <c r="V70" s="177"/>
      <c r="W70" s="177"/>
      <c r="X70" s="177"/>
      <c r="Y70" s="177"/>
      <c r="Z70" s="177"/>
      <c r="AA70" s="177"/>
      <c r="AB70" s="177"/>
      <c r="AC70" s="177"/>
      <c r="AD70" s="177"/>
      <c r="AE70" s="177"/>
    </row>
    <row r="71" spans="1:31" ht="13.5" thickBot="1" x14ac:dyDescent="0.25"/>
    <row r="72" spans="1:31" s="178" customFormat="1" ht="17.25" thickBot="1" x14ac:dyDescent="0.25">
      <c r="A72" s="177"/>
      <c r="B72" s="177"/>
      <c r="C72" s="1080" t="s">
        <v>31</v>
      </c>
      <c r="D72" s="1081"/>
      <c r="E72" s="1081"/>
      <c r="F72" s="1081"/>
      <c r="G72" s="1081"/>
      <c r="H72" s="1081"/>
      <c r="I72" s="1081"/>
      <c r="J72" s="1082"/>
      <c r="K72" s="177"/>
      <c r="L72" s="177"/>
      <c r="M72" s="177"/>
      <c r="N72" s="177"/>
      <c r="O72" s="177"/>
      <c r="P72" s="177"/>
      <c r="Q72" s="177"/>
      <c r="R72" s="177"/>
      <c r="S72" s="177"/>
      <c r="T72" s="177"/>
      <c r="U72" s="177"/>
      <c r="V72" s="177"/>
      <c r="W72" s="177"/>
      <c r="X72" s="177"/>
      <c r="Y72" s="177"/>
      <c r="Z72" s="177"/>
      <c r="AA72" s="177"/>
      <c r="AB72" s="177"/>
      <c r="AC72" s="177"/>
      <c r="AD72" s="177"/>
      <c r="AE72" s="177"/>
    </row>
    <row r="73" spans="1:31" s="178" customFormat="1" ht="13.5" thickBot="1" x14ac:dyDescent="0.25">
      <c r="A73" s="177"/>
      <c r="B73" s="177"/>
      <c r="C73" s="329">
        <f t="shared" ref="C73:J73" si="11">+C7</f>
        <v>2017</v>
      </c>
      <c r="D73" s="330">
        <f t="shared" si="11"/>
        <v>2018</v>
      </c>
      <c r="E73" s="330">
        <f t="shared" si="11"/>
        <v>2019</v>
      </c>
      <c r="F73" s="330">
        <f t="shared" si="11"/>
        <v>2020</v>
      </c>
      <c r="G73" s="330">
        <f t="shared" si="11"/>
        <v>2021</v>
      </c>
      <c r="H73" s="330">
        <f t="shared" si="11"/>
        <v>2022</v>
      </c>
      <c r="I73" s="330">
        <f t="shared" si="11"/>
        <v>2023</v>
      </c>
      <c r="J73" s="330">
        <f t="shared" si="11"/>
        <v>2024</v>
      </c>
      <c r="K73" s="177"/>
      <c r="L73" s="177"/>
      <c r="M73" s="177"/>
      <c r="N73" s="177"/>
      <c r="O73" s="177"/>
      <c r="P73" s="177"/>
      <c r="Q73" s="177"/>
      <c r="R73" s="177"/>
      <c r="S73" s="177"/>
      <c r="T73" s="177"/>
      <c r="U73" s="177"/>
      <c r="V73" s="177"/>
      <c r="W73" s="177"/>
      <c r="X73" s="177"/>
      <c r="Y73" s="177"/>
      <c r="Z73" s="177"/>
      <c r="AA73" s="177"/>
      <c r="AB73" s="177"/>
      <c r="AC73" s="177"/>
      <c r="AD73" s="177"/>
      <c r="AE73" s="177"/>
    </row>
    <row r="74" spans="1:31" s="178" customFormat="1" x14ac:dyDescent="0.2">
      <c r="A74" s="177"/>
      <c r="B74" s="177"/>
      <c r="C74" s="800">
        <f t="shared" ref="C74:J74" si="12">+C57</f>
        <v>0</v>
      </c>
      <c r="D74" s="800">
        <f t="shared" si="12"/>
        <v>0</v>
      </c>
      <c r="E74" s="800">
        <f t="shared" si="12"/>
        <v>0</v>
      </c>
      <c r="F74" s="800">
        <f t="shared" si="12"/>
        <v>0</v>
      </c>
      <c r="G74" s="800">
        <f t="shared" si="12"/>
        <v>0</v>
      </c>
      <c r="H74" s="800">
        <f t="shared" si="12"/>
        <v>0</v>
      </c>
      <c r="I74" s="800">
        <f t="shared" si="12"/>
        <v>0</v>
      </c>
      <c r="J74" s="800">
        <f t="shared" si="12"/>
        <v>0</v>
      </c>
      <c r="K74" s="177"/>
      <c r="L74" s="177"/>
      <c r="M74" s="177"/>
      <c r="N74" s="177"/>
      <c r="O74" s="177"/>
      <c r="P74" s="177"/>
      <c r="Q74" s="177"/>
      <c r="R74" s="177"/>
      <c r="S74" s="177"/>
      <c r="T74" s="177"/>
      <c r="U74" s="177"/>
      <c r="V74" s="177"/>
      <c r="W74" s="177"/>
      <c r="X74" s="177"/>
      <c r="Y74" s="177"/>
      <c r="Z74" s="177"/>
      <c r="AA74" s="177"/>
      <c r="AB74" s="177"/>
      <c r="AC74" s="177"/>
      <c r="AD74" s="177"/>
    </row>
    <row r="75" spans="1:31" x14ac:dyDescent="0.2">
      <c r="C75" s="233" t="s">
        <v>127</v>
      </c>
      <c r="F75" s="234"/>
      <c r="J75" s="234"/>
    </row>
    <row r="76" spans="1:31" x14ac:dyDescent="0.2">
      <c r="C76" s="235" t="s">
        <v>103</v>
      </c>
    </row>
    <row r="77" spans="1:31" x14ac:dyDescent="0.2">
      <c r="C77" s="236"/>
    </row>
    <row r="78" spans="1:31" ht="13.5" thickBot="1" x14ac:dyDescent="0.25">
      <c r="C78" s="236"/>
    </row>
    <row r="79" spans="1:31" ht="20.25" customHeight="1" thickBot="1" x14ac:dyDescent="0.25">
      <c r="A79" s="1077" t="s">
        <v>18</v>
      </c>
      <c r="B79" s="1078"/>
      <c r="C79" s="1078"/>
      <c r="D79" s="1078"/>
      <c r="E79" s="1078"/>
      <c r="F79" s="1078"/>
      <c r="G79" s="1078"/>
      <c r="H79" s="1078"/>
      <c r="I79" s="1078"/>
      <c r="J79" s="1078"/>
      <c r="K79" s="1078"/>
      <c r="L79" s="1079"/>
      <c r="M79" s="1138"/>
      <c r="N79" s="1138"/>
    </row>
    <row r="81" spans="1:31" x14ac:dyDescent="0.2">
      <c r="C81" s="233" t="s">
        <v>127</v>
      </c>
    </row>
    <row r="82" spans="1:31" x14ac:dyDescent="0.2">
      <c r="C82" s="235" t="s">
        <v>103</v>
      </c>
    </row>
    <row r="83" spans="1:31" ht="16.5" x14ac:dyDescent="0.2">
      <c r="C83" s="1094" t="s">
        <v>19</v>
      </c>
      <c r="D83" s="1095"/>
      <c r="E83" s="1095"/>
      <c r="F83" s="1095"/>
      <c r="G83" s="1095"/>
      <c r="H83" s="1095"/>
      <c r="I83" s="1095"/>
      <c r="J83" s="1096"/>
      <c r="L83" s="237" t="s">
        <v>20</v>
      </c>
    </row>
    <row r="84" spans="1:31" ht="13.5" thickBot="1" x14ac:dyDescent="0.25">
      <c r="A84" s="1097"/>
      <c r="B84" s="1097"/>
      <c r="C84" s="238">
        <f>C73</f>
        <v>2017</v>
      </c>
      <c r="D84" s="239">
        <f>D73</f>
        <v>2018</v>
      </c>
      <c r="E84" s="239">
        <f>E73</f>
        <v>2019</v>
      </c>
      <c r="F84" s="239">
        <f>F73</f>
        <v>2020</v>
      </c>
      <c r="G84" s="239">
        <f t="shared" ref="G84:I84" si="13">G73</f>
        <v>2021</v>
      </c>
      <c r="H84" s="239">
        <f t="shared" si="13"/>
        <v>2022</v>
      </c>
      <c r="I84" s="239">
        <f t="shared" si="13"/>
        <v>2023</v>
      </c>
      <c r="J84" s="239">
        <f>J73</f>
        <v>2024</v>
      </c>
      <c r="L84" s="240"/>
    </row>
    <row r="85" spans="1:31" s="178" customFormat="1" ht="13.5" thickBot="1" x14ac:dyDescent="0.25">
      <c r="A85" s="1088" t="s">
        <v>21</v>
      </c>
      <c r="B85" s="241">
        <f>C73</f>
        <v>2017</v>
      </c>
      <c r="C85" s="845">
        <v>0</v>
      </c>
      <c r="D85" s="242"/>
      <c r="E85" s="242"/>
      <c r="F85" s="251"/>
      <c r="G85" s="251"/>
      <c r="H85" s="242"/>
      <c r="I85" s="242"/>
      <c r="J85" s="243"/>
      <c r="K85" s="244"/>
      <c r="L85" s="245">
        <f>SUM(C85:J85)</f>
        <v>0</v>
      </c>
      <c r="M85" s="177"/>
      <c r="N85" s="177"/>
      <c r="O85" s="177"/>
      <c r="P85" s="177"/>
      <c r="Q85" s="177"/>
      <c r="R85" s="177"/>
      <c r="S85" s="177"/>
      <c r="T85" s="177"/>
      <c r="U85" s="177"/>
      <c r="V85" s="177"/>
      <c r="W85" s="177"/>
      <c r="X85" s="177"/>
      <c r="Y85" s="177"/>
      <c r="Z85" s="177"/>
      <c r="AA85" s="177"/>
      <c r="AB85" s="177"/>
      <c r="AC85" s="177"/>
      <c r="AD85" s="177"/>
      <c r="AE85" s="177"/>
    </row>
    <row r="86" spans="1:31" s="178" customFormat="1" ht="13.5" thickBot="1" x14ac:dyDescent="0.25">
      <c r="A86" s="1135"/>
      <c r="B86" s="246">
        <f>D73</f>
        <v>2018</v>
      </c>
      <c r="C86" s="331">
        <f>+C$74-C85</f>
        <v>0</v>
      </c>
      <c r="D86" s="845">
        <v>0</v>
      </c>
      <c r="E86" s="248"/>
      <c r="F86" s="251"/>
      <c r="G86" s="251"/>
      <c r="H86" s="248"/>
      <c r="I86" s="248"/>
      <c r="J86" s="249"/>
      <c r="K86" s="244"/>
      <c r="L86" s="245">
        <f t="shared" ref="L86:L92" si="14">SUM(C86:J86)</f>
        <v>0</v>
      </c>
      <c r="M86" s="177"/>
      <c r="N86" s="177"/>
      <c r="O86" s="177"/>
      <c r="P86" s="177"/>
      <c r="Q86" s="177"/>
      <c r="R86" s="177"/>
      <c r="S86" s="177"/>
      <c r="T86" s="177"/>
      <c r="U86" s="177"/>
      <c r="V86" s="177"/>
      <c r="W86" s="177"/>
      <c r="X86" s="177"/>
      <c r="Y86" s="177"/>
      <c r="Z86" s="177"/>
      <c r="AA86" s="177"/>
      <c r="AB86" s="177"/>
      <c r="AC86" s="177"/>
      <c r="AD86" s="177"/>
      <c r="AE86" s="177"/>
    </row>
    <row r="87" spans="1:31" s="178" customFormat="1" ht="13.5" thickBot="1" x14ac:dyDescent="0.25">
      <c r="A87" s="1135"/>
      <c r="B87" s="246">
        <f>E73</f>
        <v>2019</v>
      </c>
      <c r="C87" s="250"/>
      <c r="D87" s="331">
        <f>+D$74-D86</f>
        <v>0</v>
      </c>
      <c r="E87" s="845">
        <v>0</v>
      </c>
      <c r="F87" s="251"/>
      <c r="G87" s="251"/>
      <c r="H87" s="251"/>
      <c r="I87" s="251"/>
      <c r="J87" s="272"/>
      <c r="K87" s="244"/>
      <c r="L87" s="245">
        <f t="shared" si="14"/>
        <v>0</v>
      </c>
      <c r="M87" s="177"/>
      <c r="N87" s="177"/>
      <c r="O87" s="177"/>
      <c r="P87" s="177"/>
      <c r="Q87" s="177"/>
      <c r="R87" s="177"/>
      <c r="S87" s="177"/>
      <c r="T87" s="177"/>
      <c r="U87" s="177"/>
      <c r="V87" s="177"/>
      <c r="W87" s="177"/>
      <c r="X87" s="177"/>
      <c r="Y87" s="177"/>
      <c r="Z87" s="177"/>
      <c r="AA87" s="177"/>
      <c r="AB87" s="177"/>
      <c r="AC87" s="177"/>
      <c r="AD87" s="177"/>
      <c r="AE87" s="177"/>
    </row>
    <row r="88" spans="1:31" s="178" customFormat="1" ht="13.5" thickBot="1" x14ac:dyDescent="0.25">
      <c r="A88" s="1135"/>
      <c r="B88" s="246">
        <f>+F73</f>
        <v>2020</v>
      </c>
      <c r="C88" s="250"/>
      <c r="D88" s="251"/>
      <c r="E88" s="331">
        <f>+E$74-E87</f>
        <v>0</v>
      </c>
      <c r="F88" s="845">
        <v>0</v>
      </c>
      <c r="G88" s="251"/>
      <c r="H88" s="251"/>
      <c r="I88" s="251"/>
      <c r="J88" s="272"/>
      <c r="K88" s="244"/>
      <c r="L88" s="245">
        <f t="shared" si="14"/>
        <v>0</v>
      </c>
      <c r="M88" s="177"/>
      <c r="N88" s="177"/>
      <c r="O88" s="177"/>
      <c r="P88" s="177"/>
      <c r="Q88" s="177"/>
      <c r="R88" s="177"/>
      <c r="S88" s="177"/>
      <c r="T88" s="177"/>
      <c r="U88" s="177"/>
      <c r="V88" s="177"/>
      <c r="W88" s="177"/>
      <c r="X88" s="177"/>
      <c r="Y88" s="177"/>
      <c r="Z88" s="177"/>
      <c r="AA88" s="177"/>
      <c r="AB88" s="177"/>
      <c r="AC88" s="177"/>
      <c r="AD88" s="177"/>
      <c r="AE88" s="177"/>
    </row>
    <row r="89" spans="1:31" s="178" customFormat="1" ht="13.5" thickBot="1" x14ac:dyDescent="0.25">
      <c r="A89" s="1135"/>
      <c r="B89" s="246">
        <f>+G73</f>
        <v>2021</v>
      </c>
      <c r="C89" s="250"/>
      <c r="D89" s="251"/>
      <c r="E89" s="251"/>
      <c r="F89" s="331">
        <f>+F$74-F88</f>
        <v>0</v>
      </c>
      <c r="G89" s="845">
        <v>0</v>
      </c>
      <c r="H89" s="251"/>
      <c r="I89" s="251"/>
      <c r="J89" s="249"/>
      <c r="K89" s="244"/>
      <c r="L89" s="245">
        <f t="shared" si="14"/>
        <v>0</v>
      </c>
      <c r="M89" s="177"/>
      <c r="N89" s="177"/>
      <c r="O89" s="177"/>
      <c r="P89" s="177"/>
      <c r="Q89" s="177"/>
      <c r="R89" s="177"/>
      <c r="S89" s="177"/>
      <c r="T89" s="177"/>
      <c r="U89" s="177"/>
      <c r="V89" s="177"/>
      <c r="W89" s="177"/>
      <c r="X89" s="177"/>
      <c r="Y89" s="177"/>
      <c r="Z89" s="177"/>
      <c r="AA89" s="177"/>
      <c r="AB89" s="177"/>
      <c r="AC89" s="177"/>
      <c r="AD89" s="177"/>
      <c r="AE89" s="177"/>
    </row>
    <row r="90" spans="1:31" s="178" customFormat="1" ht="13.5" thickBot="1" x14ac:dyDescent="0.25">
      <c r="A90" s="1135"/>
      <c r="B90" s="246">
        <f>+H73</f>
        <v>2022</v>
      </c>
      <c r="C90" s="250"/>
      <c r="D90" s="251"/>
      <c r="E90" s="251"/>
      <c r="F90" s="251"/>
      <c r="G90" s="331">
        <f>+G$74-G89</f>
        <v>0</v>
      </c>
      <c r="H90" s="845">
        <v>0</v>
      </c>
      <c r="I90" s="251"/>
      <c r="J90" s="249"/>
      <c r="K90" s="244"/>
      <c r="L90" s="245">
        <f t="shared" si="14"/>
        <v>0</v>
      </c>
      <c r="M90" s="177"/>
      <c r="N90" s="177"/>
      <c r="O90" s="177"/>
      <c r="P90" s="177"/>
      <c r="Q90" s="177"/>
      <c r="R90" s="177"/>
      <c r="S90" s="177"/>
      <c r="T90" s="177"/>
      <c r="U90" s="177"/>
      <c r="V90" s="177"/>
      <c r="W90" s="177"/>
      <c r="X90" s="177"/>
      <c r="Y90" s="177"/>
      <c r="Z90" s="177"/>
      <c r="AA90" s="177"/>
      <c r="AB90" s="177"/>
      <c r="AC90" s="177"/>
      <c r="AD90" s="177"/>
      <c r="AE90" s="177"/>
    </row>
    <row r="91" spans="1:31" s="178" customFormat="1" ht="13.5" thickBot="1" x14ac:dyDescent="0.25">
      <c r="A91" s="1135"/>
      <c r="B91" s="246">
        <f>+I73</f>
        <v>2023</v>
      </c>
      <c r="C91" s="250"/>
      <c r="D91" s="251"/>
      <c r="E91" s="251"/>
      <c r="F91" s="251"/>
      <c r="G91" s="251"/>
      <c r="H91" s="331">
        <f>+H$74-H90</f>
        <v>0</v>
      </c>
      <c r="I91" s="845">
        <v>0</v>
      </c>
      <c r="J91" s="249"/>
      <c r="K91" s="244"/>
      <c r="L91" s="245">
        <f t="shared" si="14"/>
        <v>0</v>
      </c>
      <c r="M91" s="177"/>
      <c r="N91" s="177"/>
      <c r="O91" s="177"/>
      <c r="P91" s="177"/>
      <c r="Q91" s="177"/>
      <c r="R91" s="177"/>
      <c r="S91" s="177"/>
      <c r="T91" s="177"/>
      <c r="U91" s="177"/>
      <c r="V91" s="177"/>
      <c r="W91" s="177"/>
      <c r="X91" s="177"/>
      <c r="Y91" s="177"/>
      <c r="Z91" s="177"/>
      <c r="AA91" s="177"/>
      <c r="AB91" s="177"/>
      <c r="AC91" s="177"/>
      <c r="AD91" s="177"/>
      <c r="AE91" s="177"/>
    </row>
    <row r="92" spans="1:31" s="178" customFormat="1" ht="13.5" thickBot="1" x14ac:dyDescent="0.25">
      <c r="A92" s="1135"/>
      <c r="B92" s="246">
        <f>J73</f>
        <v>2024</v>
      </c>
      <c r="C92" s="250"/>
      <c r="D92" s="248"/>
      <c r="E92" s="251"/>
      <c r="F92" s="251"/>
      <c r="G92" s="251"/>
      <c r="H92" s="251"/>
      <c r="I92" s="331">
        <f>+I$74-I91</f>
        <v>0</v>
      </c>
      <c r="J92" s="846">
        <v>0</v>
      </c>
      <c r="K92" s="244"/>
      <c r="L92" s="245">
        <f t="shared" si="14"/>
        <v>0</v>
      </c>
      <c r="M92" s="177"/>
      <c r="N92" s="177"/>
      <c r="O92" s="177"/>
      <c r="P92" s="177"/>
      <c r="Q92" s="177"/>
      <c r="R92" s="177"/>
      <c r="S92" s="177"/>
      <c r="T92" s="177"/>
      <c r="U92" s="177"/>
      <c r="V92" s="177"/>
      <c r="W92" s="177"/>
      <c r="X92" s="177"/>
      <c r="Y92" s="177"/>
      <c r="Z92" s="177"/>
      <c r="AA92" s="177"/>
      <c r="AB92" s="177"/>
      <c r="AC92" s="177"/>
      <c r="AD92" s="177"/>
      <c r="AE92" s="177"/>
    </row>
    <row r="93" spans="1:31" s="256" customFormat="1" ht="15.75" x14ac:dyDescent="0.2">
      <c r="A93" s="1136"/>
      <c r="B93" s="326" t="s">
        <v>22</v>
      </c>
      <c r="C93" s="252">
        <f>SUM(C85:C92)</f>
        <v>0</v>
      </c>
      <c r="D93" s="252">
        <f t="shared" ref="D93:I93" si="15">SUM(D85:D92)</f>
        <v>0</v>
      </c>
      <c r="E93" s="252">
        <f t="shared" si="15"/>
        <v>0</v>
      </c>
      <c r="F93" s="252">
        <f t="shared" si="15"/>
        <v>0</v>
      </c>
      <c r="G93" s="252">
        <f t="shared" si="15"/>
        <v>0</v>
      </c>
      <c r="H93" s="252">
        <f t="shared" si="15"/>
        <v>0</v>
      </c>
      <c r="I93" s="252">
        <f t="shared" si="15"/>
        <v>0</v>
      </c>
      <c r="J93" s="325">
        <f>SUM(J85:J92)</f>
        <v>0</v>
      </c>
      <c r="K93" s="253"/>
      <c r="L93" s="254">
        <f>SUM(L85:L92)</f>
        <v>0</v>
      </c>
      <c r="M93" s="255"/>
      <c r="N93" s="255"/>
      <c r="O93" s="255"/>
      <c r="P93" s="255"/>
      <c r="Q93" s="255"/>
      <c r="R93" s="255"/>
      <c r="S93" s="255"/>
      <c r="T93" s="255"/>
      <c r="U93" s="255"/>
      <c r="V93" s="255"/>
      <c r="W93" s="255"/>
      <c r="X93" s="255"/>
      <c r="Y93" s="255"/>
      <c r="Z93" s="255"/>
      <c r="AA93" s="255"/>
      <c r="AB93" s="255"/>
      <c r="AC93" s="255"/>
      <c r="AD93" s="255"/>
      <c r="AE93" s="255"/>
    </row>
    <row r="94" spans="1:31" s="235" customFormat="1" x14ac:dyDescent="0.2">
      <c r="A94" s="257" t="s">
        <v>34</v>
      </c>
      <c r="C94" s="258">
        <f t="shared" ref="C94:J94" si="16">+C93+C108</f>
        <v>0</v>
      </c>
      <c r="D94" s="258">
        <f t="shared" si="16"/>
        <v>0</v>
      </c>
      <c r="E94" s="258">
        <f t="shared" si="16"/>
        <v>0</v>
      </c>
      <c r="F94" s="258">
        <f t="shared" si="16"/>
        <v>0</v>
      </c>
      <c r="G94" s="258">
        <f t="shared" si="16"/>
        <v>0</v>
      </c>
      <c r="H94" s="258">
        <f t="shared" si="16"/>
        <v>0</v>
      </c>
      <c r="I94" s="258">
        <f t="shared" si="16"/>
        <v>0</v>
      </c>
      <c r="J94" s="258">
        <f t="shared" si="16"/>
        <v>0</v>
      </c>
      <c r="K94" s="258"/>
      <c r="L94" s="258">
        <f>+L93+L108</f>
        <v>0</v>
      </c>
      <c r="M94" s="258"/>
    </row>
    <row r="95" spans="1:31" s="259" customFormat="1" x14ac:dyDescent="0.2">
      <c r="A95" s="235"/>
      <c r="B95" s="235"/>
      <c r="C95" s="258"/>
      <c r="D95" s="258"/>
      <c r="E95" s="258"/>
      <c r="F95" s="258"/>
      <c r="G95" s="258"/>
      <c r="H95" s="258"/>
      <c r="I95" s="258"/>
      <c r="J95" s="258"/>
      <c r="K95" s="235"/>
      <c r="L95" s="235"/>
      <c r="M95" s="235"/>
      <c r="N95" s="235"/>
      <c r="O95" s="235"/>
      <c r="P95" s="235"/>
      <c r="Q95" s="235"/>
      <c r="R95" s="235"/>
      <c r="S95" s="235"/>
      <c r="T95" s="235"/>
      <c r="U95" s="235"/>
      <c r="V95" s="235"/>
      <c r="W95" s="235"/>
      <c r="X95" s="235"/>
      <c r="Y95" s="235"/>
      <c r="Z95" s="235"/>
      <c r="AA95" s="235"/>
      <c r="AB95" s="235"/>
      <c r="AC95" s="235"/>
      <c r="AD95" s="235"/>
      <c r="AE95" s="235"/>
    </row>
    <row r="96" spans="1:31" s="235" customFormat="1" x14ac:dyDescent="0.2">
      <c r="C96" s="233" t="s">
        <v>129</v>
      </c>
      <c r="D96" s="258"/>
      <c r="E96" s="258"/>
      <c r="F96" s="258"/>
      <c r="G96" s="258"/>
      <c r="H96" s="258"/>
      <c r="I96" s="258"/>
      <c r="J96" s="258"/>
      <c r="K96" s="258"/>
      <c r="L96" s="258"/>
    </row>
    <row r="97" spans="1:31" x14ac:dyDescent="0.2">
      <c r="C97" s="233" t="s">
        <v>130</v>
      </c>
    </row>
    <row r="98" spans="1:31" s="178" customFormat="1" ht="16.5" x14ac:dyDescent="0.2">
      <c r="A98" s="177"/>
      <c r="B98" s="177"/>
      <c r="C98" s="1085" t="s">
        <v>19</v>
      </c>
      <c r="D98" s="1086"/>
      <c r="E98" s="1086"/>
      <c r="F98" s="1086"/>
      <c r="G98" s="1086"/>
      <c r="H98" s="1086"/>
      <c r="I98" s="1086"/>
      <c r="J98" s="1087"/>
      <c r="K98" s="177"/>
      <c r="L98" s="237" t="s">
        <v>20</v>
      </c>
      <c r="M98" s="177"/>
      <c r="N98" s="237" t="s">
        <v>20</v>
      </c>
      <c r="O98" s="177"/>
      <c r="P98" s="177"/>
      <c r="Q98" s="177"/>
      <c r="R98" s="177"/>
      <c r="S98" s="177"/>
      <c r="T98" s="177"/>
      <c r="U98" s="177"/>
      <c r="V98" s="177"/>
      <c r="W98" s="177"/>
      <c r="X98" s="177"/>
      <c r="Y98" s="177"/>
      <c r="Z98" s="177"/>
      <c r="AA98" s="177"/>
      <c r="AB98" s="177"/>
      <c r="AC98" s="177"/>
      <c r="AD98" s="177"/>
      <c r="AE98" s="177"/>
    </row>
    <row r="99" spans="1:31" s="178" customFormat="1" x14ac:dyDescent="0.2">
      <c r="A99" s="177"/>
      <c r="B99" s="177"/>
      <c r="C99" s="239">
        <f>+C84</f>
        <v>2017</v>
      </c>
      <c r="D99" s="239">
        <f t="shared" ref="D99:J99" si="17">+D84</f>
        <v>2018</v>
      </c>
      <c r="E99" s="239">
        <f t="shared" si="17"/>
        <v>2019</v>
      </c>
      <c r="F99" s="239">
        <f t="shared" si="17"/>
        <v>2020</v>
      </c>
      <c r="G99" s="239">
        <f t="shared" si="17"/>
        <v>2021</v>
      </c>
      <c r="H99" s="239">
        <f t="shared" si="17"/>
        <v>2022</v>
      </c>
      <c r="I99" s="239">
        <f t="shared" si="17"/>
        <v>2023</v>
      </c>
      <c r="J99" s="239">
        <f t="shared" si="17"/>
        <v>2024</v>
      </c>
      <c r="K99" s="177"/>
      <c r="L99" s="240" t="s">
        <v>23</v>
      </c>
      <c r="M99" s="177"/>
      <c r="N99" s="240" t="s">
        <v>24</v>
      </c>
      <c r="O99" s="177"/>
      <c r="P99" s="177"/>
      <c r="Q99" s="177"/>
      <c r="R99" s="177"/>
      <c r="S99" s="177"/>
      <c r="T99" s="177"/>
      <c r="U99" s="177"/>
      <c r="V99" s="177"/>
      <c r="W99" s="177"/>
      <c r="X99" s="177"/>
      <c r="Y99" s="177"/>
      <c r="Z99" s="177"/>
      <c r="AA99" s="177"/>
      <c r="AB99" s="177"/>
      <c r="AC99" s="177"/>
      <c r="AD99" s="177"/>
      <c r="AE99" s="177"/>
    </row>
    <row r="100" spans="1:31" s="178" customFormat="1" ht="12.75" customHeight="1" x14ac:dyDescent="0.2">
      <c r="A100" s="1098" t="s">
        <v>93</v>
      </c>
      <c r="B100" s="260">
        <f>+B85</f>
        <v>2017</v>
      </c>
      <c r="C100" s="518"/>
      <c r="D100" s="261"/>
      <c r="E100" s="261"/>
      <c r="F100" s="261"/>
      <c r="G100" s="261"/>
      <c r="H100" s="261"/>
      <c r="I100" s="261"/>
      <c r="J100" s="262"/>
      <c r="K100" s="244"/>
      <c r="L100" s="245">
        <f>SUM(C100:J100)</f>
        <v>0</v>
      </c>
      <c r="M100" s="244"/>
      <c r="N100" s="263">
        <f>SUM(L85,L100)</f>
        <v>0</v>
      </c>
      <c r="O100" s="177"/>
      <c r="P100" s="177"/>
      <c r="Q100" s="177"/>
      <c r="R100" s="177"/>
      <c r="S100" s="177"/>
      <c r="T100" s="177"/>
      <c r="U100" s="177"/>
      <c r="V100" s="177"/>
      <c r="W100" s="177"/>
      <c r="X100" s="177"/>
      <c r="Y100" s="177"/>
      <c r="Z100" s="177"/>
      <c r="AA100" s="177"/>
      <c r="AB100" s="177"/>
      <c r="AC100" s="177"/>
      <c r="AD100" s="177"/>
      <c r="AE100" s="177"/>
    </row>
    <row r="101" spans="1:31" s="178" customFormat="1" ht="12.75" customHeight="1" x14ac:dyDescent="0.2">
      <c r="A101" s="1099"/>
      <c r="B101" s="260">
        <f t="shared" ref="B101:B107" si="18">+B86</f>
        <v>2018</v>
      </c>
      <c r="C101" s="247">
        <f>+IF($Q$3="ex-ante",IF(C$99&lt;=($P$3-1),IF($B101&lt;=($P$3),T6B!G108,0),0),IF($Q$3="ex-post",IF(C$99&lt;=($P$3),IF($B101&lt;=($P$3+1),T6B!G108,0),0),0))</f>
        <v>0</v>
      </c>
      <c r="D101" s="261"/>
      <c r="E101" s="261"/>
      <c r="F101" s="261"/>
      <c r="G101" s="261"/>
      <c r="H101" s="261"/>
      <c r="I101" s="261"/>
      <c r="J101" s="265"/>
      <c r="K101" s="244"/>
      <c r="L101" s="245">
        <f t="shared" ref="L101:L107" si="19">SUM(C101:J101)</f>
        <v>0</v>
      </c>
      <c r="M101" s="244"/>
      <c r="N101" s="263">
        <f t="shared" ref="N101:N107" si="20">SUM(L86,L101)</f>
        <v>0</v>
      </c>
      <c r="O101" s="177"/>
      <c r="P101" s="177"/>
      <c r="Q101" s="177"/>
      <c r="R101" s="177"/>
      <c r="S101" s="177"/>
      <c r="T101" s="177"/>
      <c r="U101" s="177"/>
      <c r="V101" s="177"/>
      <c r="W101" s="177"/>
      <c r="X101" s="177"/>
      <c r="Y101" s="177"/>
      <c r="Z101" s="177"/>
      <c r="AA101" s="177"/>
      <c r="AB101" s="177"/>
      <c r="AC101" s="177"/>
      <c r="AD101" s="177"/>
      <c r="AE101" s="177"/>
    </row>
    <row r="102" spans="1:31" s="178" customFormat="1" ht="12.75" customHeight="1" x14ac:dyDescent="0.2">
      <c r="A102" s="1099" t="s">
        <v>25</v>
      </c>
      <c r="B102" s="260">
        <f t="shared" si="18"/>
        <v>2019</v>
      </c>
      <c r="C102" s="247">
        <f>+IF($Q$3="ex-ante",IF(C$99&lt;=($P$3-1),IF($B102&lt;=($P$3),T6B!G109,0),0),IF($Q$3="ex-post",IF(C$99&lt;=($P$3),IF($B102&lt;=($P$3+1),T6B!G109,0),0),0))</f>
        <v>0</v>
      </c>
      <c r="D102" s="247">
        <f>+IF($Q$3="ex-ante",IF(D$99&lt;=($P$3-1),IF($B102&lt;=($P$3),T6B!H109,0),0),IF($Q$3="ex-post",IF(D$99&lt;=($P$3),IF($B102&lt;=($P$3+1),T6B!H109,0),0),0))</f>
        <v>0</v>
      </c>
      <c r="E102" s="261"/>
      <c r="F102" s="261"/>
      <c r="G102" s="261"/>
      <c r="H102" s="261"/>
      <c r="I102" s="261"/>
      <c r="J102" s="265"/>
      <c r="K102" s="244"/>
      <c r="L102" s="245">
        <f t="shared" si="19"/>
        <v>0</v>
      </c>
      <c r="M102" s="244"/>
      <c r="N102" s="263">
        <f t="shared" si="20"/>
        <v>0</v>
      </c>
      <c r="O102" s="177"/>
      <c r="P102" s="177"/>
      <c r="Q102" s="177"/>
      <c r="R102" s="177"/>
      <c r="S102" s="177"/>
      <c r="T102" s="177"/>
      <c r="U102" s="177"/>
      <c r="V102" s="177"/>
      <c r="W102" s="177"/>
      <c r="X102" s="177"/>
      <c r="Y102" s="177"/>
      <c r="Z102" s="177"/>
      <c r="AA102" s="177"/>
      <c r="AB102" s="177"/>
      <c r="AC102" s="177"/>
      <c r="AD102" s="177"/>
      <c r="AE102" s="177"/>
    </row>
    <row r="103" spans="1:31" s="178" customFormat="1" ht="12.75" customHeight="1" x14ac:dyDescent="0.2">
      <c r="A103" s="1099"/>
      <c r="B103" s="260">
        <f t="shared" si="18"/>
        <v>2020</v>
      </c>
      <c r="C103" s="247">
        <f>+IF($Q$3="ex-ante",IF(C$99&lt;=($P$3-1),IF($B103&lt;=($P$3),T6B!G110,0),0),IF($Q$3="ex-post",IF(C$99&lt;=($P$3),IF($B103&lt;=($P$3+1),T6B!G110,0),0),0))</f>
        <v>0</v>
      </c>
      <c r="D103" s="247">
        <f>+IF($Q$3="ex-ante",IF(D$99&lt;=($P$3-1),IF($B103&lt;=($P$3),T6B!H110,0),0),IF($Q$3="ex-post",IF(D$99&lt;=($P$3),IF($B103&lt;=($P$3+1),T6B!H110,0),0),0))</f>
        <v>0</v>
      </c>
      <c r="E103" s="247">
        <f>+IF($Q$3="ex-ante",IF(E$99&lt;=($P$3-1),IF($B103&lt;=($P$3),T6B!I110,0),0),IF($Q$3="ex-post",IF(E$99&lt;=($P$3),IF($B103&lt;=($P$3+1),T6B!I110,0),0),0))</f>
        <v>0</v>
      </c>
      <c r="F103" s="261"/>
      <c r="G103" s="261"/>
      <c r="H103" s="261"/>
      <c r="I103" s="261"/>
      <c r="J103" s="265"/>
      <c r="K103" s="244"/>
      <c r="L103" s="245">
        <f t="shared" si="19"/>
        <v>0</v>
      </c>
      <c r="M103" s="244"/>
      <c r="N103" s="263">
        <f t="shared" si="20"/>
        <v>0</v>
      </c>
      <c r="O103" s="177"/>
      <c r="P103" s="177"/>
      <c r="Q103" s="177"/>
      <c r="R103" s="177"/>
      <c r="S103" s="177"/>
      <c r="T103" s="177"/>
      <c r="U103" s="177"/>
      <c r="V103" s="177"/>
      <c r="W103" s="177"/>
      <c r="X103" s="177"/>
      <c r="Y103" s="177"/>
      <c r="Z103" s="177"/>
      <c r="AA103" s="177"/>
      <c r="AB103" s="177"/>
      <c r="AC103" s="177"/>
      <c r="AD103" s="177"/>
      <c r="AE103" s="177"/>
    </row>
    <row r="104" spans="1:31" s="178" customFormat="1" ht="12.75" customHeight="1" x14ac:dyDescent="0.2">
      <c r="A104" s="1099"/>
      <c r="B104" s="260">
        <f t="shared" si="18"/>
        <v>2021</v>
      </c>
      <c r="C104" s="247">
        <f>+IF($Q$3="ex-ante",IF(C$99&lt;=($P$3-1),IF($B104&lt;=($P$3),T6B!G111,0),0),IF($Q$3="ex-post",IF(C$99&lt;=($P$3),IF($B104&lt;=($P$3+1),T6B!G111,0),0),0))</f>
        <v>0</v>
      </c>
      <c r="D104" s="247">
        <f>+IF($Q$3="ex-ante",IF(D$99&lt;=($P$3-1),IF($B104&lt;=($P$3),T6B!H111,0),0),IF($Q$3="ex-post",IF(D$99&lt;=($P$3),IF($B104&lt;=($P$3+1),T6B!H111,0),0),0))</f>
        <v>0</v>
      </c>
      <c r="E104" s="247">
        <f>+IF($Q$3="ex-ante",IF(E$99&lt;=($P$3-1),IF($B104&lt;=($P$3),T6B!I111,0),0),IF($Q$3="ex-post",IF(E$99&lt;=($P$3),IF($B104&lt;=($P$3+1),T6B!I111,0),0),0))</f>
        <v>0</v>
      </c>
      <c r="F104" s="247">
        <f>+IF($Q$3="ex-ante",IF(F$99&lt;=($P$3-1),IF($B104&lt;=($P$3),T6B!J111,0),0),IF($Q$3="ex-post",IF(F$99&lt;=($P$3),IF($B104&lt;=($P$3+1),T6B!J111,0),0),0))</f>
        <v>0</v>
      </c>
      <c r="G104" s="261"/>
      <c r="H104" s="261"/>
      <c r="I104" s="261"/>
      <c r="J104" s="265"/>
      <c r="K104" s="244"/>
      <c r="L104" s="245">
        <f t="shared" si="19"/>
        <v>0</v>
      </c>
      <c r="M104" s="244"/>
      <c r="N104" s="263">
        <f t="shared" si="20"/>
        <v>0</v>
      </c>
      <c r="O104" s="236" t="s">
        <v>27</v>
      </c>
      <c r="P104" s="177"/>
      <c r="Q104" s="177"/>
      <c r="R104" s="177"/>
      <c r="S104" s="177"/>
      <c r="T104" s="177"/>
      <c r="U104" s="177"/>
      <c r="V104" s="177"/>
      <c r="W104" s="177"/>
      <c r="X104" s="177"/>
      <c r="Y104" s="177"/>
      <c r="Z104" s="177"/>
      <c r="AA104" s="177"/>
      <c r="AB104" s="177"/>
      <c r="AC104" s="177"/>
      <c r="AD104" s="177"/>
      <c r="AE104" s="177"/>
    </row>
    <row r="105" spans="1:31" s="178" customFormat="1" ht="12.75" customHeight="1" x14ac:dyDescent="0.2">
      <c r="A105" s="1099"/>
      <c r="B105" s="260">
        <f t="shared" si="18"/>
        <v>2022</v>
      </c>
      <c r="C105" s="247">
        <f>+IF($Q$3="ex-ante",IF(C$99&lt;=($P$3-1),IF($B105&lt;=($P$3),T6B!G112,0),0),IF($Q$3="ex-post",IF(C$99&lt;=($P$3),IF($B105&lt;=($P$3+1),T6B!G112,0),0),0))</f>
        <v>0</v>
      </c>
      <c r="D105" s="247">
        <f>+IF($Q$3="ex-ante",IF(D$99&lt;=($P$3-1),IF($B105&lt;=($P$3),T6B!H112,0),0),IF($Q$3="ex-post",IF(D$99&lt;=($P$3),IF($B105&lt;=($P$3+1),T6B!H112,0),0),0))</f>
        <v>0</v>
      </c>
      <c r="E105" s="247">
        <f>+IF($Q$3="ex-ante",IF(E$99&lt;=($P$3-1),IF($B105&lt;=($P$3),T6B!I112,0),0),IF($Q$3="ex-post",IF(E$99&lt;=($P$3),IF($B105&lt;=($P$3+1),T6B!I112,0),0),0))</f>
        <v>0</v>
      </c>
      <c r="F105" s="247">
        <f>+IF($Q$3="ex-ante",IF(F$99&lt;=($P$3-1),IF($B105&lt;=($P$3),T6B!J112,0),0),IF($Q$3="ex-post",IF(F$99&lt;=($P$3),IF($B105&lt;=($P$3+1),T6B!J112,0),0),0))</f>
        <v>0</v>
      </c>
      <c r="G105" s="247">
        <f>+IF($Q$3="ex-ante",IF(G$99&lt;=($P$3-1),IF($B105&lt;=($P$3),T6B!K112,0),0),IF($Q$3="ex-post",IF(G$99&lt;=($P$3),IF($B105&lt;=($P$3+1),T6B!K112,0),0),0))</f>
        <v>0</v>
      </c>
      <c r="H105" s="261"/>
      <c r="I105" s="261"/>
      <c r="J105" s="265"/>
      <c r="K105" s="244"/>
      <c r="L105" s="245">
        <f t="shared" si="19"/>
        <v>0</v>
      </c>
      <c r="M105" s="244"/>
      <c r="N105" s="263">
        <f t="shared" si="20"/>
        <v>0</v>
      </c>
      <c r="O105" s="236" t="s">
        <v>28</v>
      </c>
      <c r="P105" s="177"/>
      <c r="Q105" s="177"/>
      <c r="R105" s="177"/>
      <c r="S105" s="177"/>
      <c r="T105" s="177"/>
      <c r="U105" s="177"/>
      <c r="V105" s="177"/>
      <c r="W105" s="177"/>
      <c r="X105" s="177"/>
      <c r="Y105" s="177"/>
      <c r="Z105" s="177"/>
      <c r="AA105" s="177"/>
      <c r="AB105" s="177"/>
      <c r="AC105" s="177"/>
      <c r="AD105" s="177"/>
      <c r="AE105" s="177"/>
    </row>
    <row r="106" spans="1:31" s="178" customFormat="1" ht="12.75" customHeight="1" x14ac:dyDescent="0.2">
      <c r="A106" s="1099"/>
      <c r="B106" s="260">
        <f t="shared" si="18"/>
        <v>2023</v>
      </c>
      <c r="C106" s="261"/>
      <c r="D106" s="261"/>
      <c r="E106" s="261"/>
      <c r="F106" s="261"/>
      <c r="G106" s="247">
        <f>+IF($Q$3="ex-ante",IF(G$99&lt;=($P$3-1),IF($B106&lt;=($P$3),T6B!K113,0),0),IF($Q$3="ex-post",IF(G$99&lt;=($P$3),IF($B106&lt;=($P$3+1),T6B!K113,0),0),0))</f>
        <v>0</v>
      </c>
      <c r="H106" s="247">
        <f>+IF($Q$3="ex-ante",IF(H$99&lt;=($P$3-1),IF($B106&lt;=($P$3),T6B!L113,0),0),IF($Q$3="ex-post",IF(H$99&lt;=($P$3),IF($B106&lt;=($P$3+1),T6B!L113,0),0),0))</f>
        <v>0</v>
      </c>
      <c r="I106" s="261"/>
      <c r="J106" s="265"/>
      <c r="K106" s="244"/>
      <c r="L106" s="245">
        <f t="shared" si="19"/>
        <v>0</v>
      </c>
      <c r="M106" s="244"/>
      <c r="N106" s="263">
        <f t="shared" si="20"/>
        <v>0</v>
      </c>
      <c r="O106" s="177"/>
      <c r="P106" s="177"/>
      <c r="Q106" s="177"/>
      <c r="R106" s="177"/>
      <c r="S106" s="177"/>
      <c r="T106" s="177"/>
      <c r="U106" s="177"/>
      <c r="V106" s="177"/>
      <c r="W106" s="177"/>
      <c r="X106" s="177"/>
      <c r="Y106" s="177"/>
      <c r="Z106" s="177"/>
      <c r="AA106" s="177"/>
      <c r="AB106" s="177"/>
      <c r="AC106" s="177"/>
      <c r="AD106" s="177"/>
      <c r="AE106" s="177"/>
    </row>
    <row r="107" spans="1:31" s="178" customFormat="1" ht="12.75" customHeight="1" x14ac:dyDescent="0.2">
      <c r="A107" s="1099"/>
      <c r="B107" s="260">
        <f t="shared" si="18"/>
        <v>2024</v>
      </c>
      <c r="C107" s="261"/>
      <c r="D107" s="261"/>
      <c r="E107" s="261"/>
      <c r="F107" s="261"/>
      <c r="G107" s="261"/>
      <c r="H107" s="247">
        <f>+IF($Q$3="ex-ante",IF(H$99&lt;=($P$3-1),IF($B107&lt;=($P$3),T6B!L114,0),0),IF($Q$3="ex-post",IF(H$99&lt;=($P$3),IF($B107&lt;=($P$3+1),T6B!L114,0),0),0))</f>
        <v>0</v>
      </c>
      <c r="I107" s="247">
        <f>+IF($Q$3="ex-ante",IF(I$99&lt;=($P$3-1),IF($B107&lt;=($P$3),T6B!M114,0),0),IF($Q$3="ex-post",IF(I$99&lt;=($P$3),IF($B107&lt;=($P$3+1),T6B!M114,0),0),0))</f>
        <v>0</v>
      </c>
      <c r="J107" s="523"/>
      <c r="K107" s="244"/>
      <c r="L107" s="245">
        <f t="shared" si="19"/>
        <v>0</v>
      </c>
      <c r="M107" s="244"/>
      <c r="N107" s="263">
        <f t="shared" si="20"/>
        <v>0</v>
      </c>
      <c r="P107" s="177"/>
      <c r="Q107" s="177"/>
      <c r="R107" s="177"/>
      <c r="S107" s="177"/>
      <c r="T107" s="177"/>
      <c r="U107" s="177"/>
      <c r="V107" s="177"/>
      <c r="W107" s="177"/>
      <c r="X107" s="177"/>
      <c r="Y107" s="177"/>
      <c r="Z107" s="177"/>
      <c r="AA107" s="177"/>
      <c r="AB107" s="177"/>
      <c r="AC107" s="177"/>
      <c r="AD107" s="177"/>
      <c r="AE107" s="177"/>
    </row>
    <row r="108" spans="1:31" s="256" customFormat="1" ht="16.5" customHeight="1" x14ac:dyDescent="0.2">
      <c r="A108" s="1137"/>
      <c r="B108" s="326" t="s">
        <v>22</v>
      </c>
      <c r="C108" s="266">
        <f>SUM(C100:C107)</f>
        <v>0</v>
      </c>
      <c r="D108" s="266">
        <f t="shared" ref="D108:J108" si="21">SUM(D100:D107)</f>
        <v>0</v>
      </c>
      <c r="E108" s="266">
        <f t="shared" si="21"/>
        <v>0</v>
      </c>
      <c r="F108" s="266">
        <f t="shared" si="21"/>
        <v>0</v>
      </c>
      <c r="G108" s="266">
        <f t="shared" si="21"/>
        <v>0</v>
      </c>
      <c r="H108" s="266">
        <f t="shared" si="21"/>
        <v>0</v>
      </c>
      <c r="I108" s="266">
        <f t="shared" si="21"/>
        <v>0</v>
      </c>
      <c r="J108" s="266">
        <f t="shared" si="21"/>
        <v>0</v>
      </c>
      <c r="K108" s="244"/>
      <c r="L108" s="254">
        <f>SUM(L100:L107)</f>
        <v>0</v>
      </c>
      <c r="M108" s="253"/>
      <c r="N108" s="254">
        <f>SUM(N100:N107)</f>
        <v>0</v>
      </c>
      <c r="O108" s="255"/>
      <c r="P108" s="255"/>
      <c r="Q108" s="255"/>
      <c r="R108" s="255"/>
      <c r="S108" s="255"/>
      <c r="T108" s="255"/>
      <c r="U108" s="255"/>
      <c r="V108" s="255"/>
      <c r="W108" s="255"/>
      <c r="X108" s="255"/>
      <c r="Y108" s="255"/>
      <c r="Z108" s="255"/>
      <c r="AA108" s="255"/>
      <c r="AB108" s="255"/>
      <c r="AC108" s="255"/>
      <c r="AD108" s="255"/>
      <c r="AE108" s="255"/>
    </row>
    <row r="109" spans="1:31" x14ac:dyDescent="0.2">
      <c r="K109" s="244"/>
    </row>
    <row r="110" spans="1:31" x14ac:dyDescent="0.2">
      <c r="K110" s="244"/>
    </row>
    <row r="111" spans="1:31" ht="13.5" thickBot="1" x14ac:dyDescent="0.25">
      <c r="K111" s="244"/>
    </row>
    <row r="112" spans="1:31" s="178" customFormat="1" ht="21.75" customHeight="1" thickBot="1" x14ac:dyDescent="0.25">
      <c r="A112" s="1077" t="s">
        <v>29</v>
      </c>
      <c r="B112" s="1078"/>
      <c r="C112" s="1078"/>
      <c r="D112" s="1078"/>
      <c r="E112" s="1078"/>
      <c r="F112" s="1078"/>
      <c r="G112" s="1078"/>
      <c r="H112" s="1078"/>
      <c r="I112" s="1078"/>
      <c r="J112" s="1078"/>
      <c r="K112" s="1078"/>
      <c r="L112" s="1079"/>
      <c r="N112" s="177"/>
      <c r="O112" s="177"/>
      <c r="P112" s="177"/>
      <c r="Q112" s="177"/>
      <c r="R112" s="177"/>
      <c r="S112" s="177"/>
      <c r="T112" s="177"/>
      <c r="U112" s="177"/>
      <c r="V112" s="177"/>
      <c r="W112" s="177"/>
      <c r="X112" s="177"/>
      <c r="Y112" s="177"/>
      <c r="Z112" s="177"/>
      <c r="AA112" s="177"/>
      <c r="AB112" s="177"/>
      <c r="AC112" s="177"/>
      <c r="AD112" s="177"/>
      <c r="AE112" s="177"/>
    </row>
    <row r="114" spans="1:12" x14ac:dyDescent="0.2">
      <c r="C114" s="233" t="s">
        <v>131</v>
      </c>
    </row>
    <row r="115" spans="1:12" x14ac:dyDescent="0.2">
      <c r="C115" s="233" t="s">
        <v>30</v>
      </c>
    </row>
    <row r="116" spans="1:12" ht="16.5" x14ac:dyDescent="0.2">
      <c r="C116" s="1094" t="s">
        <v>19</v>
      </c>
      <c r="D116" s="1095"/>
      <c r="E116" s="1095"/>
      <c r="F116" s="1095"/>
      <c r="G116" s="1095"/>
      <c r="H116" s="1095"/>
      <c r="I116" s="1095"/>
      <c r="J116" s="1096"/>
    </row>
    <row r="117" spans="1:12" x14ac:dyDescent="0.2">
      <c r="C117" s="239">
        <f>+C99</f>
        <v>2017</v>
      </c>
      <c r="D117" s="239">
        <f t="shared" ref="D117:J117" si="22">+D99</f>
        <v>2018</v>
      </c>
      <c r="E117" s="239">
        <f t="shared" si="22"/>
        <v>2019</v>
      </c>
      <c r="F117" s="239">
        <f t="shared" si="22"/>
        <v>2020</v>
      </c>
      <c r="G117" s="239">
        <f t="shared" si="22"/>
        <v>2021</v>
      </c>
      <c r="H117" s="239">
        <f t="shared" si="22"/>
        <v>2022</v>
      </c>
      <c r="I117" s="239">
        <f t="shared" si="22"/>
        <v>2023</v>
      </c>
      <c r="J117" s="239">
        <f t="shared" si="22"/>
        <v>2024</v>
      </c>
      <c r="L117" s="93" t="s">
        <v>20</v>
      </c>
    </row>
    <row r="118" spans="1:12" ht="15.95" customHeight="1" x14ac:dyDescent="0.2">
      <c r="A118" s="1088" t="s">
        <v>104</v>
      </c>
      <c r="B118" s="267">
        <f>+B100</f>
        <v>2017</v>
      </c>
      <c r="C118" s="247">
        <f>+C85</f>
        <v>0</v>
      </c>
      <c r="D118" s="268"/>
      <c r="E118" s="261"/>
      <c r="F118" s="251"/>
      <c r="G118" s="261"/>
      <c r="H118" s="261"/>
      <c r="I118" s="261"/>
      <c r="J118" s="265"/>
      <c r="L118" s="269">
        <f>SUM(C118:J118)</f>
        <v>0</v>
      </c>
    </row>
    <row r="119" spans="1:12" ht="13.5" customHeight="1" x14ac:dyDescent="0.2">
      <c r="A119" s="1089"/>
      <c r="B119" s="267">
        <f t="shared" ref="B119:B125" si="23">+B101</f>
        <v>2018</v>
      </c>
      <c r="C119" s="247">
        <f>+C118+C101+C86</f>
        <v>0</v>
      </c>
      <c r="D119" s="247">
        <f>+D86</f>
        <v>0</v>
      </c>
      <c r="E119" s="270"/>
      <c r="F119" s="251"/>
      <c r="G119" s="251"/>
      <c r="H119" s="251"/>
      <c r="I119" s="251"/>
      <c r="J119" s="272"/>
      <c r="L119" s="269">
        <f t="shared" ref="L119:L125" si="24">SUM(C119:J119)</f>
        <v>0</v>
      </c>
    </row>
    <row r="120" spans="1:12" ht="16.5" customHeight="1" x14ac:dyDescent="0.2">
      <c r="A120" s="1089"/>
      <c r="B120" s="267">
        <f t="shared" si="23"/>
        <v>2019</v>
      </c>
      <c r="C120" s="247">
        <f t="shared" ref="C120:C123" si="25">+C119+C102+C87</f>
        <v>0</v>
      </c>
      <c r="D120" s="247">
        <f>+D119+D102+D87</f>
        <v>0</v>
      </c>
      <c r="E120" s="247">
        <f>+E87</f>
        <v>0</v>
      </c>
      <c r="F120" s="251"/>
      <c r="G120" s="251"/>
      <c r="H120" s="251"/>
      <c r="I120" s="251"/>
      <c r="J120" s="272"/>
      <c r="L120" s="269">
        <f t="shared" si="24"/>
        <v>0</v>
      </c>
    </row>
    <row r="121" spans="1:12" ht="16.5" customHeight="1" x14ac:dyDescent="0.2">
      <c r="A121" s="1089"/>
      <c r="B121" s="267">
        <f t="shared" si="23"/>
        <v>2020</v>
      </c>
      <c r="C121" s="247">
        <f t="shared" si="25"/>
        <v>0</v>
      </c>
      <c r="D121" s="247">
        <f t="shared" ref="D121:D123" si="26">+D120+D103+D88</f>
        <v>0</v>
      </c>
      <c r="E121" s="247">
        <f t="shared" ref="E121:I125" si="27">+E120+E103+E88</f>
        <v>0</v>
      </c>
      <c r="F121" s="247">
        <f>+F88</f>
        <v>0</v>
      </c>
      <c r="G121" s="251"/>
      <c r="H121" s="251"/>
      <c r="I121" s="251"/>
      <c r="J121" s="272"/>
      <c r="L121" s="269">
        <f t="shared" si="24"/>
        <v>0</v>
      </c>
    </row>
    <row r="122" spans="1:12" ht="16.5" customHeight="1" x14ac:dyDescent="0.2">
      <c r="A122" s="1089"/>
      <c r="B122" s="267">
        <f t="shared" si="23"/>
        <v>2021</v>
      </c>
      <c r="C122" s="247">
        <f t="shared" si="25"/>
        <v>0</v>
      </c>
      <c r="D122" s="247">
        <f t="shared" si="26"/>
        <v>0</v>
      </c>
      <c r="E122" s="247">
        <f t="shared" si="27"/>
        <v>0</v>
      </c>
      <c r="F122" s="247">
        <f t="shared" si="27"/>
        <v>0</v>
      </c>
      <c r="G122" s="247">
        <f>+G89</f>
        <v>0</v>
      </c>
      <c r="H122" s="251"/>
      <c r="I122" s="251"/>
      <c r="J122" s="272"/>
      <c r="L122" s="269">
        <f t="shared" si="24"/>
        <v>0</v>
      </c>
    </row>
    <row r="123" spans="1:12" ht="16.5" customHeight="1" x14ac:dyDescent="0.2">
      <c r="A123" s="1089"/>
      <c r="B123" s="267">
        <f t="shared" si="23"/>
        <v>2022</v>
      </c>
      <c r="C123" s="247">
        <f t="shared" si="25"/>
        <v>0</v>
      </c>
      <c r="D123" s="247">
        <f t="shared" si="26"/>
        <v>0</v>
      </c>
      <c r="E123" s="247">
        <f t="shared" si="27"/>
        <v>0</v>
      </c>
      <c r="F123" s="247">
        <f t="shared" si="27"/>
        <v>0</v>
      </c>
      <c r="G123" s="247">
        <f t="shared" si="27"/>
        <v>0</v>
      </c>
      <c r="H123" s="247">
        <f>+H90</f>
        <v>0</v>
      </c>
      <c r="I123" s="251"/>
      <c r="J123" s="272"/>
      <c r="L123" s="269">
        <f t="shared" si="24"/>
        <v>0</v>
      </c>
    </row>
    <row r="124" spans="1:12" ht="16.5" customHeight="1" x14ac:dyDescent="0.2">
      <c r="A124" s="1089"/>
      <c r="B124" s="267">
        <f t="shared" si="23"/>
        <v>2023</v>
      </c>
      <c r="C124" s="524"/>
      <c r="D124" s="251"/>
      <c r="E124" s="251"/>
      <c r="F124" s="251"/>
      <c r="G124" s="247">
        <f t="shared" si="27"/>
        <v>0</v>
      </c>
      <c r="H124" s="247">
        <f t="shared" si="27"/>
        <v>0</v>
      </c>
      <c r="I124" s="247">
        <f>+I91</f>
        <v>0</v>
      </c>
      <c r="J124" s="272"/>
      <c r="L124" s="269">
        <f t="shared" si="24"/>
        <v>0</v>
      </c>
    </row>
    <row r="125" spans="1:12" ht="15.75" customHeight="1" x14ac:dyDescent="0.2">
      <c r="A125" s="1090"/>
      <c r="B125" s="267">
        <f t="shared" si="23"/>
        <v>2024</v>
      </c>
      <c r="C125" s="331"/>
      <c r="D125" s="525"/>
      <c r="E125" s="525"/>
      <c r="F125" s="525"/>
      <c r="G125" s="525"/>
      <c r="H125" s="247">
        <f t="shared" si="27"/>
        <v>0</v>
      </c>
      <c r="I125" s="247">
        <f t="shared" si="27"/>
        <v>0</v>
      </c>
      <c r="J125" s="247">
        <f>+J92</f>
        <v>0</v>
      </c>
      <c r="L125" s="269">
        <f t="shared" si="24"/>
        <v>0</v>
      </c>
    </row>
    <row r="126" spans="1:12" ht="15" x14ac:dyDescent="0.2">
      <c r="A126" s="332"/>
      <c r="C126" s="233"/>
    </row>
    <row r="127" spans="1:12" x14ac:dyDescent="0.2">
      <c r="C127" s="233"/>
    </row>
    <row r="128" spans="1:12" x14ac:dyDescent="0.2">
      <c r="C128" s="233"/>
    </row>
  </sheetData>
  <sheetProtection algorithmName="SHA-512" hashValue="mpU9URdma/f4xHcAGGy2AX1AiLJY0J+YsN7byMsPXxA9DGtP73QD3jCBM2AAYLgCKcDhdEESRqvYXSeOoKxNRQ==" saltValue="H/85xYnkYUE7RGByWVmRhg==" spinCount="100000" sheet="1" objects="1" scenarios="1"/>
  <mergeCells count="67">
    <mergeCell ref="A118:A125"/>
    <mergeCell ref="C6:J6"/>
    <mergeCell ref="A12:B12"/>
    <mergeCell ref="A84:B84"/>
    <mergeCell ref="A85:A93"/>
    <mergeCell ref="A28:B28"/>
    <mergeCell ref="C116:J116"/>
    <mergeCell ref="A65:B65"/>
    <mergeCell ref="A54:B54"/>
    <mergeCell ref="A112:L112"/>
    <mergeCell ref="A100:A108"/>
    <mergeCell ref="C98:J98"/>
    <mergeCell ref="C83:J83"/>
    <mergeCell ref="A39:B39"/>
    <mergeCell ref="A37:B37"/>
    <mergeCell ref="A38:B38"/>
    <mergeCell ref="M79:N79"/>
    <mergeCell ref="A49:B49"/>
    <mergeCell ref="A48:B48"/>
    <mergeCell ref="A47:B47"/>
    <mergeCell ref="A61:B61"/>
    <mergeCell ref="A62:B62"/>
    <mergeCell ref="A60:B60"/>
    <mergeCell ref="A58:B58"/>
    <mergeCell ref="A63:B63"/>
    <mergeCell ref="A64:B64"/>
    <mergeCell ref="A70:L70"/>
    <mergeCell ref="A79:L79"/>
    <mergeCell ref="A52:B52"/>
    <mergeCell ref="C72:J72"/>
    <mergeCell ref="A57:B57"/>
    <mergeCell ref="A59:B59"/>
    <mergeCell ref="A21:B21"/>
    <mergeCell ref="A22:B22"/>
    <mergeCell ref="A24:B24"/>
    <mergeCell ref="A25:B25"/>
    <mergeCell ref="A35:B35"/>
    <mergeCell ref="A29:B29"/>
    <mergeCell ref="A34:B34"/>
    <mergeCell ref="A19:B19"/>
    <mergeCell ref="A16:B16"/>
    <mergeCell ref="C5:J5"/>
    <mergeCell ref="A15:B15"/>
    <mergeCell ref="A9:B9"/>
    <mergeCell ref="A11:B11"/>
    <mergeCell ref="A13:B13"/>
    <mergeCell ref="A14:B14"/>
    <mergeCell ref="A1:L1"/>
    <mergeCell ref="A7:B7"/>
    <mergeCell ref="A8:B8"/>
    <mergeCell ref="C4:J4"/>
    <mergeCell ref="A18:B18"/>
    <mergeCell ref="A10:B10"/>
    <mergeCell ref="A53:B53"/>
    <mergeCell ref="A33:B33"/>
    <mergeCell ref="A27:B27"/>
    <mergeCell ref="A30:B30"/>
    <mergeCell ref="A32:B32"/>
    <mergeCell ref="A31:B31"/>
    <mergeCell ref="A43:B43"/>
    <mergeCell ref="A41:B41"/>
    <mergeCell ref="A50:B50"/>
    <mergeCell ref="A51:B51"/>
    <mergeCell ref="A42:B42"/>
    <mergeCell ref="A45:B45"/>
    <mergeCell ref="A44:B44"/>
    <mergeCell ref="A40:B40"/>
  </mergeCells>
  <conditionalFormatting sqref="H9:J9 H11:J11 H28:J28 H30:J30 H38:J38 H40:J40 H58:J58 H60:J60">
    <cfRule type="expression" dxfId="24" priority="4">
      <formula>$C$5="elektriciteit"</formula>
    </cfRule>
  </conditionalFormatting>
  <conditionalFormatting sqref="A10:J10 A12:J12 A15:J15 A29 A31 A34 A39 A41 A44 A59:J59 A61:J61 A64:J64 D34:J34 D31:J31 D29:J29 D44:J44 D41:J41 D39:J39 C29 C31 C34 C44 C41 C39">
    <cfRule type="expression" dxfId="23" priority="3">
      <formula>$C$5="gas"</formula>
    </cfRule>
  </conditionalFormatting>
  <pageMargins left="0.78740157480314965" right="0.78740157480314965" top="0.98425196850393704" bottom="0.98425196850393704" header="0.51181102362204722" footer="0.51181102362204722"/>
  <pageSetup paperSize="8" scale="34" orientation="landscape" r:id="rId1"/>
  <headerFooter alignWithMargins="0">
    <oddFooter>&amp;CPage &amp;P</oddFooter>
  </headerFooter>
  <ignoredErrors>
    <ignoredError sqref="C57" evalError="1"/>
    <ignoredError sqref="L99 N9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3EBA-8E1D-4A14-9E4D-9E4D5D9759A8}">
  <sheetPr published="0" codeName="Blad17"/>
  <dimension ref="A1:T647"/>
  <sheetViews>
    <sheetView zoomScale="80" zoomScaleNormal="80" workbookViewId="0">
      <selection activeCell="C524" sqref="C524"/>
    </sheetView>
  </sheetViews>
  <sheetFormatPr defaultColWidth="9.140625" defaultRowHeight="12.75" x14ac:dyDescent="0.2"/>
  <cols>
    <col min="1" max="1" width="2.42578125" style="166" customWidth="1"/>
    <col min="2" max="2" width="9.140625" style="166"/>
    <col min="3" max="3" width="19" style="166" customWidth="1"/>
    <col min="4" max="4" width="12.85546875" style="166" customWidth="1"/>
    <col min="5" max="5" width="24.28515625" style="166" customWidth="1"/>
    <col min="6" max="6" width="9.42578125" style="166" customWidth="1"/>
    <col min="7" max="14" width="30.7109375" style="166" customWidth="1"/>
    <col min="15" max="15" width="2.140625" style="203" customWidth="1"/>
    <col min="16" max="16" width="30.7109375" style="166" customWidth="1"/>
    <col min="17" max="16384" width="9.140625" style="166"/>
  </cols>
  <sheetData>
    <row r="1" spans="1:20" ht="25.5" customHeight="1" thickBot="1" x14ac:dyDescent="0.25">
      <c r="A1" s="1028" t="s">
        <v>117</v>
      </c>
      <c r="B1" s="1029"/>
      <c r="C1" s="1029"/>
      <c r="D1" s="1029"/>
      <c r="E1" s="1029"/>
      <c r="F1" s="1029"/>
      <c r="G1" s="1029"/>
      <c r="H1" s="1029"/>
      <c r="I1" s="1029"/>
      <c r="J1" s="1030"/>
      <c r="K1" s="287"/>
      <c r="L1" s="288"/>
      <c r="M1" s="288"/>
      <c r="N1" s="288"/>
      <c r="O1" s="288"/>
      <c r="Q1" s="289"/>
      <c r="R1" s="289"/>
      <c r="S1" s="289"/>
      <c r="T1" s="289"/>
    </row>
    <row r="2" spans="1:20" x14ac:dyDescent="0.2">
      <c r="B2" s="203" t="str">
        <f>+TITELBLAD!B16</f>
        <v>Rapportering over boekjaar:</v>
      </c>
      <c r="C2" s="203"/>
      <c r="D2" s="203">
        <f>+TITELBLAD!E16</f>
        <v>2022</v>
      </c>
      <c r="E2" s="203" t="str">
        <f>+TITELBLAD!F16</f>
        <v>ex-ante</v>
      </c>
      <c r="F2" s="291"/>
      <c r="G2" s="291"/>
      <c r="H2" s="290"/>
      <c r="I2" s="226"/>
      <c r="J2" s="225"/>
      <c r="K2" s="226"/>
      <c r="L2" s="226"/>
      <c r="M2" s="226"/>
      <c r="N2" s="226"/>
      <c r="O2" s="291"/>
      <c r="P2" s="226"/>
    </row>
    <row r="3" spans="1:20" ht="13.5" thickBot="1" x14ac:dyDescent="0.25">
      <c r="B3" s="292" t="s">
        <v>15</v>
      </c>
      <c r="H3" s="233"/>
      <c r="I3" s="225"/>
      <c r="J3" s="225"/>
      <c r="K3" s="226"/>
      <c r="L3" s="226"/>
      <c r="M3" s="226"/>
      <c r="N3" s="226"/>
      <c r="O3" s="291"/>
      <c r="P3" s="226"/>
    </row>
    <row r="4" spans="1:20" ht="13.5" thickBot="1" x14ac:dyDescent="0.25">
      <c r="B4" s="1051" t="str">
        <f>+TITELBLAD!C7</f>
        <v>NAAM DNB</v>
      </c>
      <c r="C4" s="1052"/>
      <c r="D4" s="1052"/>
      <c r="E4" s="1053"/>
      <c r="H4" s="233"/>
      <c r="I4" s="225"/>
      <c r="J4" s="225"/>
      <c r="K4" s="226"/>
      <c r="L4" s="226"/>
      <c r="M4" s="226"/>
      <c r="N4" s="226"/>
      <c r="O4" s="291"/>
      <c r="P4" s="226"/>
    </row>
    <row r="5" spans="1:20" x14ac:dyDescent="0.2">
      <c r="H5" s="233"/>
      <c r="I5" s="225"/>
      <c r="J5" s="225"/>
      <c r="K5" s="226"/>
      <c r="L5" s="226"/>
      <c r="M5" s="226"/>
      <c r="N5" s="226"/>
      <c r="O5" s="291"/>
      <c r="P5" s="226"/>
    </row>
    <row r="6" spans="1:20" ht="13.5" thickBot="1" x14ac:dyDescent="0.25">
      <c r="B6" s="292" t="s">
        <v>16</v>
      </c>
      <c r="H6" s="233"/>
      <c r="I6" s="225"/>
      <c r="J6" s="225"/>
      <c r="K6" s="226"/>
      <c r="L6" s="226"/>
      <c r="M6" s="226"/>
      <c r="N6" s="226"/>
      <c r="O6" s="291"/>
      <c r="P6" s="226"/>
    </row>
    <row r="7" spans="1:20" ht="13.5" thickBot="1" x14ac:dyDescent="0.25">
      <c r="B7" s="1054" t="str">
        <f>+TITELBLAD!C10</f>
        <v>gas</v>
      </c>
      <c r="C7" s="1055"/>
      <c r="D7" s="1055"/>
      <c r="E7" s="1056"/>
      <c r="H7" s="233"/>
      <c r="I7" s="225"/>
      <c r="J7" s="225"/>
      <c r="K7" s="226"/>
      <c r="L7" s="226"/>
      <c r="M7" s="226"/>
      <c r="N7" s="226"/>
      <c r="O7" s="291"/>
      <c r="P7" s="226"/>
    </row>
    <row r="8" spans="1:20" x14ac:dyDescent="0.2">
      <c r="H8" s="233"/>
      <c r="I8" s="225"/>
      <c r="J8" s="225"/>
      <c r="K8" s="226"/>
      <c r="L8" s="226"/>
      <c r="M8" s="226"/>
      <c r="N8" s="226"/>
      <c r="O8" s="291"/>
      <c r="P8" s="226"/>
    </row>
    <row r="9" spans="1:20" x14ac:dyDescent="0.2">
      <c r="K9" s="291"/>
      <c r="L9" s="291"/>
      <c r="M9" s="291"/>
      <c r="N9" s="291"/>
      <c r="O9" s="291"/>
      <c r="P9" s="291"/>
    </row>
    <row r="10" spans="1:20" x14ac:dyDescent="0.2">
      <c r="K10" s="291"/>
      <c r="L10" s="291"/>
      <c r="M10" s="291"/>
      <c r="N10" s="291"/>
      <c r="O10" s="291"/>
      <c r="P10" s="291"/>
    </row>
    <row r="11" spans="1:20" x14ac:dyDescent="0.2">
      <c r="G11" s="293" t="s">
        <v>127</v>
      </c>
      <c r="H11" s="294"/>
      <c r="I11" s="295"/>
      <c r="K11" s="291"/>
      <c r="L11" s="291"/>
      <c r="M11" s="291"/>
      <c r="N11" s="291"/>
      <c r="O11" s="291"/>
      <c r="P11" s="291"/>
    </row>
    <row r="12" spans="1:20" x14ac:dyDescent="0.2">
      <c r="G12" s="236" t="s">
        <v>103</v>
      </c>
      <c r="H12" s="294"/>
      <c r="I12" s="295"/>
    </row>
    <row r="13" spans="1:20" ht="60" customHeight="1" x14ac:dyDescent="0.2">
      <c r="B13" s="1101" t="s">
        <v>105</v>
      </c>
      <c r="C13" s="1102"/>
      <c r="D13" s="1102"/>
      <c r="E13" s="1103"/>
      <c r="F13" s="167"/>
      <c r="G13" s="165">
        <v>2017</v>
      </c>
      <c r="H13" s="165">
        <f>+G13+1</f>
        <v>2018</v>
      </c>
      <c r="I13" s="165">
        <f>+H13+1</f>
        <v>2019</v>
      </c>
      <c r="J13" s="165">
        <f>+I13+1</f>
        <v>2020</v>
      </c>
      <c r="K13" s="165">
        <f t="shared" ref="K13:N13" si="0">+J13+1</f>
        <v>2021</v>
      </c>
      <c r="L13" s="165">
        <f t="shared" si="0"/>
        <v>2022</v>
      </c>
      <c r="M13" s="165">
        <f t="shared" si="0"/>
        <v>2023</v>
      </c>
      <c r="N13" s="165">
        <f t="shared" si="0"/>
        <v>2024</v>
      </c>
      <c r="P13" s="165" t="s">
        <v>20</v>
      </c>
    </row>
    <row r="14" spans="1:20" s="296" customFormat="1" ht="12" customHeight="1" x14ac:dyDescent="0.2">
      <c r="B14" s="297"/>
      <c r="C14" s="297"/>
      <c r="D14" s="297"/>
      <c r="E14" s="297"/>
      <c r="F14" s="298"/>
      <c r="G14" s="220"/>
      <c r="O14" s="300"/>
    </row>
    <row r="15" spans="1:20" ht="25.5" customHeight="1" x14ac:dyDescent="0.2">
      <c r="B15" s="1111" t="s">
        <v>201</v>
      </c>
      <c r="C15" s="1111"/>
      <c r="D15" s="1111"/>
      <c r="E15" s="1111"/>
      <c r="F15" s="167"/>
      <c r="G15" s="247">
        <f>+T6A!C58</f>
        <v>0</v>
      </c>
      <c r="H15" s="247">
        <f>+T6A!D58</f>
        <v>0</v>
      </c>
      <c r="I15" s="247">
        <f>+T6A!E58</f>
        <v>0</v>
      </c>
      <c r="J15" s="247">
        <f>+T6A!F58</f>
        <v>0</v>
      </c>
      <c r="K15" s="247">
        <f>+T6A!G58</f>
        <v>0</v>
      </c>
      <c r="L15" s="247">
        <f>+T6A!H58</f>
        <v>0</v>
      </c>
      <c r="M15" s="247">
        <f>+T6A!I58</f>
        <v>0</v>
      </c>
      <c r="N15" s="247">
        <f>+T6A!J58</f>
        <v>0</v>
      </c>
      <c r="P15" s="803">
        <f>SUM(G15:N15)</f>
        <v>0</v>
      </c>
    </row>
    <row r="16" spans="1:20" ht="25.5" customHeight="1" x14ac:dyDescent="0.2">
      <c r="B16" s="1111" t="s">
        <v>368</v>
      </c>
      <c r="C16" s="1111"/>
      <c r="D16" s="1111"/>
      <c r="E16" s="1111"/>
      <c r="F16" s="167"/>
      <c r="G16" s="520"/>
      <c r="H16" s="520"/>
      <c r="I16" s="520"/>
      <c r="J16" s="520"/>
      <c r="K16" s="520"/>
      <c r="L16" s="247">
        <f>+T6A!H59</f>
        <v>0</v>
      </c>
      <c r="M16" s="247">
        <f>+T6A!I59</f>
        <v>0</v>
      </c>
      <c r="N16" s="247">
        <f>+T6A!J59</f>
        <v>0</v>
      </c>
      <c r="P16" s="803">
        <f>SUM(L16:N16)</f>
        <v>0</v>
      </c>
    </row>
    <row r="17" spans="2:16" ht="25.5" customHeight="1" x14ac:dyDescent="0.2">
      <c r="B17" s="1111" t="s">
        <v>66</v>
      </c>
      <c r="C17" s="1111"/>
      <c r="D17" s="1111"/>
      <c r="E17" s="1111"/>
      <c r="F17" s="167"/>
      <c r="G17" s="247">
        <f>+T6A!C60</f>
        <v>0</v>
      </c>
      <c r="H17" s="247">
        <f>+T6A!D60</f>
        <v>0</v>
      </c>
      <c r="I17" s="247">
        <f>+T6A!E60</f>
        <v>0</v>
      </c>
      <c r="J17" s="247">
        <f>+T6A!F60</f>
        <v>0</v>
      </c>
      <c r="K17" s="247">
        <f>+T6A!G60</f>
        <v>0</v>
      </c>
      <c r="L17" s="247">
        <f>+T6A!H60</f>
        <v>0</v>
      </c>
      <c r="M17" s="247">
        <f>+T6A!I60</f>
        <v>0</v>
      </c>
      <c r="N17" s="247">
        <f>+T6A!J60</f>
        <v>0</v>
      </c>
      <c r="P17" s="803">
        <f>SUM(G17:N17)</f>
        <v>0</v>
      </c>
    </row>
    <row r="18" spans="2:16" ht="25.5" customHeight="1" x14ac:dyDescent="0.2">
      <c r="B18" s="1111" t="s">
        <v>350</v>
      </c>
      <c r="C18" s="1111"/>
      <c r="D18" s="1111"/>
      <c r="E18" s="1111"/>
      <c r="F18" s="167"/>
      <c r="G18" s="247">
        <f>+T6A!C61</f>
        <v>0</v>
      </c>
      <c r="H18" s="247">
        <f>+T6A!D61</f>
        <v>0</v>
      </c>
      <c r="I18" s="247">
        <f>+T6A!E61</f>
        <v>0</v>
      </c>
      <c r="J18" s="247">
        <f>+T6A!F61</f>
        <v>0</v>
      </c>
      <c r="K18" s="520"/>
      <c r="L18" s="520"/>
      <c r="M18" s="520"/>
      <c r="N18" s="520"/>
      <c r="P18" s="803">
        <f>+SUM(G18:J18)</f>
        <v>0</v>
      </c>
    </row>
    <row r="19" spans="2:16" ht="25.5" customHeight="1" x14ac:dyDescent="0.2">
      <c r="B19" s="1111" t="s">
        <v>169</v>
      </c>
      <c r="C19" s="1111"/>
      <c r="D19" s="1111"/>
      <c r="E19" s="1111"/>
      <c r="F19" s="167"/>
      <c r="G19" s="247">
        <f>+T6A!C62</f>
        <v>0</v>
      </c>
      <c r="H19" s="247">
        <f>+T6A!D62</f>
        <v>0</v>
      </c>
      <c r="I19" s="247">
        <f>+T6A!E62</f>
        <v>0</v>
      </c>
      <c r="J19" s="247">
        <f>+T6A!F62</f>
        <v>0</v>
      </c>
      <c r="K19" s="520"/>
      <c r="L19" s="520"/>
      <c r="M19" s="520"/>
      <c r="N19" s="520"/>
      <c r="P19" s="803">
        <f>SUM(G19:J19)</f>
        <v>0</v>
      </c>
    </row>
    <row r="20" spans="2:16" ht="25.5" customHeight="1" x14ac:dyDescent="0.2">
      <c r="B20" s="1111" t="s">
        <v>67</v>
      </c>
      <c r="C20" s="1111"/>
      <c r="D20" s="1111"/>
      <c r="E20" s="1111"/>
      <c r="F20" s="167"/>
      <c r="G20" s="247">
        <f>+T6A!C63</f>
        <v>0</v>
      </c>
      <c r="H20" s="247">
        <f>+T6A!D63</f>
        <v>0</v>
      </c>
      <c r="I20" s="247">
        <f>+T6A!E63</f>
        <v>0</v>
      </c>
      <c r="J20" s="247">
        <f>+T6A!F63</f>
        <v>0</v>
      </c>
      <c r="K20" s="247">
        <f>+T6A!G63</f>
        <v>0</v>
      </c>
      <c r="L20" s="247">
        <f>+T6A!H63</f>
        <v>0</v>
      </c>
      <c r="M20" s="247">
        <f>+T6A!I63</f>
        <v>0</v>
      </c>
      <c r="N20" s="247">
        <f>+T6A!J63</f>
        <v>0</v>
      </c>
      <c r="P20" s="803">
        <f>SUM(G20:N20)</f>
        <v>0</v>
      </c>
    </row>
    <row r="21" spans="2:16" ht="25.5" customHeight="1" x14ac:dyDescent="0.2">
      <c r="B21" s="1111" t="s">
        <v>96</v>
      </c>
      <c r="C21" s="1111"/>
      <c r="D21" s="1111"/>
      <c r="E21" s="1111"/>
      <c r="F21" s="167"/>
      <c r="G21" s="247">
        <f>+T6A!C64</f>
        <v>0</v>
      </c>
      <c r="H21" s="247">
        <f>+T6A!D64</f>
        <v>0</v>
      </c>
      <c r="I21" s="247">
        <f>+T6A!E64</f>
        <v>0</v>
      </c>
      <c r="J21" s="247">
        <f>+T6A!F64</f>
        <v>0</v>
      </c>
      <c r="K21" s="247">
        <f>+T6A!G64</f>
        <v>0</v>
      </c>
      <c r="L21" s="520"/>
      <c r="M21" s="520"/>
      <c r="N21" s="520"/>
      <c r="P21" s="803">
        <f>SUM(G21:K21)</f>
        <v>0</v>
      </c>
    </row>
    <row r="22" spans="2:16" ht="25.5" customHeight="1" x14ac:dyDescent="0.2">
      <c r="B22" s="1129" t="s">
        <v>357</v>
      </c>
      <c r="C22" s="1130"/>
      <c r="D22" s="1130"/>
      <c r="E22" s="1131"/>
      <c r="F22" s="167"/>
      <c r="G22" s="247">
        <f>+T6A!C65</f>
        <v>0</v>
      </c>
      <c r="H22" s="247">
        <f>+T6A!D65</f>
        <v>0</v>
      </c>
      <c r="I22" s="247">
        <f>+T6A!E65</f>
        <v>0</v>
      </c>
      <c r="J22" s="247">
        <f>+T6A!F65</f>
        <v>0</v>
      </c>
      <c r="K22" s="247">
        <f>+T6A!G65</f>
        <v>0</v>
      </c>
      <c r="L22" s="247">
        <f>+T6A!H65</f>
        <v>0</v>
      </c>
      <c r="M22" s="247">
        <f>+T6A!I65</f>
        <v>0</v>
      </c>
      <c r="N22" s="247">
        <f>+T6A!J65</f>
        <v>0</v>
      </c>
      <c r="P22" s="803">
        <f>SUM(G22:N22)</f>
        <v>0</v>
      </c>
    </row>
    <row r="23" spans="2:16" x14ac:dyDescent="0.2">
      <c r="G23" s="301"/>
      <c r="H23" s="301"/>
      <c r="I23" s="301"/>
      <c r="J23" s="301"/>
      <c r="K23" s="301"/>
      <c r="L23" s="301"/>
      <c r="M23" s="301"/>
      <c r="N23" s="301"/>
      <c r="P23" s="302"/>
    </row>
    <row r="24" spans="2:16" ht="23.25" customHeight="1" x14ac:dyDescent="0.2">
      <c r="B24" s="1125" t="s">
        <v>22</v>
      </c>
      <c r="C24" s="1126"/>
      <c r="D24" s="1126"/>
      <c r="E24" s="1127"/>
      <c r="F24" s="172"/>
      <c r="G24" s="173">
        <f t="shared" ref="G24:N24" si="1">SUM(G15:G22)</f>
        <v>0</v>
      </c>
      <c r="H24" s="173">
        <f t="shared" si="1"/>
        <v>0</v>
      </c>
      <c r="I24" s="173">
        <f t="shared" si="1"/>
        <v>0</v>
      </c>
      <c r="J24" s="173">
        <f t="shared" si="1"/>
        <v>0</v>
      </c>
      <c r="K24" s="173">
        <f t="shared" si="1"/>
        <v>0</v>
      </c>
      <c r="L24" s="173">
        <f t="shared" si="1"/>
        <v>0</v>
      </c>
      <c r="M24" s="173">
        <f t="shared" si="1"/>
        <v>0</v>
      </c>
      <c r="N24" s="173">
        <f t="shared" si="1"/>
        <v>0</v>
      </c>
      <c r="P24" s="173">
        <f>SUM(G24:N24)</f>
        <v>0</v>
      </c>
    </row>
    <row r="25" spans="2:16" x14ac:dyDescent="0.2">
      <c r="B25" s="1110" t="s">
        <v>108</v>
      </c>
      <c r="C25" s="1110"/>
      <c r="D25" s="1110"/>
      <c r="E25" s="1110"/>
      <c r="F25" s="218"/>
      <c r="G25" s="303">
        <f>+G24-T6A!C93</f>
        <v>0</v>
      </c>
      <c r="H25" s="303">
        <f>+H24-T6A!D93</f>
        <v>0</v>
      </c>
      <c r="I25" s="303">
        <f>+I24-T6A!E93</f>
        <v>0</v>
      </c>
      <c r="J25" s="303">
        <f>+J24-T6A!F93</f>
        <v>0</v>
      </c>
      <c r="K25" s="303">
        <f>+K24-T6A!G93</f>
        <v>0</v>
      </c>
      <c r="L25" s="303">
        <f>+L24-T6A!H93</f>
        <v>0</v>
      </c>
      <c r="M25" s="303">
        <f>+M24-T6A!I93</f>
        <v>0</v>
      </c>
      <c r="N25" s="303">
        <f>+N24-T6A!J93</f>
        <v>0</v>
      </c>
      <c r="P25" s="303">
        <f>+P24-T6A!L93</f>
        <v>0</v>
      </c>
    </row>
    <row r="26" spans="2:16" x14ac:dyDescent="0.2">
      <c r="B26" s="305"/>
      <c r="C26" s="305"/>
      <c r="D26" s="305"/>
      <c r="E26" s="305"/>
      <c r="F26" s="306"/>
      <c r="G26" s="307"/>
      <c r="H26" s="307"/>
    </row>
    <row r="27" spans="2:16" x14ac:dyDescent="0.2">
      <c r="G27" s="308" t="s">
        <v>32</v>
      </c>
    </row>
    <row r="28" spans="2:16" x14ac:dyDescent="0.2">
      <c r="G28" s="308" t="s">
        <v>33</v>
      </c>
    </row>
    <row r="29" spans="2:16" ht="60" customHeight="1" x14ac:dyDescent="0.2">
      <c r="B29" s="1101" t="s">
        <v>106</v>
      </c>
      <c r="C29" s="1102"/>
      <c r="D29" s="1102"/>
      <c r="E29" s="1103"/>
      <c r="F29" s="167"/>
      <c r="G29" s="165">
        <v>2017</v>
      </c>
      <c r="H29" s="165">
        <f>+G29+1</f>
        <v>2018</v>
      </c>
      <c r="I29" s="165">
        <f>+H29+1</f>
        <v>2019</v>
      </c>
      <c r="J29" s="165">
        <f>+I29+1</f>
        <v>2020</v>
      </c>
      <c r="K29" s="165">
        <f t="shared" ref="K29:N29" si="2">+J29+1</f>
        <v>2021</v>
      </c>
      <c r="L29" s="165">
        <f t="shared" si="2"/>
        <v>2022</v>
      </c>
      <c r="M29" s="165">
        <f t="shared" si="2"/>
        <v>2023</v>
      </c>
      <c r="N29" s="165">
        <f t="shared" si="2"/>
        <v>2024</v>
      </c>
      <c r="P29" s="165" t="s">
        <v>20</v>
      </c>
    </row>
    <row r="30" spans="2:16" s="296" customFormat="1" ht="12" customHeight="1" x14ac:dyDescent="0.2">
      <c r="B30" s="297"/>
      <c r="C30" s="297"/>
      <c r="D30" s="297"/>
      <c r="E30" s="297"/>
      <c r="F30" s="298"/>
      <c r="G30" s="220"/>
      <c r="O30" s="300"/>
    </row>
    <row r="31" spans="2:16" ht="36" customHeight="1" x14ac:dyDescent="0.2">
      <c r="B31" s="1118" t="s">
        <v>201</v>
      </c>
      <c r="C31" s="1119"/>
      <c r="D31" s="1119"/>
      <c r="E31" s="1120"/>
      <c r="F31" s="167"/>
      <c r="G31" s="804"/>
      <c r="H31" s="804"/>
      <c r="I31" s="804"/>
      <c r="J31" s="804"/>
      <c r="K31" s="804"/>
      <c r="L31" s="804"/>
      <c r="M31" s="804"/>
      <c r="N31" s="804"/>
      <c r="P31" s="804"/>
    </row>
    <row r="32" spans="2:16" ht="28.5" customHeight="1" x14ac:dyDescent="0.2">
      <c r="B32" s="1107" t="str">
        <f>"per 31/12/"&amp;$G$13</f>
        <v>per 31/12/2017</v>
      </c>
      <c r="C32" s="1108"/>
      <c r="D32" s="1108"/>
      <c r="E32" s="1109"/>
      <c r="F32" s="167"/>
      <c r="G32" s="847"/>
      <c r="H32" s="847"/>
      <c r="I32" s="847"/>
      <c r="J32" s="847"/>
      <c r="K32" s="247"/>
      <c r="L32" s="247"/>
      <c r="M32" s="247"/>
      <c r="N32" s="247"/>
      <c r="P32" s="803">
        <f>SUM(G32:N32)</f>
        <v>0</v>
      </c>
    </row>
    <row r="33" spans="2:16" ht="28.5" customHeight="1" x14ac:dyDescent="0.2">
      <c r="B33" s="1107" t="str">
        <f>"per 31/12/"&amp;$H$13</f>
        <v>per 31/12/2018</v>
      </c>
      <c r="C33" s="1108"/>
      <c r="D33" s="1108"/>
      <c r="E33" s="1109"/>
      <c r="F33" s="167"/>
      <c r="G33" s="847">
        <f>J224</f>
        <v>0</v>
      </c>
      <c r="H33" s="847"/>
      <c r="I33" s="847"/>
      <c r="J33" s="847"/>
      <c r="K33" s="247"/>
      <c r="L33" s="247"/>
      <c r="M33" s="247"/>
      <c r="N33" s="247"/>
      <c r="P33" s="803">
        <f t="shared" ref="P33:P39" si="3">SUM(G33:N33)</f>
        <v>0</v>
      </c>
    </row>
    <row r="34" spans="2:16" ht="28.5" customHeight="1" x14ac:dyDescent="0.2">
      <c r="B34" s="1107" t="str">
        <f>"per 31/12/"&amp;$I$13</f>
        <v>per 31/12/2019</v>
      </c>
      <c r="C34" s="1108"/>
      <c r="D34" s="1108"/>
      <c r="E34" s="1109"/>
      <c r="F34" s="167"/>
      <c r="G34" s="847">
        <f>+L229</f>
        <v>0</v>
      </c>
      <c r="H34" s="847">
        <f>+L230</f>
        <v>0</v>
      </c>
      <c r="I34" s="847"/>
      <c r="J34" s="847"/>
      <c r="K34" s="247"/>
      <c r="L34" s="247"/>
      <c r="M34" s="247"/>
      <c r="N34" s="247"/>
      <c r="P34" s="803">
        <f t="shared" si="3"/>
        <v>0</v>
      </c>
    </row>
    <row r="35" spans="2:16" ht="28.5" customHeight="1" x14ac:dyDescent="0.2">
      <c r="B35" s="1107" t="str">
        <f>"per 31/12/"&amp;$J$13</f>
        <v>per 31/12/2020</v>
      </c>
      <c r="C35" s="1108"/>
      <c r="D35" s="1108"/>
      <c r="E35" s="1109"/>
      <c r="F35" s="167"/>
      <c r="G35" s="847">
        <f>L236</f>
        <v>0</v>
      </c>
      <c r="H35" s="847">
        <f>L237</f>
        <v>0</v>
      </c>
      <c r="I35" s="847">
        <f>L238</f>
        <v>0</v>
      </c>
      <c r="J35" s="847"/>
      <c r="K35" s="247"/>
      <c r="L35" s="247"/>
      <c r="M35" s="247"/>
      <c r="N35" s="247"/>
      <c r="P35" s="803">
        <f t="shared" si="3"/>
        <v>0</v>
      </c>
    </row>
    <row r="36" spans="2:16" ht="28.5" customHeight="1" x14ac:dyDescent="0.2">
      <c r="B36" s="1107" t="str">
        <f>"per 31/12/"&amp;$K$13</f>
        <v>per 31/12/2021</v>
      </c>
      <c r="C36" s="1108"/>
      <c r="D36" s="1108"/>
      <c r="E36" s="1109"/>
      <c r="F36" s="167"/>
      <c r="G36" s="247">
        <f>+H244</f>
        <v>0</v>
      </c>
      <c r="H36" s="247">
        <f>+H245</f>
        <v>0</v>
      </c>
      <c r="I36" s="247">
        <f>+H246</f>
        <v>0</v>
      </c>
      <c r="J36" s="247">
        <f>+H247</f>
        <v>0</v>
      </c>
      <c r="K36" s="247"/>
      <c r="L36" s="247"/>
      <c r="M36" s="247"/>
      <c r="N36" s="247"/>
      <c r="P36" s="803">
        <f t="shared" si="3"/>
        <v>0</v>
      </c>
    </row>
    <row r="37" spans="2:16" ht="28.5" customHeight="1" x14ac:dyDescent="0.2">
      <c r="B37" s="1107" t="str">
        <f>"per 31/12/"&amp;$L$13</f>
        <v>per 31/12/2022</v>
      </c>
      <c r="C37" s="1108"/>
      <c r="D37" s="1108"/>
      <c r="E37" s="1109"/>
      <c r="F37" s="167"/>
      <c r="G37" s="247">
        <f>+H253</f>
        <v>0</v>
      </c>
      <c r="H37" s="247">
        <f>+H254</f>
        <v>0</v>
      </c>
      <c r="I37" s="247">
        <f>+H255</f>
        <v>0</v>
      </c>
      <c r="J37" s="247">
        <f>+H256</f>
        <v>0</v>
      </c>
      <c r="K37" s="247">
        <f>+H257</f>
        <v>0</v>
      </c>
      <c r="L37" s="247"/>
      <c r="M37" s="247"/>
      <c r="N37" s="247"/>
      <c r="P37" s="803">
        <f t="shared" si="3"/>
        <v>0</v>
      </c>
    </row>
    <row r="38" spans="2:16" ht="28.5" customHeight="1" x14ac:dyDescent="0.2">
      <c r="B38" s="1107" t="str">
        <f>"per 31/12/"&amp;$M$13</f>
        <v>per 31/12/2023</v>
      </c>
      <c r="C38" s="1108"/>
      <c r="D38" s="1108"/>
      <c r="E38" s="1109"/>
      <c r="F38" s="167"/>
      <c r="G38" s="247"/>
      <c r="H38" s="247"/>
      <c r="I38" s="247"/>
      <c r="J38" s="247"/>
      <c r="K38" s="247">
        <f>+H263</f>
        <v>0</v>
      </c>
      <c r="L38" s="247">
        <f>+H264</f>
        <v>0</v>
      </c>
      <c r="M38" s="247"/>
      <c r="N38" s="247"/>
      <c r="P38" s="803">
        <f t="shared" si="3"/>
        <v>0</v>
      </c>
    </row>
    <row r="39" spans="2:16" ht="28.5" customHeight="1" x14ac:dyDescent="0.2">
      <c r="B39" s="1107" t="str">
        <f>"per 31/12/"&amp;$N$13</f>
        <v>per 31/12/2024</v>
      </c>
      <c r="C39" s="1108"/>
      <c r="D39" s="1108"/>
      <c r="E39" s="1109"/>
      <c r="F39" s="167"/>
      <c r="G39" s="247"/>
      <c r="H39" s="247"/>
      <c r="I39" s="247"/>
      <c r="J39" s="247"/>
      <c r="K39" s="247"/>
      <c r="L39" s="247">
        <f>+H270</f>
        <v>0</v>
      </c>
      <c r="M39" s="247">
        <f>+H271</f>
        <v>0</v>
      </c>
      <c r="N39" s="247"/>
      <c r="P39" s="803">
        <f t="shared" si="3"/>
        <v>0</v>
      </c>
    </row>
    <row r="40" spans="2:16" ht="36" customHeight="1" x14ac:dyDescent="0.2">
      <c r="B40" s="1118" t="s">
        <v>347</v>
      </c>
      <c r="C40" s="1119"/>
      <c r="D40" s="1119"/>
      <c r="E40" s="1120"/>
      <c r="F40" s="167"/>
      <c r="G40" s="804"/>
      <c r="H40" s="804"/>
      <c r="I40" s="804"/>
      <c r="J40" s="804"/>
      <c r="K40" s="804"/>
      <c r="L40" s="804"/>
      <c r="M40" s="804"/>
      <c r="N40" s="804"/>
      <c r="P40" s="804"/>
    </row>
    <row r="41" spans="2:16" ht="28.5" customHeight="1" x14ac:dyDescent="0.2">
      <c r="B41" s="1112" t="str">
        <f>"per 31/12/"&amp;$G$13</f>
        <v>per 31/12/2017</v>
      </c>
      <c r="C41" s="1113"/>
      <c r="D41" s="1113"/>
      <c r="E41" s="1114"/>
      <c r="F41" s="167"/>
      <c r="G41" s="847"/>
      <c r="H41" s="847"/>
      <c r="I41" s="847"/>
      <c r="J41" s="847"/>
      <c r="K41" s="247"/>
      <c r="L41" s="247"/>
      <c r="M41" s="247"/>
      <c r="N41" s="247"/>
      <c r="P41" s="805"/>
    </row>
    <row r="42" spans="2:16" ht="28.5" customHeight="1" x14ac:dyDescent="0.2">
      <c r="B42" s="1112" t="str">
        <f>"per 31/12/"&amp;$H$13</f>
        <v>per 31/12/2018</v>
      </c>
      <c r="C42" s="1113"/>
      <c r="D42" s="1113"/>
      <c r="E42" s="1114"/>
      <c r="F42" s="167"/>
      <c r="G42" s="848"/>
      <c r="H42" s="847"/>
      <c r="I42" s="847"/>
      <c r="J42" s="847"/>
      <c r="K42" s="247"/>
      <c r="L42" s="247"/>
      <c r="M42" s="247"/>
      <c r="N42" s="247"/>
      <c r="P42" s="805"/>
    </row>
    <row r="43" spans="2:16" ht="28.5" customHeight="1" x14ac:dyDescent="0.2">
      <c r="B43" s="1112" t="str">
        <f>"per 31/12/"&amp;$I$13</f>
        <v>per 31/12/2019</v>
      </c>
      <c r="C43" s="1113"/>
      <c r="D43" s="1113"/>
      <c r="E43" s="1114"/>
      <c r="F43" s="167"/>
      <c r="G43" s="848"/>
      <c r="H43" s="848"/>
      <c r="I43" s="847"/>
      <c r="J43" s="847"/>
      <c r="K43" s="247"/>
      <c r="L43" s="247"/>
      <c r="M43" s="247"/>
      <c r="N43" s="247"/>
      <c r="P43" s="805"/>
    </row>
    <row r="44" spans="2:16" ht="28.5" customHeight="1" x14ac:dyDescent="0.2">
      <c r="B44" s="1112" t="str">
        <f>"per 31/12/"&amp;$J$13</f>
        <v>per 31/12/2020</v>
      </c>
      <c r="C44" s="1113"/>
      <c r="D44" s="1113"/>
      <c r="E44" s="1114"/>
      <c r="F44" s="167"/>
      <c r="G44" s="848"/>
      <c r="H44" s="848"/>
      <c r="I44" s="848"/>
      <c r="J44" s="847"/>
      <c r="K44" s="247"/>
      <c r="L44" s="247"/>
      <c r="M44" s="247"/>
      <c r="N44" s="247"/>
      <c r="P44" s="805"/>
    </row>
    <row r="45" spans="2:16" ht="28.5" customHeight="1" x14ac:dyDescent="0.2">
      <c r="B45" s="1112" t="str">
        <f>"per 31/12/"&amp;$K$13</f>
        <v>per 31/12/2021</v>
      </c>
      <c r="C45" s="1113"/>
      <c r="D45" s="1113"/>
      <c r="E45" s="1114"/>
      <c r="F45" s="167"/>
      <c r="G45" s="520"/>
      <c r="H45" s="520"/>
      <c r="I45" s="520"/>
      <c r="J45" s="520"/>
      <c r="K45" s="247"/>
      <c r="L45" s="247"/>
      <c r="M45" s="247"/>
      <c r="N45" s="247"/>
      <c r="P45" s="805"/>
    </row>
    <row r="46" spans="2:16" ht="28.5" customHeight="1" x14ac:dyDescent="0.2">
      <c r="B46" s="1112" t="str">
        <f>"per 31/12/"&amp;$L$13</f>
        <v>per 31/12/2022</v>
      </c>
      <c r="C46" s="1113"/>
      <c r="D46" s="1113"/>
      <c r="E46" s="1114"/>
      <c r="F46" s="167"/>
      <c r="G46" s="520"/>
      <c r="H46" s="520"/>
      <c r="I46" s="520"/>
      <c r="J46" s="520"/>
      <c r="K46" s="520"/>
      <c r="L46" s="247"/>
      <c r="M46" s="247"/>
      <c r="N46" s="247"/>
      <c r="P46" s="805"/>
    </row>
    <row r="47" spans="2:16" ht="28.5" customHeight="1" x14ac:dyDescent="0.2">
      <c r="B47" s="1107" t="str">
        <f>"per 31/12/"&amp;$M$13</f>
        <v>per 31/12/2023</v>
      </c>
      <c r="C47" s="1108"/>
      <c r="D47" s="1108"/>
      <c r="E47" s="1109"/>
      <c r="F47" s="167"/>
      <c r="G47" s="247"/>
      <c r="H47" s="247"/>
      <c r="I47" s="247"/>
      <c r="J47" s="247"/>
      <c r="K47" s="520"/>
      <c r="L47" s="247">
        <f>+H288</f>
        <v>0</v>
      </c>
      <c r="M47" s="247"/>
      <c r="N47" s="247"/>
      <c r="P47" s="803">
        <f t="shared" ref="P47:P48" si="4">SUM(G47:N47)</f>
        <v>0</v>
      </c>
    </row>
    <row r="48" spans="2:16" ht="28.5" customHeight="1" x14ac:dyDescent="0.2">
      <c r="B48" s="1107" t="str">
        <f>"per 31/12/"&amp;$N$13</f>
        <v>per 31/12/2024</v>
      </c>
      <c r="C48" s="1108"/>
      <c r="D48" s="1108"/>
      <c r="E48" s="1109"/>
      <c r="F48" s="167"/>
      <c r="G48" s="247"/>
      <c r="H48" s="247"/>
      <c r="I48" s="247"/>
      <c r="J48" s="247"/>
      <c r="K48" s="247"/>
      <c r="L48" s="247">
        <f>+H294</f>
        <v>0</v>
      </c>
      <c r="M48" s="247">
        <f>+H295</f>
        <v>0</v>
      </c>
      <c r="N48" s="247"/>
      <c r="P48" s="803">
        <f t="shared" si="4"/>
        <v>0</v>
      </c>
    </row>
    <row r="49" spans="2:16" ht="27.75" customHeight="1" x14ac:dyDescent="0.2">
      <c r="B49" s="1118" t="s">
        <v>66</v>
      </c>
      <c r="C49" s="1119"/>
      <c r="D49" s="1119"/>
      <c r="E49" s="1120"/>
      <c r="F49" s="167"/>
      <c r="G49" s="804"/>
      <c r="H49" s="804"/>
      <c r="I49" s="804"/>
      <c r="J49" s="804"/>
      <c r="K49" s="804"/>
      <c r="L49" s="804"/>
      <c r="M49" s="804"/>
      <c r="N49" s="804"/>
      <c r="P49" s="804"/>
    </row>
    <row r="50" spans="2:16" ht="28.5" customHeight="1" x14ac:dyDescent="0.2">
      <c r="B50" s="1107" t="str">
        <f>"per 31/12/"&amp;$G$13</f>
        <v>per 31/12/2017</v>
      </c>
      <c r="C50" s="1108"/>
      <c r="D50" s="1108"/>
      <c r="E50" s="1109"/>
      <c r="F50" s="167"/>
      <c r="G50" s="247"/>
      <c r="H50" s="247"/>
      <c r="I50" s="247"/>
      <c r="J50" s="247"/>
      <c r="K50" s="247"/>
      <c r="L50" s="247"/>
      <c r="M50" s="247"/>
      <c r="N50" s="247"/>
      <c r="P50" s="803">
        <f>SUM(G50:N50)</f>
        <v>0</v>
      </c>
    </row>
    <row r="51" spans="2:16" ht="28.5" customHeight="1" x14ac:dyDescent="0.2">
      <c r="B51" s="1107" t="str">
        <f>"per 31/12/"&amp;$H$13</f>
        <v>per 31/12/2018</v>
      </c>
      <c r="C51" s="1108"/>
      <c r="D51" s="1108"/>
      <c r="E51" s="1109"/>
      <c r="F51" s="167"/>
      <c r="G51" s="847">
        <f>J311</f>
        <v>0</v>
      </c>
      <c r="H51" s="847"/>
      <c r="I51" s="847"/>
      <c r="J51" s="847"/>
      <c r="K51" s="247"/>
      <c r="L51" s="247"/>
      <c r="M51" s="247"/>
      <c r="N51" s="247"/>
      <c r="P51" s="803">
        <f t="shared" ref="P51:P57" si="5">SUM(G51:N51)</f>
        <v>0</v>
      </c>
    </row>
    <row r="52" spans="2:16" ht="28.5" customHeight="1" x14ac:dyDescent="0.2">
      <c r="B52" s="1107" t="str">
        <f>"per 31/12/"&amp;$I$13</f>
        <v>per 31/12/2019</v>
      </c>
      <c r="C52" s="1108"/>
      <c r="D52" s="1108"/>
      <c r="E52" s="1109"/>
      <c r="F52" s="167"/>
      <c r="G52" s="847">
        <f>+L316</f>
        <v>0</v>
      </c>
      <c r="H52" s="847">
        <f>+L317</f>
        <v>0</v>
      </c>
      <c r="I52" s="847"/>
      <c r="J52" s="847"/>
      <c r="K52" s="247"/>
      <c r="L52" s="247"/>
      <c r="M52" s="247"/>
      <c r="N52" s="247"/>
      <c r="P52" s="803">
        <f t="shared" si="5"/>
        <v>0</v>
      </c>
    </row>
    <row r="53" spans="2:16" ht="28.5" customHeight="1" x14ac:dyDescent="0.2">
      <c r="B53" s="1107" t="str">
        <f>"per 31/12/"&amp;$J$13</f>
        <v>per 31/12/2020</v>
      </c>
      <c r="C53" s="1108"/>
      <c r="D53" s="1108"/>
      <c r="E53" s="1109"/>
      <c r="F53" s="167"/>
      <c r="G53" s="847">
        <f>L323</f>
        <v>0</v>
      </c>
      <c r="H53" s="847">
        <f>L324</f>
        <v>0</v>
      </c>
      <c r="I53" s="847">
        <f>L325</f>
        <v>0</v>
      </c>
      <c r="J53" s="847"/>
      <c r="K53" s="247"/>
      <c r="L53" s="247"/>
      <c r="M53" s="247"/>
      <c r="N53" s="247"/>
      <c r="P53" s="803">
        <f t="shared" si="5"/>
        <v>0</v>
      </c>
    </row>
    <row r="54" spans="2:16" ht="28.5" customHeight="1" x14ac:dyDescent="0.2">
      <c r="B54" s="1107" t="str">
        <f>"per 31/12/"&amp;$K$13</f>
        <v>per 31/12/2021</v>
      </c>
      <c r="C54" s="1108"/>
      <c r="D54" s="1108"/>
      <c r="E54" s="1109"/>
      <c r="F54" s="167"/>
      <c r="G54" s="247">
        <f>+H331</f>
        <v>0</v>
      </c>
      <c r="H54" s="247">
        <f>+H332</f>
        <v>0</v>
      </c>
      <c r="I54" s="247">
        <f>+H333</f>
        <v>0</v>
      </c>
      <c r="J54" s="247">
        <f>+H334</f>
        <v>0</v>
      </c>
      <c r="K54" s="247"/>
      <c r="L54" s="247"/>
      <c r="M54" s="247"/>
      <c r="N54" s="247"/>
      <c r="P54" s="803">
        <f t="shared" si="5"/>
        <v>0</v>
      </c>
    </row>
    <row r="55" spans="2:16" ht="28.5" customHeight="1" x14ac:dyDescent="0.2">
      <c r="B55" s="1107" t="str">
        <f>"per 31/12/"&amp;$L$13</f>
        <v>per 31/12/2022</v>
      </c>
      <c r="C55" s="1108"/>
      <c r="D55" s="1108"/>
      <c r="E55" s="1109"/>
      <c r="F55" s="167"/>
      <c r="G55" s="247">
        <f>+H340</f>
        <v>0</v>
      </c>
      <c r="H55" s="247">
        <f>+H341</f>
        <v>0</v>
      </c>
      <c r="I55" s="247">
        <f>+H342</f>
        <v>0</v>
      </c>
      <c r="J55" s="247">
        <f>+H343</f>
        <v>0</v>
      </c>
      <c r="K55" s="247">
        <f>+H344</f>
        <v>0</v>
      </c>
      <c r="L55" s="247"/>
      <c r="M55" s="247"/>
      <c r="N55" s="247"/>
      <c r="P55" s="803">
        <f t="shared" si="5"/>
        <v>0</v>
      </c>
    </row>
    <row r="56" spans="2:16" ht="28.5" customHeight="1" x14ac:dyDescent="0.2">
      <c r="B56" s="1107" t="str">
        <f>"per 31/12/"&amp;$M$13</f>
        <v>per 31/12/2023</v>
      </c>
      <c r="C56" s="1108"/>
      <c r="D56" s="1108"/>
      <c r="E56" s="1109"/>
      <c r="F56" s="167"/>
      <c r="G56" s="247"/>
      <c r="H56" s="247"/>
      <c r="I56" s="247"/>
      <c r="J56" s="247"/>
      <c r="K56" s="247">
        <f>+H350</f>
        <v>0</v>
      </c>
      <c r="L56" s="247">
        <f>+H351</f>
        <v>0</v>
      </c>
      <c r="M56" s="247"/>
      <c r="N56" s="247"/>
      <c r="P56" s="803">
        <f t="shared" si="5"/>
        <v>0</v>
      </c>
    </row>
    <row r="57" spans="2:16" ht="28.5" customHeight="1" x14ac:dyDescent="0.2">
      <c r="B57" s="1107" t="str">
        <f>"per 31/12/"&amp;$N$13</f>
        <v>per 31/12/2024</v>
      </c>
      <c r="C57" s="1108"/>
      <c r="D57" s="1108"/>
      <c r="E57" s="1109"/>
      <c r="F57" s="167"/>
      <c r="G57" s="247"/>
      <c r="H57" s="247"/>
      <c r="I57" s="247"/>
      <c r="J57" s="247"/>
      <c r="K57" s="247"/>
      <c r="L57" s="247">
        <f>+H357</f>
        <v>0</v>
      </c>
      <c r="M57" s="247">
        <f>+H358</f>
        <v>0</v>
      </c>
      <c r="N57" s="247"/>
      <c r="P57" s="803">
        <f t="shared" si="5"/>
        <v>0</v>
      </c>
    </row>
    <row r="58" spans="2:16" ht="33.75" customHeight="1" x14ac:dyDescent="0.2">
      <c r="B58" s="1128" t="s">
        <v>350</v>
      </c>
      <c r="C58" s="1128"/>
      <c r="D58" s="1128"/>
      <c r="E58" s="1128"/>
      <c r="F58" s="167"/>
      <c r="G58" s="804"/>
      <c r="H58" s="804"/>
      <c r="I58" s="804"/>
      <c r="J58" s="804"/>
      <c r="K58" s="804"/>
      <c r="L58" s="804"/>
      <c r="M58" s="804"/>
      <c r="N58" s="804"/>
      <c r="P58" s="804"/>
    </row>
    <row r="59" spans="2:16" ht="28.5" customHeight="1" x14ac:dyDescent="0.2">
      <c r="B59" s="1107" t="str">
        <f>"per 31/12/"&amp;$G$13</f>
        <v>per 31/12/2017</v>
      </c>
      <c r="C59" s="1108"/>
      <c r="D59" s="1108"/>
      <c r="E59" s="1109"/>
      <c r="F59" s="167"/>
      <c r="G59" s="247"/>
      <c r="H59" s="247"/>
      <c r="I59" s="247"/>
      <c r="J59" s="247"/>
      <c r="K59" s="247"/>
      <c r="L59" s="247"/>
      <c r="M59" s="247"/>
      <c r="N59" s="247"/>
      <c r="P59" s="803">
        <f t="shared" ref="P59:P64" si="6">SUM(G59:N59)</f>
        <v>0</v>
      </c>
    </row>
    <row r="60" spans="2:16" ht="28.5" customHeight="1" x14ac:dyDescent="0.2">
      <c r="B60" s="1107" t="str">
        <f>"per 31/12/"&amp;$H$13</f>
        <v>per 31/12/2018</v>
      </c>
      <c r="C60" s="1108"/>
      <c r="D60" s="1108"/>
      <c r="E60" s="1109"/>
      <c r="F60" s="167"/>
      <c r="G60" s="847">
        <f>+J375</f>
        <v>0</v>
      </c>
      <c r="H60" s="847"/>
      <c r="I60" s="847"/>
      <c r="J60" s="847"/>
      <c r="K60" s="247"/>
      <c r="L60" s="247"/>
      <c r="M60" s="247"/>
      <c r="N60" s="247"/>
      <c r="P60" s="803">
        <f t="shared" si="6"/>
        <v>0</v>
      </c>
    </row>
    <row r="61" spans="2:16" ht="28.5" customHeight="1" x14ac:dyDescent="0.2">
      <c r="B61" s="1107" t="str">
        <f>"per 31/12/"&amp;$I$13</f>
        <v>per 31/12/2019</v>
      </c>
      <c r="C61" s="1108"/>
      <c r="D61" s="1108"/>
      <c r="E61" s="1109"/>
      <c r="F61" s="167"/>
      <c r="G61" s="847">
        <f>+L380</f>
        <v>0</v>
      </c>
      <c r="H61" s="847">
        <f>+L381</f>
        <v>0</v>
      </c>
      <c r="I61" s="847"/>
      <c r="J61" s="847"/>
      <c r="K61" s="247"/>
      <c r="L61" s="247"/>
      <c r="M61" s="247"/>
      <c r="N61" s="247"/>
      <c r="P61" s="803">
        <f t="shared" si="6"/>
        <v>0</v>
      </c>
    </row>
    <row r="62" spans="2:16" ht="28.5" customHeight="1" x14ac:dyDescent="0.2">
      <c r="B62" s="1107" t="str">
        <f>"per 31/12/"&amp;$J$13</f>
        <v>per 31/12/2020</v>
      </c>
      <c r="C62" s="1108"/>
      <c r="D62" s="1108"/>
      <c r="E62" s="1109"/>
      <c r="F62" s="167"/>
      <c r="G62" s="847">
        <f>L387</f>
        <v>0</v>
      </c>
      <c r="H62" s="847">
        <f>L388</f>
        <v>0</v>
      </c>
      <c r="I62" s="847">
        <f>L389</f>
        <v>0</v>
      </c>
      <c r="J62" s="847"/>
      <c r="K62" s="247"/>
      <c r="L62" s="247"/>
      <c r="M62" s="247"/>
      <c r="N62" s="247"/>
      <c r="P62" s="803">
        <f t="shared" si="6"/>
        <v>0</v>
      </c>
    </row>
    <row r="63" spans="2:16" ht="28.5" customHeight="1" x14ac:dyDescent="0.2">
      <c r="B63" s="1107" t="str">
        <f>"per 31/12/"&amp;$K$13</f>
        <v>per 31/12/2021</v>
      </c>
      <c r="C63" s="1108"/>
      <c r="D63" s="1108"/>
      <c r="E63" s="1109"/>
      <c r="F63" s="167"/>
      <c r="G63" s="247">
        <f>+H395</f>
        <v>0</v>
      </c>
      <c r="H63" s="247">
        <f>+H396</f>
        <v>0</v>
      </c>
      <c r="I63" s="247">
        <f>+H397</f>
        <v>0</v>
      </c>
      <c r="J63" s="247">
        <f>+H398</f>
        <v>0</v>
      </c>
      <c r="K63" s="247"/>
      <c r="L63" s="247"/>
      <c r="M63" s="247"/>
      <c r="N63" s="247"/>
      <c r="P63" s="803">
        <f t="shared" si="6"/>
        <v>0</v>
      </c>
    </row>
    <row r="64" spans="2:16" ht="28.5" customHeight="1" x14ac:dyDescent="0.2">
      <c r="B64" s="1107" t="str">
        <f>"per 31/12/"&amp;$L$13</f>
        <v>per 31/12/2022</v>
      </c>
      <c r="C64" s="1108"/>
      <c r="D64" s="1108"/>
      <c r="E64" s="1109"/>
      <c r="F64" s="167"/>
      <c r="G64" s="247">
        <f>+H404</f>
        <v>0</v>
      </c>
      <c r="H64" s="247">
        <f>+H405</f>
        <v>0</v>
      </c>
      <c r="I64" s="247">
        <f>+H406</f>
        <v>0</v>
      </c>
      <c r="J64" s="247">
        <f>+H407</f>
        <v>0</v>
      </c>
      <c r="K64" s="520"/>
      <c r="L64" s="247"/>
      <c r="M64" s="247"/>
      <c r="N64" s="247"/>
      <c r="P64" s="803">
        <f t="shared" si="6"/>
        <v>0</v>
      </c>
    </row>
    <row r="65" spans="2:16" ht="28.5" customHeight="1" x14ac:dyDescent="0.2">
      <c r="B65" s="1107" t="str">
        <f>"per 31/12/"&amp;$M$13</f>
        <v>per 31/12/2023</v>
      </c>
      <c r="C65" s="1108"/>
      <c r="D65" s="1108"/>
      <c r="E65" s="1109"/>
      <c r="F65" s="167"/>
      <c r="G65" s="247"/>
      <c r="H65" s="247"/>
      <c r="I65" s="247"/>
      <c r="J65" s="247"/>
      <c r="K65" s="520"/>
      <c r="L65" s="520"/>
      <c r="M65" s="247"/>
      <c r="N65" s="247"/>
      <c r="P65" s="805"/>
    </row>
    <row r="66" spans="2:16" ht="28.5" customHeight="1" x14ac:dyDescent="0.2">
      <c r="B66" s="1107" t="str">
        <f>"per 31/12/"&amp;$N$13</f>
        <v>per 31/12/2024</v>
      </c>
      <c r="C66" s="1108"/>
      <c r="D66" s="1108"/>
      <c r="E66" s="1109"/>
      <c r="F66" s="167"/>
      <c r="G66" s="247"/>
      <c r="H66" s="247"/>
      <c r="I66" s="247"/>
      <c r="J66" s="247"/>
      <c r="K66" s="247"/>
      <c r="L66" s="520"/>
      <c r="M66" s="520"/>
      <c r="N66" s="247"/>
      <c r="P66" s="805"/>
    </row>
    <row r="67" spans="2:16" ht="30" customHeight="1" x14ac:dyDescent="0.2">
      <c r="B67" s="1118" t="s">
        <v>169</v>
      </c>
      <c r="C67" s="1119"/>
      <c r="D67" s="1119"/>
      <c r="E67" s="1120"/>
      <c r="F67" s="167"/>
      <c r="G67" s="804"/>
      <c r="H67" s="804"/>
      <c r="I67" s="804"/>
      <c r="J67" s="804"/>
      <c r="K67" s="804"/>
      <c r="L67" s="804"/>
      <c r="M67" s="804"/>
      <c r="N67" s="804"/>
      <c r="P67" s="804"/>
    </row>
    <row r="68" spans="2:16" ht="28.5" customHeight="1" x14ac:dyDescent="0.2">
      <c r="B68" s="1107" t="str">
        <f>"per 31/12/"&amp;$G$13</f>
        <v>per 31/12/2017</v>
      </c>
      <c r="C68" s="1108"/>
      <c r="D68" s="1108"/>
      <c r="E68" s="1109"/>
      <c r="F68" s="167"/>
      <c r="G68" s="247"/>
      <c r="H68" s="247"/>
      <c r="I68" s="247"/>
      <c r="J68" s="247"/>
      <c r="K68" s="247"/>
      <c r="L68" s="247"/>
      <c r="M68" s="247"/>
      <c r="N68" s="247"/>
      <c r="P68" s="803">
        <f>SUM(G68:N68)</f>
        <v>0</v>
      </c>
    </row>
    <row r="69" spans="2:16" ht="28.5" customHeight="1" x14ac:dyDescent="0.2">
      <c r="B69" s="1107" t="str">
        <f>"per 31/12/"&amp;$H$13</f>
        <v>per 31/12/2018</v>
      </c>
      <c r="C69" s="1108"/>
      <c r="D69" s="1108"/>
      <c r="E69" s="1109"/>
      <c r="F69" s="167"/>
      <c r="G69" s="847">
        <f>J423</f>
        <v>0</v>
      </c>
      <c r="H69" s="847"/>
      <c r="I69" s="847"/>
      <c r="J69" s="847"/>
      <c r="K69" s="247"/>
      <c r="L69" s="247"/>
      <c r="M69" s="247"/>
      <c r="N69" s="247"/>
      <c r="P69" s="803">
        <f t="shared" ref="P69:P73" si="7">SUM(G69:N69)</f>
        <v>0</v>
      </c>
    </row>
    <row r="70" spans="2:16" ht="28.5" customHeight="1" x14ac:dyDescent="0.2">
      <c r="B70" s="1107" t="str">
        <f>"per 31/12/"&amp;$I$13</f>
        <v>per 31/12/2019</v>
      </c>
      <c r="C70" s="1108"/>
      <c r="D70" s="1108"/>
      <c r="E70" s="1109"/>
      <c r="F70" s="167"/>
      <c r="G70" s="847">
        <f>+L428</f>
        <v>0</v>
      </c>
      <c r="H70" s="847">
        <f>+L429</f>
        <v>0</v>
      </c>
      <c r="I70" s="847"/>
      <c r="J70" s="847"/>
      <c r="K70" s="247"/>
      <c r="L70" s="247"/>
      <c r="M70" s="247"/>
      <c r="N70" s="247"/>
      <c r="P70" s="803">
        <f t="shared" si="7"/>
        <v>0</v>
      </c>
    </row>
    <row r="71" spans="2:16" ht="28.5" customHeight="1" x14ac:dyDescent="0.2">
      <c r="B71" s="1107" t="str">
        <f>"per 31/12/"&amp;$J$13</f>
        <v>per 31/12/2020</v>
      </c>
      <c r="C71" s="1108"/>
      <c r="D71" s="1108"/>
      <c r="E71" s="1109"/>
      <c r="F71" s="167"/>
      <c r="G71" s="847">
        <f>L435</f>
        <v>0</v>
      </c>
      <c r="H71" s="847">
        <f>L436</f>
        <v>0</v>
      </c>
      <c r="I71" s="847">
        <f>L437</f>
        <v>0</v>
      </c>
      <c r="J71" s="847"/>
      <c r="K71" s="247"/>
      <c r="L71" s="247"/>
      <c r="M71" s="247"/>
      <c r="N71" s="247"/>
      <c r="P71" s="803">
        <f t="shared" si="7"/>
        <v>0</v>
      </c>
    </row>
    <row r="72" spans="2:16" ht="28.5" customHeight="1" x14ac:dyDescent="0.2">
      <c r="B72" s="1107" t="str">
        <f>"per 31/12/"&amp;$K$13</f>
        <v>per 31/12/2021</v>
      </c>
      <c r="C72" s="1108"/>
      <c r="D72" s="1108"/>
      <c r="E72" s="1109"/>
      <c r="F72" s="167"/>
      <c r="G72" s="247">
        <f>+H443</f>
        <v>0</v>
      </c>
      <c r="H72" s="247">
        <f>+H444</f>
        <v>0</v>
      </c>
      <c r="I72" s="247">
        <f>+H445</f>
        <v>0</v>
      </c>
      <c r="J72" s="247">
        <f>+H446</f>
        <v>0</v>
      </c>
      <c r="K72" s="247"/>
      <c r="L72" s="247"/>
      <c r="M72" s="247"/>
      <c r="N72" s="247"/>
      <c r="P72" s="803">
        <f t="shared" si="7"/>
        <v>0</v>
      </c>
    </row>
    <row r="73" spans="2:16" ht="28.5" customHeight="1" x14ac:dyDescent="0.2">
      <c r="B73" s="1107" t="str">
        <f>"per 31/12/"&amp;$L$13</f>
        <v>per 31/12/2022</v>
      </c>
      <c r="C73" s="1108"/>
      <c r="D73" s="1108"/>
      <c r="E73" s="1109"/>
      <c r="F73" s="167"/>
      <c r="G73" s="247">
        <f>+H452</f>
        <v>0</v>
      </c>
      <c r="H73" s="247">
        <f>+H453</f>
        <v>0</v>
      </c>
      <c r="I73" s="247">
        <f>+H454</f>
        <v>0</v>
      </c>
      <c r="J73" s="247">
        <f>+H455</f>
        <v>0</v>
      </c>
      <c r="K73" s="520"/>
      <c r="L73" s="247"/>
      <c r="M73" s="247"/>
      <c r="N73" s="247"/>
      <c r="P73" s="803">
        <f t="shared" si="7"/>
        <v>0</v>
      </c>
    </row>
    <row r="74" spans="2:16" ht="28.5" customHeight="1" x14ac:dyDescent="0.2">
      <c r="B74" s="1107" t="str">
        <f>"per 31/12/"&amp;$M$13</f>
        <v>per 31/12/2023</v>
      </c>
      <c r="C74" s="1108"/>
      <c r="D74" s="1108"/>
      <c r="E74" s="1109"/>
      <c r="F74" s="167"/>
      <c r="G74" s="247"/>
      <c r="H74" s="247"/>
      <c r="I74" s="247"/>
      <c r="J74" s="247"/>
      <c r="K74" s="520"/>
      <c r="L74" s="520"/>
      <c r="M74" s="247"/>
      <c r="N74" s="247"/>
      <c r="P74" s="805"/>
    </row>
    <row r="75" spans="2:16" ht="28.5" customHeight="1" x14ac:dyDescent="0.2">
      <c r="B75" s="1107" t="str">
        <f>"per 31/12/"&amp;$N$13</f>
        <v>per 31/12/2024</v>
      </c>
      <c r="C75" s="1108"/>
      <c r="D75" s="1108"/>
      <c r="E75" s="1109"/>
      <c r="F75" s="167"/>
      <c r="G75" s="247"/>
      <c r="H75" s="247"/>
      <c r="I75" s="247"/>
      <c r="J75" s="247"/>
      <c r="K75" s="247"/>
      <c r="L75" s="520"/>
      <c r="M75" s="520"/>
      <c r="N75" s="247"/>
      <c r="P75" s="805"/>
    </row>
    <row r="76" spans="2:16" ht="30" customHeight="1" x14ac:dyDescent="0.2">
      <c r="B76" s="1118" t="s">
        <v>67</v>
      </c>
      <c r="C76" s="1119"/>
      <c r="D76" s="1119"/>
      <c r="E76" s="1120"/>
      <c r="F76" s="167"/>
      <c r="G76" s="804"/>
      <c r="H76" s="804"/>
      <c r="I76" s="804"/>
      <c r="J76" s="804"/>
      <c r="K76" s="804"/>
      <c r="L76" s="804"/>
      <c r="M76" s="804"/>
      <c r="N76" s="804"/>
      <c r="P76" s="804"/>
    </row>
    <row r="77" spans="2:16" ht="28.5" customHeight="1" x14ac:dyDescent="0.2">
      <c r="B77" s="1107" t="str">
        <f>"per 31/12/"&amp;$G$13</f>
        <v>per 31/12/2017</v>
      </c>
      <c r="C77" s="1108"/>
      <c r="D77" s="1108"/>
      <c r="E77" s="1109"/>
      <c r="F77" s="167"/>
      <c r="G77" s="247"/>
      <c r="H77" s="247"/>
      <c r="I77" s="247"/>
      <c r="J77" s="247"/>
      <c r="K77" s="247"/>
      <c r="L77" s="247"/>
      <c r="M77" s="247"/>
      <c r="N77" s="247"/>
      <c r="P77" s="803">
        <f>SUM(G77:N77)</f>
        <v>0</v>
      </c>
    </row>
    <row r="78" spans="2:16" ht="28.5" customHeight="1" x14ac:dyDescent="0.2">
      <c r="B78" s="1107" t="str">
        <f>"per 31/12/"&amp;$H$13</f>
        <v>per 31/12/2018</v>
      </c>
      <c r="C78" s="1108"/>
      <c r="D78" s="1108"/>
      <c r="E78" s="1109"/>
      <c r="F78" s="167"/>
      <c r="G78" s="847">
        <f>J471</f>
        <v>0</v>
      </c>
      <c r="H78" s="847"/>
      <c r="I78" s="847"/>
      <c r="J78" s="847"/>
      <c r="K78" s="247"/>
      <c r="L78" s="247"/>
      <c r="M78" s="247"/>
      <c r="N78" s="247"/>
      <c r="P78" s="803">
        <f t="shared" ref="P78:P84" si="8">SUM(G78:N78)</f>
        <v>0</v>
      </c>
    </row>
    <row r="79" spans="2:16" ht="28.5" customHeight="1" x14ac:dyDescent="0.2">
      <c r="B79" s="1107" t="str">
        <f>"per 31/12/"&amp;$I$13</f>
        <v>per 31/12/2019</v>
      </c>
      <c r="C79" s="1108"/>
      <c r="D79" s="1108"/>
      <c r="E79" s="1109"/>
      <c r="F79" s="167"/>
      <c r="G79" s="847">
        <f>+L476</f>
        <v>0</v>
      </c>
      <c r="H79" s="847">
        <f>+L477</f>
        <v>0</v>
      </c>
      <c r="I79" s="847"/>
      <c r="J79" s="847"/>
      <c r="K79" s="247"/>
      <c r="L79" s="247"/>
      <c r="M79" s="247"/>
      <c r="N79" s="247"/>
      <c r="P79" s="803">
        <f t="shared" si="8"/>
        <v>0</v>
      </c>
    </row>
    <row r="80" spans="2:16" ht="28.5" customHeight="1" x14ac:dyDescent="0.2">
      <c r="B80" s="1107" t="str">
        <f>"per 31/12/"&amp;$J$13</f>
        <v>per 31/12/2020</v>
      </c>
      <c r="C80" s="1108"/>
      <c r="D80" s="1108"/>
      <c r="E80" s="1109"/>
      <c r="F80" s="167"/>
      <c r="G80" s="847">
        <f>L483</f>
        <v>0</v>
      </c>
      <c r="H80" s="847">
        <f>L484</f>
        <v>0</v>
      </c>
      <c r="I80" s="847">
        <f>L485</f>
        <v>0</v>
      </c>
      <c r="J80" s="847"/>
      <c r="K80" s="247"/>
      <c r="L80" s="247"/>
      <c r="M80" s="247"/>
      <c r="N80" s="247"/>
      <c r="P80" s="803">
        <f t="shared" si="8"/>
        <v>0</v>
      </c>
    </row>
    <row r="81" spans="2:16" ht="28.5" customHeight="1" x14ac:dyDescent="0.2">
      <c r="B81" s="1107" t="str">
        <f>"per 31/12/"&amp;$K$13</f>
        <v>per 31/12/2021</v>
      </c>
      <c r="C81" s="1108"/>
      <c r="D81" s="1108"/>
      <c r="E81" s="1109"/>
      <c r="F81" s="167"/>
      <c r="G81" s="247">
        <f>+H491</f>
        <v>0</v>
      </c>
      <c r="H81" s="247">
        <f>+H492</f>
        <v>0</v>
      </c>
      <c r="I81" s="247">
        <f>+H493</f>
        <v>0</v>
      </c>
      <c r="J81" s="247">
        <f>+H494</f>
        <v>0</v>
      </c>
      <c r="K81" s="247"/>
      <c r="L81" s="247"/>
      <c r="M81" s="247"/>
      <c r="N81" s="247"/>
      <c r="P81" s="803">
        <f t="shared" si="8"/>
        <v>0</v>
      </c>
    </row>
    <row r="82" spans="2:16" ht="28.5" customHeight="1" x14ac:dyDescent="0.2">
      <c r="B82" s="1107" t="str">
        <f>"per 31/12/"&amp;$L$13</f>
        <v>per 31/12/2022</v>
      </c>
      <c r="C82" s="1108"/>
      <c r="D82" s="1108"/>
      <c r="E82" s="1109"/>
      <c r="F82" s="167"/>
      <c r="G82" s="247">
        <f>+H500</f>
        <v>0</v>
      </c>
      <c r="H82" s="247">
        <f>+H501</f>
        <v>0</v>
      </c>
      <c r="I82" s="247">
        <f>+H502</f>
        <v>0</v>
      </c>
      <c r="J82" s="247">
        <f>+H503</f>
        <v>0</v>
      </c>
      <c r="K82" s="247">
        <f>+H504</f>
        <v>0</v>
      </c>
      <c r="L82" s="247"/>
      <c r="M82" s="247"/>
      <c r="N82" s="247"/>
      <c r="P82" s="803">
        <f t="shared" si="8"/>
        <v>0</v>
      </c>
    </row>
    <row r="83" spans="2:16" ht="28.5" customHeight="1" x14ac:dyDescent="0.2">
      <c r="B83" s="1107" t="str">
        <f>"per 31/12/"&amp;$M$13</f>
        <v>per 31/12/2023</v>
      </c>
      <c r="C83" s="1108"/>
      <c r="D83" s="1108"/>
      <c r="E83" s="1109"/>
      <c r="F83" s="167"/>
      <c r="G83" s="247"/>
      <c r="H83" s="247"/>
      <c r="I83" s="247"/>
      <c r="J83" s="247"/>
      <c r="K83" s="247">
        <f>+H510</f>
        <v>0</v>
      </c>
      <c r="L83" s="247">
        <f>+H511</f>
        <v>0</v>
      </c>
      <c r="M83" s="247"/>
      <c r="N83" s="247"/>
      <c r="P83" s="803">
        <f t="shared" si="8"/>
        <v>0</v>
      </c>
    </row>
    <row r="84" spans="2:16" ht="28.5" customHeight="1" x14ac:dyDescent="0.2">
      <c r="B84" s="1107" t="str">
        <f>"per 31/12/"&amp;$N$13</f>
        <v>per 31/12/2024</v>
      </c>
      <c r="C84" s="1108"/>
      <c r="D84" s="1108"/>
      <c r="E84" s="1109"/>
      <c r="F84" s="167"/>
      <c r="G84" s="247"/>
      <c r="H84" s="247"/>
      <c r="I84" s="247"/>
      <c r="J84" s="247"/>
      <c r="K84" s="247"/>
      <c r="L84" s="247">
        <f>+H517</f>
        <v>0</v>
      </c>
      <c r="M84" s="247">
        <f>+H518</f>
        <v>0</v>
      </c>
      <c r="N84" s="247"/>
      <c r="P84" s="803">
        <f t="shared" si="8"/>
        <v>0</v>
      </c>
    </row>
    <row r="85" spans="2:16" ht="26.25" customHeight="1" x14ac:dyDescent="0.2">
      <c r="B85" s="1118" t="s">
        <v>96</v>
      </c>
      <c r="C85" s="1119"/>
      <c r="D85" s="1119"/>
      <c r="E85" s="1120"/>
      <c r="F85" s="167"/>
      <c r="G85" s="804"/>
      <c r="H85" s="804"/>
      <c r="I85" s="804"/>
      <c r="J85" s="804"/>
      <c r="K85" s="804"/>
      <c r="L85" s="804"/>
      <c r="M85" s="804"/>
      <c r="N85" s="804"/>
      <c r="P85" s="804"/>
    </row>
    <row r="86" spans="2:16" ht="28.5" customHeight="1" x14ac:dyDescent="0.2">
      <c r="B86" s="1107" t="str">
        <f>"per 31/12/"&amp;$G$13</f>
        <v>per 31/12/2017</v>
      </c>
      <c r="C86" s="1108"/>
      <c r="D86" s="1108"/>
      <c r="E86" s="1109"/>
      <c r="F86" s="167"/>
      <c r="G86" s="247"/>
      <c r="H86" s="247"/>
      <c r="I86" s="247"/>
      <c r="J86" s="247"/>
      <c r="K86" s="247"/>
      <c r="L86" s="247"/>
      <c r="M86" s="247"/>
      <c r="N86" s="247"/>
      <c r="P86" s="803">
        <f>SUM(G86:N86)</f>
        <v>0</v>
      </c>
    </row>
    <row r="87" spans="2:16" ht="28.5" customHeight="1" x14ac:dyDescent="0.2">
      <c r="B87" s="1107" t="str">
        <f>"per 31/12/"&amp;$H$13</f>
        <v>per 31/12/2018</v>
      </c>
      <c r="C87" s="1108"/>
      <c r="D87" s="1108"/>
      <c r="E87" s="1109"/>
      <c r="F87" s="167"/>
      <c r="G87" s="847">
        <f>J534</f>
        <v>0</v>
      </c>
      <c r="H87" s="847"/>
      <c r="I87" s="847"/>
      <c r="J87" s="847"/>
      <c r="K87" s="247"/>
      <c r="L87" s="247"/>
      <c r="M87" s="247"/>
      <c r="N87" s="247"/>
      <c r="P87" s="803">
        <f t="shared" ref="P87:P92" si="9">SUM(G87:N87)</f>
        <v>0</v>
      </c>
    </row>
    <row r="88" spans="2:16" ht="28.5" customHeight="1" x14ac:dyDescent="0.2">
      <c r="B88" s="1107" t="str">
        <f>"per 31/12/"&amp;$I$13</f>
        <v>per 31/12/2019</v>
      </c>
      <c r="C88" s="1108"/>
      <c r="D88" s="1108"/>
      <c r="E88" s="1109"/>
      <c r="F88" s="167"/>
      <c r="G88" s="847">
        <f>+L539</f>
        <v>0</v>
      </c>
      <c r="H88" s="847">
        <f>+L540</f>
        <v>0</v>
      </c>
      <c r="I88" s="847"/>
      <c r="J88" s="847"/>
      <c r="K88" s="247"/>
      <c r="L88" s="247"/>
      <c r="M88" s="247"/>
      <c r="N88" s="247"/>
      <c r="P88" s="803">
        <f t="shared" si="9"/>
        <v>0</v>
      </c>
    </row>
    <row r="89" spans="2:16" ht="28.5" customHeight="1" x14ac:dyDescent="0.2">
      <c r="B89" s="1107" t="str">
        <f>"per 31/12/"&amp;$J$13</f>
        <v>per 31/12/2020</v>
      </c>
      <c r="C89" s="1108"/>
      <c r="D89" s="1108"/>
      <c r="E89" s="1109"/>
      <c r="F89" s="167"/>
      <c r="G89" s="847">
        <f>L546</f>
        <v>0</v>
      </c>
      <c r="H89" s="847">
        <f>L547</f>
        <v>0</v>
      </c>
      <c r="I89" s="847">
        <f>L548</f>
        <v>0</v>
      </c>
      <c r="J89" s="847"/>
      <c r="K89" s="247"/>
      <c r="L89" s="247"/>
      <c r="M89" s="247"/>
      <c r="N89" s="247"/>
      <c r="P89" s="803">
        <f t="shared" si="9"/>
        <v>0</v>
      </c>
    </row>
    <row r="90" spans="2:16" ht="28.5" customHeight="1" x14ac:dyDescent="0.2">
      <c r="B90" s="1107" t="str">
        <f>"per 31/12/"&amp;$K$13</f>
        <v>per 31/12/2021</v>
      </c>
      <c r="C90" s="1108"/>
      <c r="D90" s="1108"/>
      <c r="E90" s="1109"/>
      <c r="F90" s="167"/>
      <c r="G90" s="247">
        <f>+H554</f>
        <v>0</v>
      </c>
      <c r="H90" s="247">
        <f>+H555</f>
        <v>0</v>
      </c>
      <c r="I90" s="247">
        <f>+H556</f>
        <v>0</v>
      </c>
      <c r="J90" s="247">
        <f>+H557</f>
        <v>0</v>
      </c>
      <c r="K90" s="247"/>
      <c r="L90" s="247"/>
      <c r="M90" s="247"/>
      <c r="N90" s="247"/>
      <c r="P90" s="803">
        <f t="shared" si="9"/>
        <v>0</v>
      </c>
    </row>
    <row r="91" spans="2:16" ht="28.5" customHeight="1" x14ac:dyDescent="0.2">
      <c r="B91" s="1107" t="str">
        <f>"per 31/12/"&amp;$L$13</f>
        <v>per 31/12/2022</v>
      </c>
      <c r="C91" s="1108"/>
      <c r="D91" s="1108"/>
      <c r="E91" s="1109"/>
      <c r="F91" s="167"/>
      <c r="G91" s="247">
        <f>+H563</f>
        <v>0</v>
      </c>
      <c r="H91" s="247">
        <f>+H564</f>
        <v>0</v>
      </c>
      <c r="I91" s="247">
        <f>+H565</f>
        <v>0</v>
      </c>
      <c r="J91" s="247">
        <f>+H566</f>
        <v>0</v>
      </c>
      <c r="K91" s="247">
        <f>+H567</f>
        <v>0</v>
      </c>
      <c r="L91" s="247"/>
      <c r="M91" s="247"/>
      <c r="N91" s="247"/>
      <c r="P91" s="803">
        <f t="shared" si="9"/>
        <v>0</v>
      </c>
    </row>
    <row r="92" spans="2:16" ht="28.5" customHeight="1" x14ac:dyDescent="0.2">
      <c r="B92" s="1107" t="str">
        <f>"per 31/12/"&amp;$M$13</f>
        <v>per 31/12/2023</v>
      </c>
      <c r="C92" s="1108"/>
      <c r="D92" s="1108"/>
      <c r="E92" s="1109"/>
      <c r="F92" s="167"/>
      <c r="G92" s="247"/>
      <c r="H92" s="247"/>
      <c r="I92" s="247"/>
      <c r="J92" s="247"/>
      <c r="K92" s="247">
        <f>+H573</f>
        <v>0</v>
      </c>
      <c r="L92" s="520"/>
      <c r="M92" s="247"/>
      <c r="N92" s="247"/>
      <c r="P92" s="803">
        <f t="shared" si="9"/>
        <v>0</v>
      </c>
    </row>
    <row r="93" spans="2:16" ht="28.5" customHeight="1" x14ac:dyDescent="0.2">
      <c r="B93" s="1112" t="str">
        <f>"per 31/12/"&amp;$N$13</f>
        <v>per 31/12/2024</v>
      </c>
      <c r="C93" s="1113"/>
      <c r="D93" s="1113"/>
      <c r="E93" s="1114"/>
      <c r="F93" s="167"/>
      <c r="G93" s="247"/>
      <c r="H93" s="247"/>
      <c r="I93" s="247"/>
      <c r="J93" s="247"/>
      <c r="K93" s="247"/>
      <c r="L93" s="520"/>
      <c r="M93" s="520"/>
      <c r="N93" s="247"/>
      <c r="P93" s="805"/>
    </row>
    <row r="94" spans="2:16" ht="33" customHeight="1" x14ac:dyDescent="0.2">
      <c r="B94" s="1118" t="s">
        <v>357</v>
      </c>
      <c r="C94" s="1119"/>
      <c r="D94" s="1119"/>
      <c r="E94" s="1120"/>
      <c r="F94" s="167"/>
      <c r="G94" s="804"/>
      <c r="H94" s="804"/>
      <c r="I94" s="804"/>
      <c r="J94" s="804"/>
      <c r="K94" s="804"/>
      <c r="L94" s="804"/>
      <c r="M94" s="804"/>
      <c r="N94" s="804"/>
      <c r="P94" s="804"/>
    </row>
    <row r="95" spans="2:16" ht="28.5" customHeight="1" x14ac:dyDescent="0.2">
      <c r="B95" s="1107" t="str">
        <f>"per 31/12/"&amp;$G$13</f>
        <v>per 31/12/2017</v>
      </c>
      <c r="C95" s="1108"/>
      <c r="D95" s="1108"/>
      <c r="E95" s="1109"/>
      <c r="F95" s="167"/>
      <c r="G95" s="247"/>
      <c r="H95" s="247"/>
      <c r="I95" s="247"/>
      <c r="J95" s="247"/>
      <c r="K95" s="247"/>
      <c r="L95" s="247"/>
      <c r="M95" s="247"/>
      <c r="N95" s="247"/>
      <c r="P95" s="803">
        <f>SUM(G95:N95)</f>
        <v>0</v>
      </c>
    </row>
    <row r="96" spans="2:16" ht="28.5" customHeight="1" x14ac:dyDescent="0.2">
      <c r="B96" s="1107" t="str">
        <f>"per 31/12/"&amp;$H$13</f>
        <v>per 31/12/2018</v>
      </c>
      <c r="C96" s="1108"/>
      <c r="D96" s="1108"/>
      <c r="E96" s="1109"/>
      <c r="F96" s="167"/>
      <c r="G96" s="847">
        <f>J590</f>
        <v>0</v>
      </c>
      <c r="H96" s="847"/>
      <c r="I96" s="847"/>
      <c r="J96" s="847"/>
      <c r="K96" s="247"/>
      <c r="L96" s="247"/>
      <c r="M96" s="247"/>
      <c r="N96" s="247"/>
      <c r="P96" s="803">
        <f t="shared" ref="P96:P102" si="10">SUM(G96:N96)</f>
        <v>0</v>
      </c>
    </row>
    <row r="97" spans="1:16" ht="28.5" customHeight="1" x14ac:dyDescent="0.2">
      <c r="B97" s="1107" t="str">
        <f>"per 31/12/"&amp;$I$13</f>
        <v>per 31/12/2019</v>
      </c>
      <c r="C97" s="1108"/>
      <c r="D97" s="1108"/>
      <c r="E97" s="1109"/>
      <c r="F97" s="167"/>
      <c r="G97" s="847">
        <f>+L595</f>
        <v>0</v>
      </c>
      <c r="H97" s="847">
        <f>+L596</f>
        <v>0</v>
      </c>
      <c r="I97" s="847"/>
      <c r="J97" s="847"/>
      <c r="K97" s="247"/>
      <c r="L97" s="247"/>
      <c r="M97" s="247"/>
      <c r="N97" s="247"/>
      <c r="P97" s="803">
        <f t="shared" si="10"/>
        <v>0</v>
      </c>
    </row>
    <row r="98" spans="1:16" ht="28.5" customHeight="1" x14ac:dyDescent="0.2">
      <c r="B98" s="1107" t="str">
        <f>"per 31/12/"&amp;$J$13</f>
        <v>per 31/12/2020</v>
      </c>
      <c r="C98" s="1108"/>
      <c r="D98" s="1108"/>
      <c r="E98" s="1109"/>
      <c r="F98" s="167"/>
      <c r="G98" s="847">
        <f>L602</f>
        <v>0</v>
      </c>
      <c r="H98" s="847">
        <f>L603</f>
        <v>0</v>
      </c>
      <c r="I98" s="847">
        <f>L604</f>
        <v>0</v>
      </c>
      <c r="J98" s="847"/>
      <c r="K98" s="247"/>
      <c r="L98" s="247"/>
      <c r="M98" s="247"/>
      <c r="N98" s="247"/>
      <c r="P98" s="803">
        <f t="shared" si="10"/>
        <v>0</v>
      </c>
    </row>
    <row r="99" spans="1:16" ht="28.5" customHeight="1" x14ac:dyDescent="0.2">
      <c r="B99" s="1107" t="str">
        <f>"per 31/12/"&amp;$K$13</f>
        <v>per 31/12/2021</v>
      </c>
      <c r="C99" s="1108"/>
      <c r="D99" s="1108"/>
      <c r="E99" s="1109"/>
      <c r="F99" s="167"/>
      <c r="G99" s="247">
        <f>+H610</f>
        <v>0</v>
      </c>
      <c r="H99" s="247">
        <f>+H611</f>
        <v>0</v>
      </c>
      <c r="I99" s="247">
        <f>+H612</f>
        <v>0</v>
      </c>
      <c r="J99" s="247">
        <f>+H613</f>
        <v>0</v>
      </c>
      <c r="K99" s="247"/>
      <c r="L99" s="247"/>
      <c r="M99" s="247"/>
      <c r="N99" s="247"/>
      <c r="P99" s="803">
        <f t="shared" si="10"/>
        <v>0</v>
      </c>
    </row>
    <row r="100" spans="1:16" ht="28.5" customHeight="1" x14ac:dyDescent="0.2">
      <c r="B100" s="1107" t="str">
        <f>"per 31/12/"&amp;$L$13</f>
        <v>per 31/12/2022</v>
      </c>
      <c r="C100" s="1108"/>
      <c r="D100" s="1108"/>
      <c r="E100" s="1109"/>
      <c r="F100" s="167"/>
      <c r="G100" s="247">
        <f>+H619</f>
        <v>0</v>
      </c>
      <c r="H100" s="247">
        <f>+H620</f>
        <v>0</v>
      </c>
      <c r="I100" s="247">
        <f>+H621</f>
        <v>0</v>
      </c>
      <c r="J100" s="247">
        <f>+H622</f>
        <v>0</v>
      </c>
      <c r="K100" s="247">
        <f>+H623</f>
        <v>0</v>
      </c>
      <c r="L100" s="247"/>
      <c r="M100" s="247"/>
      <c r="N100" s="247"/>
      <c r="P100" s="803">
        <f t="shared" si="10"/>
        <v>0</v>
      </c>
    </row>
    <row r="101" spans="1:16" ht="28.5" customHeight="1" x14ac:dyDescent="0.2">
      <c r="B101" s="1107" t="str">
        <f>"per 31/12/"&amp;$M$13</f>
        <v>per 31/12/2023</v>
      </c>
      <c r="C101" s="1108"/>
      <c r="D101" s="1108"/>
      <c r="E101" s="1109"/>
      <c r="F101" s="167"/>
      <c r="G101" s="247"/>
      <c r="H101" s="247"/>
      <c r="I101" s="247"/>
      <c r="J101" s="247"/>
      <c r="K101" s="247">
        <f>+H629</f>
        <v>0</v>
      </c>
      <c r="L101" s="247">
        <f>+H630</f>
        <v>0</v>
      </c>
      <c r="M101" s="247"/>
      <c r="N101" s="247"/>
      <c r="P101" s="803">
        <f t="shared" si="10"/>
        <v>0</v>
      </c>
    </row>
    <row r="102" spans="1:16" ht="28.5" customHeight="1" x14ac:dyDescent="0.2">
      <c r="B102" s="1107" t="str">
        <f>"per 31/12/"&amp;$N$13</f>
        <v>per 31/12/2024</v>
      </c>
      <c r="C102" s="1108"/>
      <c r="D102" s="1108"/>
      <c r="E102" s="1109"/>
      <c r="F102" s="167"/>
      <c r="G102" s="247"/>
      <c r="H102" s="247"/>
      <c r="I102" s="247"/>
      <c r="J102" s="247"/>
      <c r="K102" s="247"/>
      <c r="L102" s="247">
        <f>+H636</f>
        <v>0</v>
      </c>
      <c r="M102" s="247">
        <f>+H637</f>
        <v>0</v>
      </c>
      <c r="N102" s="247"/>
      <c r="P102" s="803">
        <f t="shared" si="10"/>
        <v>0</v>
      </c>
    </row>
    <row r="103" spans="1:16" x14ac:dyDescent="0.2">
      <c r="G103" s="301"/>
      <c r="H103" s="301"/>
      <c r="I103" s="301"/>
      <c r="J103" s="301"/>
      <c r="K103" s="301"/>
      <c r="L103" s="301"/>
      <c r="M103" s="301"/>
      <c r="N103" s="301"/>
      <c r="P103" s="301"/>
    </row>
    <row r="104" spans="1:16" s="216" customFormat="1" x14ac:dyDescent="0.2">
      <c r="B104" s="1124"/>
      <c r="C104" s="1124"/>
      <c r="D104" s="1124"/>
      <c r="E104" s="1124"/>
      <c r="G104" s="304"/>
      <c r="H104" s="304"/>
      <c r="I104" s="304"/>
      <c r="J104" s="304"/>
      <c r="K104" s="304"/>
      <c r="L104" s="304"/>
      <c r="M104" s="304"/>
      <c r="N104" s="304"/>
      <c r="O104" s="205"/>
      <c r="P104" s="304"/>
    </row>
    <row r="105" spans="1:16" s="216" customFormat="1" x14ac:dyDescent="0.2">
      <c r="B105" s="310"/>
      <c r="C105" s="311"/>
      <c r="D105" s="311"/>
      <c r="E105" s="312"/>
      <c r="F105" s="275"/>
      <c r="G105" s="165">
        <v>2017</v>
      </c>
      <c r="H105" s="165">
        <f>+G105+1</f>
        <v>2018</v>
      </c>
      <c r="I105" s="165">
        <f>+H105+1</f>
        <v>2019</v>
      </c>
      <c r="J105" s="165">
        <f>+I105+1</f>
        <v>2020</v>
      </c>
      <c r="K105" s="165">
        <f t="shared" ref="K105:N105" si="11">+J105+1</f>
        <v>2021</v>
      </c>
      <c r="L105" s="165">
        <f t="shared" si="11"/>
        <v>2022</v>
      </c>
      <c r="M105" s="165">
        <f t="shared" si="11"/>
        <v>2023</v>
      </c>
      <c r="N105" s="165">
        <f t="shared" si="11"/>
        <v>2024</v>
      </c>
      <c r="O105" s="203"/>
      <c r="P105" s="165" t="s">
        <v>20</v>
      </c>
    </row>
    <row r="106" spans="1:16" s="212" customFormat="1" ht="26.25" customHeight="1" x14ac:dyDescent="0.2">
      <c r="B106" s="1125" t="s">
        <v>126</v>
      </c>
      <c r="C106" s="1126"/>
      <c r="D106" s="1126"/>
      <c r="E106" s="1127"/>
      <c r="F106" s="171"/>
      <c r="G106" s="170"/>
      <c r="H106" s="170"/>
      <c r="I106" s="170"/>
      <c r="J106" s="170"/>
      <c r="K106" s="170"/>
      <c r="L106" s="170"/>
      <c r="M106" s="170"/>
      <c r="N106" s="170"/>
      <c r="O106" s="204"/>
      <c r="P106" s="170"/>
    </row>
    <row r="107" spans="1:16" ht="28.5" customHeight="1" x14ac:dyDescent="0.2">
      <c r="A107" s="291"/>
      <c r="B107" s="1115" t="str">
        <f>"per 31/12/"&amp;$G$13</f>
        <v>per 31/12/2017</v>
      </c>
      <c r="C107" s="1116"/>
      <c r="D107" s="1116"/>
      <c r="E107" s="1117"/>
      <c r="F107" s="313"/>
      <c r="G107" s="806"/>
      <c r="H107" s="806"/>
      <c r="I107" s="806"/>
      <c r="J107" s="806"/>
      <c r="K107" s="806"/>
      <c r="L107" s="806"/>
      <c r="M107" s="806"/>
      <c r="N107" s="806"/>
      <c r="P107" s="807">
        <f t="shared" ref="P107:P114" si="12">SUMIFS(P$32:P$102,$B$32:$B$102,$B107)</f>
        <v>0</v>
      </c>
    </row>
    <row r="108" spans="1:16" ht="28.5" customHeight="1" x14ac:dyDescent="0.2">
      <c r="A108" s="291"/>
      <c r="B108" s="1115" t="str">
        <f>"per 31/12/"&amp;$H$13</f>
        <v>per 31/12/2018</v>
      </c>
      <c r="C108" s="1116"/>
      <c r="D108" s="1116"/>
      <c r="E108" s="1117"/>
      <c r="F108" s="313"/>
      <c r="G108" s="806">
        <f>SUMIFS(G$32:G$102,$B$32:$B$102,$B108)</f>
        <v>0</v>
      </c>
      <c r="H108" s="806"/>
      <c r="I108" s="806"/>
      <c r="J108" s="806"/>
      <c r="K108" s="806"/>
      <c r="L108" s="806"/>
      <c r="M108" s="806"/>
      <c r="N108" s="806"/>
      <c r="P108" s="807">
        <f t="shared" si="12"/>
        <v>0</v>
      </c>
    </row>
    <row r="109" spans="1:16" ht="28.5" customHeight="1" x14ac:dyDescent="0.2">
      <c r="A109" s="291"/>
      <c r="B109" s="1115" t="str">
        <f>"per 31/12/"&amp;$I$13</f>
        <v>per 31/12/2019</v>
      </c>
      <c r="C109" s="1116"/>
      <c r="D109" s="1116"/>
      <c r="E109" s="1117"/>
      <c r="F109" s="313"/>
      <c r="G109" s="806">
        <f>SUMIFS(G$32:G$102,$B$32:$B$102,$B109)</f>
        <v>0</v>
      </c>
      <c r="H109" s="806">
        <f>SUMIFS(H$32:H$102,$B$32:$B$102,$B109)</f>
        <v>0</v>
      </c>
      <c r="I109" s="806"/>
      <c r="J109" s="806"/>
      <c r="K109" s="806"/>
      <c r="L109" s="806"/>
      <c r="M109" s="806"/>
      <c r="N109" s="806"/>
      <c r="P109" s="807">
        <f t="shared" si="12"/>
        <v>0</v>
      </c>
    </row>
    <row r="110" spans="1:16" ht="28.5" customHeight="1" x14ac:dyDescent="0.2">
      <c r="A110" s="291"/>
      <c r="B110" s="1115" t="str">
        <f>"per 31/12/"&amp;$J$13</f>
        <v>per 31/12/2020</v>
      </c>
      <c r="C110" s="1116"/>
      <c r="D110" s="1116"/>
      <c r="E110" s="1117"/>
      <c r="F110" s="313"/>
      <c r="G110" s="806">
        <f>SUMIFS(G$32:G$102,$B$32:$B$102,$B110)</f>
        <v>0</v>
      </c>
      <c r="H110" s="806">
        <f>SUMIFS(H$32:H$102,$B$32:$B$102,$B110)</f>
        <v>0</v>
      </c>
      <c r="I110" s="806">
        <f>SUMIFS(I$32:I$102,$B$32:$B$102,$B110)</f>
        <v>0</v>
      </c>
      <c r="J110" s="806"/>
      <c r="K110" s="806"/>
      <c r="L110" s="806"/>
      <c r="M110" s="806"/>
      <c r="N110" s="806"/>
      <c r="P110" s="807">
        <f t="shared" si="12"/>
        <v>0</v>
      </c>
    </row>
    <row r="111" spans="1:16" ht="28.5" customHeight="1" x14ac:dyDescent="0.2">
      <c r="A111" s="291"/>
      <c r="B111" s="1115" t="str">
        <f>"per 31/12/"&amp;$K$13</f>
        <v>per 31/12/2021</v>
      </c>
      <c r="C111" s="1116"/>
      <c r="D111" s="1116"/>
      <c r="E111" s="1117"/>
      <c r="F111" s="313"/>
      <c r="G111" s="806">
        <f>SUMIFS(G$32:G$102,$B$32:$B$102,$B111)</f>
        <v>0</v>
      </c>
      <c r="H111" s="806">
        <f>SUMIFS(H$32:H$102,$B$32:$B$102,$B111)</f>
        <v>0</v>
      </c>
      <c r="I111" s="806">
        <f>SUMIFS(I$32:I$102,$B$32:$B$102,$B111)</f>
        <v>0</v>
      </c>
      <c r="J111" s="806">
        <f>SUMIFS(J$32:J$102,$B$32:$B$102,$B111)</f>
        <v>0</v>
      </c>
      <c r="K111" s="806"/>
      <c r="L111" s="806"/>
      <c r="M111" s="806"/>
      <c r="N111" s="806"/>
      <c r="P111" s="807">
        <f t="shared" si="12"/>
        <v>0</v>
      </c>
    </row>
    <row r="112" spans="1:16" ht="28.5" customHeight="1" x14ac:dyDescent="0.2">
      <c r="A112" s="291"/>
      <c r="B112" s="1115" t="str">
        <f>"per 31/12/"&amp;$L$13</f>
        <v>per 31/12/2022</v>
      </c>
      <c r="C112" s="1116"/>
      <c r="D112" s="1116"/>
      <c r="E112" s="1117"/>
      <c r="F112" s="313"/>
      <c r="G112" s="806">
        <f>SUMIFS(G$32:G$102,$B$32:$B$102,$B112)</f>
        <v>0</v>
      </c>
      <c r="H112" s="806">
        <f>SUMIFS(H$32:H$102,$B$32:$B$102,$B112)</f>
        <v>0</v>
      </c>
      <c r="I112" s="806">
        <f>SUMIFS(I$32:I$102,$B$32:$B$102,$B112)</f>
        <v>0</v>
      </c>
      <c r="J112" s="806">
        <f>SUMIFS(J$32:J$102,$B$32:$B$102,$B112)</f>
        <v>0</v>
      </c>
      <c r="K112" s="806">
        <f>SUMIFS(K$32:K$102,$B$32:$B$102,$B112)</f>
        <v>0</v>
      </c>
      <c r="L112" s="806"/>
      <c r="M112" s="806"/>
      <c r="N112" s="806"/>
      <c r="P112" s="807">
        <f t="shared" si="12"/>
        <v>0</v>
      </c>
    </row>
    <row r="113" spans="1:16" ht="28.5" customHeight="1" x14ac:dyDescent="0.2">
      <c r="A113" s="291"/>
      <c r="B113" s="1115" t="str">
        <f>"per 31/12/"&amp;$M$13</f>
        <v>per 31/12/2023</v>
      </c>
      <c r="C113" s="1116"/>
      <c r="D113" s="1116"/>
      <c r="E113" s="1117"/>
      <c r="F113" s="313"/>
      <c r="G113" s="806"/>
      <c r="H113" s="806"/>
      <c r="I113" s="806"/>
      <c r="J113" s="806"/>
      <c r="K113" s="806">
        <f>SUMIFS(K$32:K$102,$B$32:$B$102,$B113)</f>
        <v>0</v>
      </c>
      <c r="L113" s="806">
        <f>SUMIFS(L$32:L$102,$B$32:$B$102,$B113)</f>
        <v>0</v>
      </c>
      <c r="M113" s="806"/>
      <c r="N113" s="806"/>
      <c r="P113" s="807">
        <f t="shared" si="12"/>
        <v>0</v>
      </c>
    </row>
    <row r="114" spans="1:16" ht="28.5" customHeight="1" x14ac:dyDescent="0.2">
      <c r="A114" s="291"/>
      <c r="B114" s="1115" t="str">
        <f>"per 31/12/"&amp;$N$13</f>
        <v>per 31/12/2024</v>
      </c>
      <c r="C114" s="1116"/>
      <c r="D114" s="1116"/>
      <c r="E114" s="1117"/>
      <c r="F114" s="313"/>
      <c r="G114" s="806"/>
      <c r="H114" s="806"/>
      <c r="I114" s="806"/>
      <c r="J114" s="806"/>
      <c r="K114" s="806"/>
      <c r="L114" s="806">
        <f>SUMIFS(L$32:L$102,$B$32:$B$102,$B114)</f>
        <v>0</v>
      </c>
      <c r="M114" s="806">
        <f>SUMIFS(M$32:M$102,$B$32:$B$102,$B114)</f>
        <v>0</v>
      </c>
      <c r="N114" s="806"/>
      <c r="P114" s="807">
        <f t="shared" si="12"/>
        <v>0</v>
      </c>
    </row>
    <row r="115" spans="1:16" s="216" customFormat="1" x14ac:dyDescent="0.2">
      <c r="B115" s="1110"/>
      <c r="C115" s="1110"/>
      <c r="D115" s="1110"/>
      <c r="E115" s="1110"/>
      <c r="G115" s="314"/>
      <c r="H115" s="314"/>
      <c r="I115" s="304"/>
      <c r="J115" s="304"/>
      <c r="K115" s="304"/>
      <c r="L115" s="304"/>
      <c r="M115" s="304"/>
      <c r="N115" s="304"/>
      <c r="O115" s="205"/>
      <c r="P115" s="304"/>
    </row>
    <row r="119" spans="1:16" ht="69.75" customHeight="1" x14ac:dyDescent="0.2">
      <c r="B119" s="1101" t="s">
        <v>107</v>
      </c>
      <c r="C119" s="1102"/>
      <c r="D119" s="1102"/>
      <c r="E119" s="1103"/>
      <c r="F119" s="274"/>
      <c r="G119" s="165">
        <v>2017</v>
      </c>
      <c r="H119" s="165">
        <f>+G119+1</f>
        <v>2018</v>
      </c>
      <c r="I119" s="165">
        <f>+H119+1</f>
        <v>2019</v>
      </c>
      <c r="J119" s="165">
        <f>+I119+1</f>
        <v>2020</v>
      </c>
      <c r="K119" s="165">
        <f t="shared" ref="K119:N119" si="13">+J119+1</f>
        <v>2021</v>
      </c>
      <c r="L119" s="165">
        <f t="shared" si="13"/>
        <v>2022</v>
      </c>
      <c r="M119" s="165">
        <f t="shared" si="13"/>
        <v>2023</v>
      </c>
      <c r="N119" s="165">
        <f t="shared" si="13"/>
        <v>2024</v>
      </c>
      <c r="P119" s="165" t="s">
        <v>20</v>
      </c>
    </row>
    <row r="120" spans="1:16" s="296" customFormat="1" ht="12" customHeight="1" x14ac:dyDescent="0.2">
      <c r="B120" s="315"/>
      <c r="C120" s="315"/>
      <c r="D120" s="315"/>
      <c r="E120" s="315"/>
      <c r="F120" s="316"/>
      <c r="G120" s="318"/>
      <c r="H120" s="319"/>
      <c r="I120" s="319"/>
      <c r="J120" s="319"/>
      <c r="K120" s="319"/>
      <c r="L120" s="319"/>
      <c r="M120" s="319"/>
      <c r="N120" s="319"/>
      <c r="O120" s="300"/>
      <c r="P120" s="319"/>
    </row>
    <row r="121" spans="1:16" ht="36" customHeight="1" x14ac:dyDescent="0.2">
      <c r="B121" s="1118" t="s">
        <v>201</v>
      </c>
      <c r="C121" s="1119"/>
      <c r="D121" s="1119"/>
      <c r="E121" s="1120"/>
      <c r="F121" s="167"/>
      <c r="G121" s="804"/>
      <c r="H121" s="804"/>
      <c r="I121" s="804"/>
      <c r="J121" s="804"/>
      <c r="K121" s="804"/>
      <c r="L121" s="804"/>
      <c r="M121" s="804"/>
      <c r="N121" s="804"/>
      <c r="P121" s="804"/>
    </row>
    <row r="122" spans="1:16" ht="28.5" customHeight="1" x14ac:dyDescent="0.2">
      <c r="B122" s="1107" t="str">
        <f>"per 31/12/"&amp;$G$13</f>
        <v>per 31/12/2017</v>
      </c>
      <c r="C122" s="1108"/>
      <c r="D122" s="1108"/>
      <c r="E122" s="1109"/>
      <c r="F122" s="167"/>
      <c r="G122" s="849">
        <f>+G$15+G32</f>
        <v>0</v>
      </c>
      <c r="H122" s="247"/>
      <c r="I122" s="247"/>
      <c r="J122" s="247"/>
      <c r="K122" s="247"/>
      <c r="L122" s="247"/>
      <c r="M122" s="247"/>
      <c r="N122" s="247"/>
      <c r="P122" s="803">
        <f>SUM(G122:N122)</f>
        <v>0</v>
      </c>
    </row>
    <row r="123" spans="1:16" ht="28.5" customHeight="1" x14ac:dyDescent="0.2">
      <c r="B123" s="1107" t="str">
        <f>"per 31/12/"&amp;$H$13</f>
        <v>per 31/12/2018</v>
      </c>
      <c r="C123" s="1108"/>
      <c r="D123" s="1108"/>
      <c r="E123" s="1109"/>
      <c r="F123" s="167"/>
      <c r="G123" s="849">
        <f>+G122+G33</f>
        <v>0</v>
      </c>
      <c r="H123" s="849">
        <f>+H$15+H33</f>
        <v>0</v>
      </c>
      <c r="I123" s="247"/>
      <c r="J123" s="247"/>
      <c r="K123" s="247"/>
      <c r="L123" s="247"/>
      <c r="M123" s="247"/>
      <c r="N123" s="247"/>
      <c r="P123" s="803">
        <f t="shared" ref="P123:P129" si="14">SUM(G123:N123)</f>
        <v>0</v>
      </c>
    </row>
    <row r="124" spans="1:16" ht="28.5" customHeight="1" x14ac:dyDescent="0.2">
      <c r="B124" s="1107" t="str">
        <f>"per 31/12/"&amp;$I$13</f>
        <v>per 31/12/2019</v>
      </c>
      <c r="C124" s="1108"/>
      <c r="D124" s="1108"/>
      <c r="E124" s="1109"/>
      <c r="F124" s="167"/>
      <c r="G124" s="849">
        <f>+G123+G34</f>
        <v>0</v>
      </c>
      <c r="H124" s="849">
        <f>+H123+H34</f>
        <v>0</v>
      </c>
      <c r="I124" s="849">
        <f>+I$15+I34</f>
        <v>0</v>
      </c>
      <c r="J124" s="247"/>
      <c r="K124" s="247"/>
      <c r="L124" s="247"/>
      <c r="M124" s="247"/>
      <c r="N124" s="247"/>
      <c r="P124" s="803">
        <f t="shared" si="14"/>
        <v>0</v>
      </c>
    </row>
    <row r="125" spans="1:16" ht="28.5" customHeight="1" x14ac:dyDescent="0.2">
      <c r="B125" s="1107" t="str">
        <f>"per 31/12/"&amp;$J$13</f>
        <v>per 31/12/2020</v>
      </c>
      <c r="C125" s="1108"/>
      <c r="D125" s="1108"/>
      <c r="E125" s="1109"/>
      <c r="F125" s="167"/>
      <c r="G125" s="849">
        <f>+G124+G35</f>
        <v>0</v>
      </c>
      <c r="H125" s="849">
        <f>+H124+H35</f>
        <v>0</v>
      </c>
      <c r="I125" s="849">
        <f>+I124+I35</f>
        <v>0</v>
      </c>
      <c r="J125" s="849">
        <f>+J$15+J35</f>
        <v>0</v>
      </c>
      <c r="K125" s="247"/>
      <c r="L125" s="247"/>
      <c r="M125" s="247"/>
      <c r="N125" s="247"/>
      <c r="P125" s="803">
        <f t="shared" si="14"/>
        <v>0</v>
      </c>
    </row>
    <row r="126" spans="1:16" ht="28.5" customHeight="1" x14ac:dyDescent="0.2">
      <c r="B126" s="1107" t="str">
        <f>"per 31/12/"&amp;$K$13</f>
        <v>per 31/12/2021</v>
      </c>
      <c r="C126" s="1108"/>
      <c r="D126" s="1108"/>
      <c r="E126" s="1109"/>
      <c r="F126" s="167"/>
      <c r="G126" s="849">
        <f>+G125+G36</f>
        <v>0</v>
      </c>
      <c r="H126" s="849">
        <f>+H125+H36</f>
        <v>0</v>
      </c>
      <c r="I126" s="849">
        <f>+I125+I36</f>
        <v>0</v>
      </c>
      <c r="J126" s="849">
        <f>+J125+J36</f>
        <v>0</v>
      </c>
      <c r="K126" s="849">
        <f>+K$15+K36</f>
        <v>0</v>
      </c>
      <c r="L126" s="247"/>
      <c r="M126" s="247"/>
      <c r="N126" s="247"/>
      <c r="P126" s="803">
        <f t="shared" si="14"/>
        <v>0</v>
      </c>
    </row>
    <row r="127" spans="1:16" ht="28.5" customHeight="1" x14ac:dyDescent="0.2">
      <c r="B127" s="1107" t="str">
        <f>"per 31/12/"&amp;$L$13</f>
        <v>per 31/12/2022</v>
      </c>
      <c r="C127" s="1108"/>
      <c r="D127" s="1108"/>
      <c r="E127" s="1109"/>
      <c r="F127" s="167"/>
      <c r="G127" s="849">
        <f>+G126+G37</f>
        <v>0</v>
      </c>
      <c r="H127" s="849">
        <f>+H126+H37</f>
        <v>0</v>
      </c>
      <c r="I127" s="849">
        <f>+I126+I37</f>
        <v>0</v>
      </c>
      <c r="J127" s="849">
        <f>+J126+J37</f>
        <v>0</v>
      </c>
      <c r="K127" s="849">
        <f>+K126+K37</f>
        <v>0</v>
      </c>
      <c r="L127" s="849">
        <f>+L$15+L37</f>
        <v>0</v>
      </c>
      <c r="M127" s="247"/>
      <c r="N127" s="247"/>
      <c r="P127" s="803">
        <f t="shared" si="14"/>
        <v>0</v>
      </c>
    </row>
    <row r="128" spans="1:16" ht="28.5" customHeight="1" x14ac:dyDescent="0.2">
      <c r="B128" s="1107" t="str">
        <f>"per 31/12/"&amp;$M$13</f>
        <v>per 31/12/2023</v>
      </c>
      <c r="C128" s="1108"/>
      <c r="D128" s="1108"/>
      <c r="E128" s="1109"/>
      <c r="F128" s="167"/>
      <c r="G128" s="247"/>
      <c r="H128" s="247"/>
      <c r="I128" s="247"/>
      <c r="J128" s="247"/>
      <c r="K128" s="849">
        <f>+K127+K38</f>
        <v>0</v>
      </c>
      <c r="L128" s="849">
        <f>+L127+L38</f>
        <v>0</v>
      </c>
      <c r="M128" s="849">
        <f>+M$15+M38</f>
        <v>0</v>
      </c>
      <c r="N128" s="247"/>
      <c r="P128" s="803">
        <f t="shared" si="14"/>
        <v>0</v>
      </c>
    </row>
    <row r="129" spans="2:16" ht="28.5" customHeight="1" x14ac:dyDescent="0.2">
      <c r="B129" s="1107" t="str">
        <f>"per 31/12/"&amp;$N$13</f>
        <v>per 31/12/2024</v>
      </c>
      <c r="C129" s="1108"/>
      <c r="D129" s="1108"/>
      <c r="E129" s="1109"/>
      <c r="F129" s="167"/>
      <c r="G129" s="247"/>
      <c r="H129" s="247"/>
      <c r="I129" s="247"/>
      <c r="J129" s="247"/>
      <c r="K129" s="247"/>
      <c r="L129" s="849">
        <f>+L128+L39</f>
        <v>0</v>
      </c>
      <c r="M129" s="849">
        <f>+M128+M39</f>
        <v>0</v>
      </c>
      <c r="N129" s="849">
        <f>+N$15+N39</f>
        <v>0</v>
      </c>
      <c r="P129" s="803">
        <f t="shared" si="14"/>
        <v>0</v>
      </c>
    </row>
    <row r="130" spans="2:16" ht="36" customHeight="1" x14ac:dyDescent="0.2">
      <c r="B130" s="1118" t="s">
        <v>347</v>
      </c>
      <c r="C130" s="1119"/>
      <c r="D130" s="1119"/>
      <c r="E130" s="1120"/>
      <c r="F130" s="167"/>
      <c r="G130" s="804"/>
      <c r="H130" s="804"/>
      <c r="I130" s="804"/>
      <c r="J130" s="804"/>
      <c r="K130" s="804"/>
      <c r="L130" s="804"/>
      <c r="M130" s="804"/>
      <c r="N130" s="804"/>
      <c r="P130" s="804"/>
    </row>
    <row r="131" spans="2:16" ht="28.5" customHeight="1" x14ac:dyDescent="0.2">
      <c r="B131" s="1112" t="str">
        <f>"per 31/12/"&amp;$G$13</f>
        <v>per 31/12/2017</v>
      </c>
      <c r="C131" s="1113"/>
      <c r="D131" s="1113"/>
      <c r="E131" s="1114"/>
      <c r="F131" s="167"/>
      <c r="G131" s="850"/>
      <c r="H131" s="247"/>
      <c r="I131" s="247"/>
      <c r="J131" s="247"/>
      <c r="K131" s="247"/>
      <c r="L131" s="247"/>
      <c r="M131" s="247"/>
      <c r="N131" s="247"/>
      <c r="P131" s="805"/>
    </row>
    <row r="132" spans="2:16" ht="28.5" customHeight="1" x14ac:dyDescent="0.2">
      <c r="B132" s="1112" t="str">
        <f>"per 31/12/"&amp;$H$13</f>
        <v>per 31/12/2018</v>
      </c>
      <c r="C132" s="1113"/>
      <c r="D132" s="1113"/>
      <c r="E132" s="1114"/>
      <c r="F132" s="167"/>
      <c r="G132" s="850"/>
      <c r="H132" s="850"/>
      <c r="I132" s="247"/>
      <c r="J132" s="247"/>
      <c r="K132" s="247"/>
      <c r="L132" s="247"/>
      <c r="M132" s="247"/>
      <c r="N132" s="247"/>
      <c r="P132" s="805"/>
    </row>
    <row r="133" spans="2:16" ht="28.5" customHeight="1" x14ac:dyDescent="0.2">
      <c r="B133" s="1112" t="str">
        <f>"per 31/12/"&amp;$I$13</f>
        <v>per 31/12/2019</v>
      </c>
      <c r="C133" s="1113"/>
      <c r="D133" s="1113"/>
      <c r="E133" s="1114"/>
      <c r="F133" s="167"/>
      <c r="G133" s="850"/>
      <c r="H133" s="850"/>
      <c r="I133" s="850"/>
      <c r="J133" s="247"/>
      <c r="K133" s="247"/>
      <c r="L133" s="247"/>
      <c r="M133" s="247"/>
      <c r="N133" s="247"/>
      <c r="P133" s="805"/>
    </row>
    <row r="134" spans="2:16" ht="28.5" customHeight="1" x14ac:dyDescent="0.2">
      <c r="B134" s="1112" t="str">
        <f>"per 31/12/"&amp;$J$13</f>
        <v>per 31/12/2020</v>
      </c>
      <c r="C134" s="1113"/>
      <c r="D134" s="1113"/>
      <c r="E134" s="1114"/>
      <c r="F134" s="167"/>
      <c r="G134" s="850"/>
      <c r="H134" s="850"/>
      <c r="I134" s="850"/>
      <c r="J134" s="850"/>
      <c r="K134" s="247"/>
      <c r="L134" s="247"/>
      <c r="M134" s="247"/>
      <c r="N134" s="247"/>
      <c r="P134" s="805"/>
    </row>
    <row r="135" spans="2:16" ht="28.5" customHeight="1" x14ac:dyDescent="0.2">
      <c r="B135" s="1112" t="str">
        <f>"per 31/12/"&amp;$K$13</f>
        <v>per 31/12/2021</v>
      </c>
      <c r="C135" s="1113"/>
      <c r="D135" s="1113"/>
      <c r="E135" s="1114"/>
      <c r="F135" s="167"/>
      <c r="G135" s="850"/>
      <c r="H135" s="850"/>
      <c r="I135" s="850"/>
      <c r="J135" s="850"/>
      <c r="K135" s="850"/>
      <c r="L135" s="247"/>
      <c r="M135" s="247"/>
      <c r="N135" s="247"/>
      <c r="P135" s="805"/>
    </row>
    <row r="136" spans="2:16" ht="28.5" customHeight="1" x14ac:dyDescent="0.2">
      <c r="B136" s="1107" t="str">
        <f>"per 31/12/"&amp;$L$13</f>
        <v>per 31/12/2022</v>
      </c>
      <c r="C136" s="1108"/>
      <c r="D136" s="1108"/>
      <c r="E136" s="1109"/>
      <c r="F136" s="167"/>
      <c r="G136" s="850"/>
      <c r="H136" s="850"/>
      <c r="I136" s="850"/>
      <c r="J136" s="850"/>
      <c r="K136" s="850"/>
      <c r="L136" s="849">
        <f>+L$16+L46</f>
        <v>0</v>
      </c>
      <c r="M136" s="247"/>
      <c r="N136" s="247"/>
      <c r="P136" s="803">
        <f t="shared" ref="P136:P138" si="15">SUM(G136:N136)</f>
        <v>0</v>
      </c>
    </row>
    <row r="137" spans="2:16" ht="28.5" customHeight="1" x14ac:dyDescent="0.2">
      <c r="B137" s="1107" t="str">
        <f>"per 31/12/"&amp;$M$13</f>
        <v>per 31/12/2023</v>
      </c>
      <c r="C137" s="1108"/>
      <c r="D137" s="1108"/>
      <c r="E137" s="1109"/>
      <c r="F137" s="167"/>
      <c r="G137" s="247"/>
      <c r="H137" s="247"/>
      <c r="I137" s="247"/>
      <c r="J137" s="247"/>
      <c r="K137" s="850"/>
      <c r="L137" s="849">
        <f>+L136+L47</f>
        <v>0</v>
      </c>
      <c r="M137" s="849">
        <f>+M$16+M47</f>
        <v>0</v>
      </c>
      <c r="N137" s="247"/>
      <c r="P137" s="803">
        <f t="shared" si="15"/>
        <v>0</v>
      </c>
    </row>
    <row r="138" spans="2:16" ht="28.5" customHeight="1" x14ac:dyDescent="0.2">
      <c r="B138" s="1107" t="str">
        <f>"per 31/12/"&amp;$N$13</f>
        <v>per 31/12/2024</v>
      </c>
      <c r="C138" s="1108"/>
      <c r="D138" s="1108"/>
      <c r="E138" s="1109"/>
      <c r="F138" s="167"/>
      <c r="G138" s="247"/>
      <c r="H138" s="247"/>
      <c r="I138" s="247"/>
      <c r="J138" s="247"/>
      <c r="K138" s="247"/>
      <c r="L138" s="849">
        <f>+L137+L48</f>
        <v>0</v>
      </c>
      <c r="M138" s="849">
        <f>+M137+M48</f>
        <v>0</v>
      </c>
      <c r="N138" s="849">
        <f>+N$16+N48</f>
        <v>0</v>
      </c>
      <c r="P138" s="803">
        <f t="shared" si="15"/>
        <v>0</v>
      </c>
    </row>
    <row r="139" spans="2:16" ht="27.75" customHeight="1" x14ac:dyDescent="0.2">
      <c r="B139" s="1118" t="s">
        <v>66</v>
      </c>
      <c r="C139" s="1119"/>
      <c r="D139" s="1119"/>
      <c r="E139" s="1120"/>
      <c r="F139" s="167"/>
      <c r="G139" s="804"/>
      <c r="H139" s="804"/>
      <c r="I139" s="804"/>
      <c r="J139" s="804"/>
      <c r="K139" s="804"/>
      <c r="L139" s="804"/>
      <c r="M139" s="804"/>
      <c r="N139" s="804"/>
      <c r="P139" s="804"/>
    </row>
    <row r="140" spans="2:16" ht="28.5" customHeight="1" x14ac:dyDescent="0.2">
      <c r="B140" s="1107" t="str">
        <f>"per 31/12/"&amp;$G$13</f>
        <v>per 31/12/2017</v>
      </c>
      <c r="C140" s="1108"/>
      <c r="D140" s="1108"/>
      <c r="E140" s="1109"/>
      <c r="F140" s="167"/>
      <c r="G140" s="849">
        <f>+G$17+G50</f>
        <v>0</v>
      </c>
      <c r="H140" s="247"/>
      <c r="I140" s="247"/>
      <c r="J140" s="247"/>
      <c r="K140" s="247"/>
      <c r="L140" s="247"/>
      <c r="M140" s="247"/>
      <c r="N140" s="247"/>
      <c r="P140" s="803">
        <f>SUM(G140:N140)</f>
        <v>0</v>
      </c>
    </row>
    <row r="141" spans="2:16" ht="28.5" customHeight="1" x14ac:dyDescent="0.2">
      <c r="B141" s="1107" t="str">
        <f>"per 31/12/"&amp;$H$13</f>
        <v>per 31/12/2018</v>
      </c>
      <c r="C141" s="1108"/>
      <c r="D141" s="1108"/>
      <c r="E141" s="1109"/>
      <c r="F141" s="167"/>
      <c r="G141" s="849">
        <f>+G140+G51</f>
        <v>0</v>
      </c>
      <c r="H141" s="247">
        <f>+H$17+H51</f>
        <v>0</v>
      </c>
      <c r="I141" s="247"/>
      <c r="J141" s="247"/>
      <c r="K141" s="247"/>
      <c r="L141" s="247"/>
      <c r="M141" s="247"/>
      <c r="N141" s="247"/>
      <c r="P141" s="803">
        <f t="shared" ref="P141:P147" si="16">SUM(G141:N141)</f>
        <v>0</v>
      </c>
    </row>
    <row r="142" spans="2:16" ht="28.5" customHeight="1" x14ac:dyDescent="0.2">
      <c r="B142" s="1107" t="str">
        <f>"per 31/12/"&amp;$I$13</f>
        <v>per 31/12/2019</v>
      </c>
      <c r="C142" s="1108"/>
      <c r="D142" s="1108"/>
      <c r="E142" s="1109"/>
      <c r="F142" s="167"/>
      <c r="G142" s="849">
        <f>+G141+G52</f>
        <v>0</v>
      </c>
      <c r="H142" s="849">
        <f>+H141+H52</f>
        <v>0</v>
      </c>
      <c r="I142" s="247">
        <f>+I$17+I52</f>
        <v>0</v>
      </c>
      <c r="J142" s="247"/>
      <c r="K142" s="247"/>
      <c r="L142" s="247"/>
      <c r="M142" s="247"/>
      <c r="N142" s="247"/>
      <c r="P142" s="803">
        <f t="shared" si="16"/>
        <v>0</v>
      </c>
    </row>
    <row r="143" spans="2:16" ht="28.5" customHeight="1" x14ac:dyDescent="0.2">
      <c r="B143" s="1107" t="str">
        <f>"per 31/12/"&amp;$J$13</f>
        <v>per 31/12/2020</v>
      </c>
      <c r="C143" s="1108"/>
      <c r="D143" s="1108"/>
      <c r="E143" s="1109"/>
      <c r="F143" s="167"/>
      <c r="G143" s="849">
        <f>+G142+G53</f>
        <v>0</v>
      </c>
      <c r="H143" s="849">
        <f>+H142+H53</f>
        <v>0</v>
      </c>
      <c r="I143" s="849">
        <f>+I142+I53</f>
        <v>0</v>
      </c>
      <c r="J143" s="247">
        <f>+J$17+J53</f>
        <v>0</v>
      </c>
      <c r="K143" s="247"/>
      <c r="L143" s="247"/>
      <c r="M143" s="247"/>
      <c r="N143" s="247"/>
      <c r="P143" s="803">
        <f t="shared" si="16"/>
        <v>0</v>
      </c>
    </row>
    <row r="144" spans="2:16" ht="28.5" customHeight="1" x14ac:dyDescent="0.2">
      <c r="B144" s="1107" t="str">
        <f>"per 31/12/"&amp;$K$13</f>
        <v>per 31/12/2021</v>
      </c>
      <c r="C144" s="1108"/>
      <c r="D144" s="1108"/>
      <c r="E144" s="1109"/>
      <c r="F144" s="167"/>
      <c r="G144" s="849">
        <f>+G143+G54</f>
        <v>0</v>
      </c>
      <c r="H144" s="849">
        <f>+H143+H54</f>
        <v>0</v>
      </c>
      <c r="I144" s="849">
        <f>+I143+I54</f>
        <v>0</v>
      </c>
      <c r="J144" s="849">
        <f>+J143+J54</f>
        <v>0</v>
      </c>
      <c r="K144" s="247">
        <f>+K$17+K54</f>
        <v>0</v>
      </c>
      <c r="L144" s="247"/>
      <c r="M144" s="247"/>
      <c r="N144" s="247"/>
      <c r="P144" s="803">
        <f t="shared" si="16"/>
        <v>0</v>
      </c>
    </row>
    <row r="145" spans="2:16" ht="28.5" customHeight="1" x14ac:dyDescent="0.2">
      <c r="B145" s="1107" t="str">
        <f>"per 31/12/"&amp;$L$13</f>
        <v>per 31/12/2022</v>
      </c>
      <c r="C145" s="1108"/>
      <c r="D145" s="1108"/>
      <c r="E145" s="1109"/>
      <c r="F145" s="167"/>
      <c r="G145" s="849">
        <f>+G144+G55</f>
        <v>0</v>
      </c>
      <c r="H145" s="849">
        <f>+H144+H55</f>
        <v>0</v>
      </c>
      <c r="I145" s="849">
        <f>+I144+I55</f>
        <v>0</v>
      </c>
      <c r="J145" s="849">
        <f>+J144+J55</f>
        <v>0</v>
      </c>
      <c r="K145" s="849">
        <f>+K144+K55</f>
        <v>0</v>
      </c>
      <c r="L145" s="247">
        <f>+L$17+L55</f>
        <v>0</v>
      </c>
      <c r="M145" s="247"/>
      <c r="N145" s="247"/>
      <c r="P145" s="803">
        <f t="shared" si="16"/>
        <v>0</v>
      </c>
    </row>
    <row r="146" spans="2:16" ht="28.5" customHeight="1" x14ac:dyDescent="0.2">
      <c r="B146" s="1107" t="str">
        <f>"per 31/12/"&amp;$M$13</f>
        <v>per 31/12/2023</v>
      </c>
      <c r="C146" s="1108"/>
      <c r="D146" s="1108"/>
      <c r="E146" s="1109"/>
      <c r="F146" s="167"/>
      <c r="G146" s="247"/>
      <c r="H146" s="247"/>
      <c r="I146" s="247"/>
      <c r="J146" s="247"/>
      <c r="K146" s="849">
        <f>+K145+K56</f>
        <v>0</v>
      </c>
      <c r="L146" s="849">
        <f>+L145+L56</f>
        <v>0</v>
      </c>
      <c r="M146" s="247">
        <f>+M$17+M56</f>
        <v>0</v>
      </c>
      <c r="N146" s="247"/>
      <c r="P146" s="803">
        <f t="shared" si="16"/>
        <v>0</v>
      </c>
    </row>
    <row r="147" spans="2:16" ht="28.5" customHeight="1" x14ac:dyDescent="0.2">
      <c r="B147" s="1107" t="str">
        <f>"per 31/12/"&amp;$N$13</f>
        <v>per 31/12/2024</v>
      </c>
      <c r="C147" s="1108"/>
      <c r="D147" s="1108"/>
      <c r="E147" s="1109"/>
      <c r="F147" s="167"/>
      <c r="G147" s="247"/>
      <c r="H147" s="247"/>
      <c r="I147" s="247"/>
      <c r="J147" s="247"/>
      <c r="K147" s="247"/>
      <c r="L147" s="849">
        <f>+L146+L57</f>
        <v>0</v>
      </c>
      <c r="M147" s="849">
        <f>+M146+M57</f>
        <v>0</v>
      </c>
      <c r="N147" s="247">
        <f>+N$17+N57</f>
        <v>0</v>
      </c>
      <c r="P147" s="803">
        <f t="shared" si="16"/>
        <v>0</v>
      </c>
    </row>
    <row r="148" spans="2:16" ht="27" customHeight="1" x14ac:dyDescent="0.2">
      <c r="B148" s="1128" t="s">
        <v>350</v>
      </c>
      <c r="C148" s="1128"/>
      <c r="D148" s="1128"/>
      <c r="E148" s="1128"/>
      <c r="F148" s="167"/>
      <c r="G148" s="804"/>
      <c r="H148" s="804"/>
      <c r="I148" s="804"/>
      <c r="J148" s="804"/>
      <c r="K148" s="804"/>
      <c r="L148" s="804"/>
      <c r="M148" s="804"/>
      <c r="N148" s="804"/>
      <c r="P148" s="804"/>
    </row>
    <row r="149" spans="2:16" ht="28.5" customHeight="1" x14ac:dyDescent="0.2">
      <c r="B149" s="1107" t="str">
        <f>"per 31/12/"&amp;$G$13</f>
        <v>per 31/12/2017</v>
      </c>
      <c r="C149" s="1108"/>
      <c r="D149" s="1108"/>
      <c r="E149" s="1109"/>
      <c r="F149" s="167"/>
      <c r="G149" s="849">
        <f>+G$18+G59</f>
        <v>0</v>
      </c>
      <c r="H149" s="247"/>
      <c r="I149" s="247"/>
      <c r="J149" s="247"/>
      <c r="K149" s="247"/>
      <c r="L149" s="247"/>
      <c r="M149" s="247"/>
      <c r="N149" s="247"/>
      <c r="P149" s="803">
        <f>SUM(G149:N149)</f>
        <v>0</v>
      </c>
    </row>
    <row r="150" spans="2:16" ht="28.5" customHeight="1" x14ac:dyDescent="0.2">
      <c r="B150" s="1107" t="str">
        <f>"per 31/12/"&amp;$H$13</f>
        <v>per 31/12/2018</v>
      </c>
      <c r="C150" s="1108"/>
      <c r="D150" s="1108"/>
      <c r="E150" s="1109"/>
      <c r="F150" s="167"/>
      <c r="G150" s="247">
        <f>+G149+G60</f>
        <v>0</v>
      </c>
      <c r="H150" s="247">
        <f>+H$18+H60</f>
        <v>0</v>
      </c>
      <c r="I150" s="247"/>
      <c r="J150" s="247"/>
      <c r="K150" s="247"/>
      <c r="L150" s="247"/>
      <c r="M150" s="247"/>
      <c r="N150" s="247"/>
      <c r="P150" s="803">
        <f t="shared" ref="P150:P154" si="17">SUM(G150:N150)</f>
        <v>0</v>
      </c>
    </row>
    <row r="151" spans="2:16" ht="28.5" customHeight="1" x14ac:dyDescent="0.2">
      <c r="B151" s="1107" t="str">
        <f>"per 31/12/"&amp;$I$13</f>
        <v>per 31/12/2019</v>
      </c>
      <c r="C151" s="1108"/>
      <c r="D151" s="1108"/>
      <c r="E151" s="1109"/>
      <c r="F151" s="167"/>
      <c r="G151" s="247">
        <f>+G150+G61</f>
        <v>0</v>
      </c>
      <c r="H151" s="247">
        <f>+H150+H61</f>
        <v>0</v>
      </c>
      <c r="I151" s="247">
        <f>+I$18+I61</f>
        <v>0</v>
      </c>
      <c r="J151" s="247"/>
      <c r="K151" s="247"/>
      <c r="L151" s="247"/>
      <c r="M151" s="247"/>
      <c r="N151" s="247"/>
      <c r="P151" s="803">
        <f t="shared" si="17"/>
        <v>0</v>
      </c>
    </row>
    <row r="152" spans="2:16" ht="28.5" customHeight="1" x14ac:dyDescent="0.2">
      <c r="B152" s="1107" t="str">
        <f>"per 31/12/"&amp;$J$13</f>
        <v>per 31/12/2020</v>
      </c>
      <c r="C152" s="1108"/>
      <c r="D152" s="1108"/>
      <c r="E152" s="1109"/>
      <c r="F152" s="167"/>
      <c r="G152" s="247">
        <f>+G151+G62</f>
        <v>0</v>
      </c>
      <c r="H152" s="247">
        <f>+H151+H62</f>
        <v>0</v>
      </c>
      <c r="I152" s="247">
        <f>+I151+I62</f>
        <v>0</v>
      </c>
      <c r="J152" s="247">
        <f>+J$18+J62</f>
        <v>0</v>
      </c>
      <c r="K152" s="247"/>
      <c r="L152" s="247"/>
      <c r="M152" s="247"/>
      <c r="N152" s="247"/>
      <c r="P152" s="803">
        <f t="shared" si="17"/>
        <v>0</v>
      </c>
    </row>
    <row r="153" spans="2:16" ht="28.5" customHeight="1" x14ac:dyDescent="0.2">
      <c r="B153" s="1107" t="str">
        <f>"per 31/12/"&amp;$K$13</f>
        <v>per 31/12/2021</v>
      </c>
      <c r="C153" s="1108"/>
      <c r="D153" s="1108"/>
      <c r="E153" s="1109"/>
      <c r="F153" s="167"/>
      <c r="G153" s="247">
        <f>+G152+G63</f>
        <v>0</v>
      </c>
      <c r="H153" s="247">
        <f>+H152+H63</f>
        <v>0</v>
      </c>
      <c r="I153" s="247">
        <f>+I152+I63</f>
        <v>0</v>
      </c>
      <c r="J153" s="247">
        <f>+J152+J63</f>
        <v>0</v>
      </c>
      <c r="K153" s="520"/>
      <c r="L153" s="247"/>
      <c r="M153" s="247"/>
      <c r="N153" s="247"/>
      <c r="P153" s="803">
        <f t="shared" si="17"/>
        <v>0</v>
      </c>
    </row>
    <row r="154" spans="2:16" ht="28.5" customHeight="1" x14ac:dyDescent="0.2">
      <c r="B154" s="1107" t="str">
        <f>"per 31/12/"&amp;$L$13</f>
        <v>per 31/12/2022</v>
      </c>
      <c r="C154" s="1108"/>
      <c r="D154" s="1108"/>
      <c r="E154" s="1109"/>
      <c r="F154" s="167"/>
      <c r="G154" s="247">
        <f>+G153+G64</f>
        <v>0</v>
      </c>
      <c r="H154" s="247">
        <f>+H153+H64</f>
        <v>0</v>
      </c>
      <c r="I154" s="247">
        <f>+I153+I64</f>
        <v>0</v>
      </c>
      <c r="J154" s="247">
        <f>+J153+J64</f>
        <v>0</v>
      </c>
      <c r="K154" s="520"/>
      <c r="L154" s="520"/>
      <c r="M154" s="247"/>
      <c r="N154" s="247"/>
      <c r="P154" s="803">
        <f t="shared" si="17"/>
        <v>0</v>
      </c>
    </row>
    <row r="155" spans="2:16" ht="28.5" customHeight="1" x14ac:dyDescent="0.2">
      <c r="B155" s="1107" t="str">
        <f>"per 31/12/"&amp;$M$13</f>
        <v>per 31/12/2023</v>
      </c>
      <c r="C155" s="1108"/>
      <c r="D155" s="1108"/>
      <c r="E155" s="1109"/>
      <c r="F155" s="167"/>
      <c r="G155" s="247"/>
      <c r="H155" s="247"/>
      <c r="I155" s="247"/>
      <c r="J155" s="247"/>
      <c r="K155" s="520"/>
      <c r="L155" s="520"/>
      <c r="M155" s="520"/>
      <c r="N155" s="247"/>
      <c r="P155" s="805"/>
    </row>
    <row r="156" spans="2:16" ht="28.5" customHeight="1" x14ac:dyDescent="0.2">
      <c r="B156" s="1107" t="str">
        <f>"per 31/12/"&amp;$N$13</f>
        <v>per 31/12/2024</v>
      </c>
      <c r="C156" s="1108"/>
      <c r="D156" s="1108"/>
      <c r="E156" s="1109"/>
      <c r="F156" s="167"/>
      <c r="G156" s="247"/>
      <c r="H156" s="247"/>
      <c r="I156" s="247"/>
      <c r="J156" s="247"/>
      <c r="K156" s="247"/>
      <c r="L156" s="520"/>
      <c r="M156" s="520"/>
      <c r="N156" s="520"/>
      <c r="P156" s="805"/>
    </row>
    <row r="157" spans="2:16" ht="30" customHeight="1" x14ac:dyDescent="0.2">
      <c r="B157" s="1118" t="s">
        <v>169</v>
      </c>
      <c r="C157" s="1119"/>
      <c r="D157" s="1119"/>
      <c r="E157" s="1120"/>
      <c r="F157" s="167"/>
      <c r="G157" s="804"/>
      <c r="H157" s="804"/>
      <c r="I157" s="804"/>
      <c r="J157" s="804"/>
      <c r="K157" s="804"/>
      <c r="L157" s="804"/>
      <c r="M157" s="804"/>
      <c r="N157" s="804"/>
      <c r="P157" s="804"/>
    </row>
    <row r="158" spans="2:16" ht="28.5" customHeight="1" x14ac:dyDescent="0.2">
      <c r="B158" s="1107" t="str">
        <f>"per 31/12/"&amp;$G$13</f>
        <v>per 31/12/2017</v>
      </c>
      <c r="C158" s="1108"/>
      <c r="D158" s="1108"/>
      <c r="E158" s="1109"/>
      <c r="F158" s="167"/>
      <c r="G158" s="849">
        <f>+G$19+G68</f>
        <v>0</v>
      </c>
      <c r="H158" s="247"/>
      <c r="I158" s="247"/>
      <c r="J158" s="247"/>
      <c r="K158" s="247"/>
      <c r="L158" s="247"/>
      <c r="M158" s="247"/>
      <c r="N158" s="247"/>
      <c r="P158" s="803">
        <f>SUM(G158:N158)</f>
        <v>0</v>
      </c>
    </row>
    <row r="159" spans="2:16" ht="28.5" customHeight="1" x14ac:dyDescent="0.2">
      <c r="B159" s="1107" t="str">
        <f>"per 31/12/"&amp;$H$13</f>
        <v>per 31/12/2018</v>
      </c>
      <c r="C159" s="1108"/>
      <c r="D159" s="1108"/>
      <c r="E159" s="1109"/>
      <c r="F159" s="167"/>
      <c r="G159" s="247">
        <f>+G158+G69</f>
        <v>0</v>
      </c>
      <c r="H159" s="247">
        <f>+H$19+H69</f>
        <v>0</v>
      </c>
      <c r="I159" s="247"/>
      <c r="J159" s="247"/>
      <c r="K159" s="247"/>
      <c r="L159" s="247"/>
      <c r="M159" s="247"/>
      <c r="N159" s="247"/>
      <c r="P159" s="803">
        <f t="shared" ref="P159:P163" si="18">SUM(G159:N159)</f>
        <v>0</v>
      </c>
    </row>
    <row r="160" spans="2:16" ht="28.5" customHeight="1" x14ac:dyDescent="0.2">
      <c r="B160" s="1107" t="str">
        <f>"per 31/12/"&amp;$I$13</f>
        <v>per 31/12/2019</v>
      </c>
      <c r="C160" s="1108"/>
      <c r="D160" s="1108"/>
      <c r="E160" s="1109"/>
      <c r="F160" s="167"/>
      <c r="G160" s="247">
        <f>+G159+G70</f>
        <v>0</v>
      </c>
      <c r="H160" s="247">
        <f>+H159+H70</f>
        <v>0</v>
      </c>
      <c r="I160" s="247">
        <f>+I$19+I70</f>
        <v>0</v>
      </c>
      <c r="J160" s="247"/>
      <c r="K160" s="247"/>
      <c r="L160" s="247"/>
      <c r="M160" s="247"/>
      <c r="N160" s="247"/>
      <c r="P160" s="803">
        <f t="shared" si="18"/>
        <v>0</v>
      </c>
    </row>
    <row r="161" spans="2:16" ht="28.5" customHeight="1" x14ac:dyDescent="0.2">
      <c r="B161" s="1107" t="str">
        <f>"per 31/12/"&amp;$J$13</f>
        <v>per 31/12/2020</v>
      </c>
      <c r="C161" s="1108"/>
      <c r="D161" s="1108"/>
      <c r="E161" s="1109"/>
      <c r="F161" s="167"/>
      <c r="G161" s="247">
        <f>+G160+G71</f>
        <v>0</v>
      </c>
      <c r="H161" s="247">
        <f>+H160+H71</f>
        <v>0</v>
      </c>
      <c r="I161" s="247">
        <f>+I160+I71</f>
        <v>0</v>
      </c>
      <c r="J161" s="247">
        <f>+J$19+J71</f>
        <v>0</v>
      </c>
      <c r="K161" s="247"/>
      <c r="L161" s="247"/>
      <c r="M161" s="247"/>
      <c r="N161" s="247"/>
      <c r="P161" s="803">
        <f t="shared" si="18"/>
        <v>0</v>
      </c>
    </row>
    <row r="162" spans="2:16" ht="28.5" customHeight="1" x14ac:dyDescent="0.2">
      <c r="B162" s="1107" t="str">
        <f>"per 31/12/"&amp;$K$13</f>
        <v>per 31/12/2021</v>
      </c>
      <c r="C162" s="1108"/>
      <c r="D162" s="1108"/>
      <c r="E162" s="1109"/>
      <c r="F162" s="167"/>
      <c r="G162" s="247">
        <f>+G161+G72</f>
        <v>0</v>
      </c>
      <c r="H162" s="247">
        <f>+H161+H72</f>
        <v>0</v>
      </c>
      <c r="I162" s="247">
        <f>+I161+I72</f>
        <v>0</v>
      </c>
      <c r="J162" s="247">
        <f>+J161+J72</f>
        <v>0</v>
      </c>
      <c r="K162" s="520"/>
      <c r="L162" s="247"/>
      <c r="M162" s="247"/>
      <c r="N162" s="247"/>
      <c r="P162" s="803">
        <f t="shared" si="18"/>
        <v>0</v>
      </c>
    </row>
    <row r="163" spans="2:16" ht="28.5" customHeight="1" x14ac:dyDescent="0.2">
      <c r="B163" s="1107" t="str">
        <f>"per 31/12/"&amp;$L$13</f>
        <v>per 31/12/2022</v>
      </c>
      <c r="C163" s="1108"/>
      <c r="D163" s="1108"/>
      <c r="E163" s="1109"/>
      <c r="F163" s="167"/>
      <c r="G163" s="247">
        <f>+G162+G73</f>
        <v>0</v>
      </c>
      <c r="H163" s="247">
        <f>+H162+H73</f>
        <v>0</v>
      </c>
      <c r="I163" s="247">
        <f>+I162+I73</f>
        <v>0</v>
      </c>
      <c r="J163" s="247">
        <f>+J162+J73</f>
        <v>0</v>
      </c>
      <c r="K163" s="520"/>
      <c r="L163" s="520"/>
      <c r="M163" s="247"/>
      <c r="N163" s="247"/>
      <c r="P163" s="803">
        <f t="shared" si="18"/>
        <v>0</v>
      </c>
    </row>
    <row r="164" spans="2:16" ht="28.5" customHeight="1" x14ac:dyDescent="0.2">
      <c r="B164" s="1107" t="str">
        <f>"per 31/12/"&amp;$M$13</f>
        <v>per 31/12/2023</v>
      </c>
      <c r="C164" s="1108"/>
      <c r="D164" s="1108"/>
      <c r="E164" s="1109"/>
      <c r="F164" s="167"/>
      <c r="G164" s="247"/>
      <c r="H164" s="247"/>
      <c r="I164" s="247"/>
      <c r="J164" s="247"/>
      <c r="K164" s="520"/>
      <c r="L164" s="520"/>
      <c r="M164" s="520"/>
      <c r="N164" s="247"/>
      <c r="P164" s="805"/>
    </row>
    <row r="165" spans="2:16" ht="28.5" customHeight="1" x14ac:dyDescent="0.2">
      <c r="B165" s="1107" t="str">
        <f>"per 31/12/"&amp;$N$13</f>
        <v>per 31/12/2024</v>
      </c>
      <c r="C165" s="1108"/>
      <c r="D165" s="1108"/>
      <c r="E165" s="1109"/>
      <c r="F165" s="167"/>
      <c r="G165" s="247"/>
      <c r="H165" s="247"/>
      <c r="I165" s="247"/>
      <c r="J165" s="247"/>
      <c r="K165" s="247"/>
      <c r="L165" s="520"/>
      <c r="M165" s="520"/>
      <c r="N165" s="520"/>
      <c r="P165" s="805"/>
    </row>
    <row r="166" spans="2:16" ht="30" customHeight="1" x14ac:dyDescent="0.2">
      <c r="B166" s="1118" t="s">
        <v>67</v>
      </c>
      <c r="C166" s="1119"/>
      <c r="D166" s="1119"/>
      <c r="E166" s="1120"/>
      <c r="F166" s="167"/>
      <c r="G166" s="804"/>
      <c r="H166" s="804"/>
      <c r="I166" s="804"/>
      <c r="J166" s="804"/>
      <c r="K166" s="804"/>
      <c r="L166" s="804"/>
      <c r="M166" s="804"/>
      <c r="N166" s="804"/>
      <c r="P166" s="804"/>
    </row>
    <row r="167" spans="2:16" ht="28.5" customHeight="1" x14ac:dyDescent="0.2">
      <c r="B167" s="1107" t="str">
        <f>"per 31/12/"&amp;$G$13</f>
        <v>per 31/12/2017</v>
      </c>
      <c r="C167" s="1108"/>
      <c r="D167" s="1108"/>
      <c r="E167" s="1109"/>
      <c r="F167" s="167"/>
      <c r="G167" s="849">
        <f>+G$20+G77</f>
        <v>0</v>
      </c>
      <c r="H167" s="247"/>
      <c r="I167" s="247"/>
      <c r="J167" s="247"/>
      <c r="K167" s="247"/>
      <c r="L167" s="247"/>
      <c r="M167" s="247"/>
      <c r="N167" s="247"/>
      <c r="P167" s="803">
        <f>SUM(G167:N167)</f>
        <v>0</v>
      </c>
    </row>
    <row r="168" spans="2:16" ht="28.5" customHeight="1" x14ac:dyDescent="0.2">
      <c r="B168" s="1107" t="str">
        <f>"per 31/12/"&amp;$H$13</f>
        <v>per 31/12/2018</v>
      </c>
      <c r="C168" s="1108"/>
      <c r="D168" s="1108"/>
      <c r="E168" s="1109"/>
      <c r="F168" s="167"/>
      <c r="G168" s="247">
        <f>+G167+G78</f>
        <v>0</v>
      </c>
      <c r="H168" s="247">
        <f>+H$20+H78</f>
        <v>0</v>
      </c>
      <c r="I168" s="247"/>
      <c r="J168" s="247"/>
      <c r="K168" s="247"/>
      <c r="L168" s="247"/>
      <c r="M168" s="247"/>
      <c r="N168" s="247"/>
      <c r="P168" s="803">
        <f t="shared" ref="P168:P174" si="19">SUM(G168:N168)</f>
        <v>0</v>
      </c>
    </row>
    <row r="169" spans="2:16" ht="28.5" customHeight="1" x14ac:dyDescent="0.2">
      <c r="B169" s="1107" t="str">
        <f>"per 31/12/"&amp;$I$13</f>
        <v>per 31/12/2019</v>
      </c>
      <c r="C169" s="1108"/>
      <c r="D169" s="1108"/>
      <c r="E169" s="1109"/>
      <c r="F169" s="167"/>
      <c r="G169" s="247">
        <f>+G168+G79</f>
        <v>0</v>
      </c>
      <c r="H169" s="247">
        <f>+H168+H79</f>
        <v>0</v>
      </c>
      <c r="I169" s="247">
        <f>+I$20+I79</f>
        <v>0</v>
      </c>
      <c r="J169" s="247"/>
      <c r="K169" s="247"/>
      <c r="L169" s="247"/>
      <c r="M169" s="247"/>
      <c r="N169" s="247"/>
      <c r="P169" s="803">
        <f t="shared" si="19"/>
        <v>0</v>
      </c>
    </row>
    <row r="170" spans="2:16" ht="28.5" customHeight="1" x14ac:dyDescent="0.2">
      <c r="B170" s="1107" t="str">
        <f>"per 31/12/"&amp;$J$13</f>
        <v>per 31/12/2020</v>
      </c>
      <c r="C170" s="1108"/>
      <c r="D170" s="1108"/>
      <c r="E170" s="1109"/>
      <c r="F170" s="167"/>
      <c r="G170" s="247">
        <f>+G169+G80</f>
        <v>0</v>
      </c>
      <c r="H170" s="247">
        <f>+H169+H80</f>
        <v>0</v>
      </c>
      <c r="I170" s="247">
        <f>+I169+I80</f>
        <v>0</v>
      </c>
      <c r="J170" s="247">
        <f>+J$20+J80</f>
        <v>0</v>
      </c>
      <c r="K170" s="247"/>
      <c r="L170" s="247"/>
      <c r="M170" s="247"/>
      <c r="N170" s="247"/>
      <c r="P170" s="803">
        <f t="shared" si="19"/>
        <v>0</v>
      </c>
    </row>
    <row r="171" spans="2:16" ht="28.5" customHeight="1" x14ac:dyDescent="0.2">
      <c r="B171" s="1107" t="str">
        <f>"per 31/12/"&amp;$K$13</f>
        <v>per 31/12/2021</v>
      </c>
      <c r="C171" s="1108"/>
      <c r="D171" s="1108"/>
      <c r="E171" s="1109"/>
      <c r="F171" s="167"/>
      <c r="G171" s="247">
        <f>+G170+G81</f>
        <v>0</v>
      </c>
      <c r="H171" s="247">
        <f>+H170+H81</f>
        <v>0</v>
      </c>
      <c r="I171" s="247">
        <f>+I170+I81</f>
        <v>0</v>
      </c>
      <c r="J171" s="247">
        <f>+J170+J81</f>
        <v>0</v>
      </c>
      <c r="K171" s="247">
        <f>+K$20+K81</f>
        <v>0</v>
      </c>
      <c r="L171" s="247"/>
      <c r="M171" s="247"/>
      <c r="N171" s="247"/>
      <c r="P171" s="803">
        <f t="shared" si="19"/>
        <v>0</v>
      </c>
    </row>
    <row r="172" spans="2:16" ht="28.5" customHeight="1" x14ac:dyDescent="0.2">
      <c r="B172" s="1107" t="str">
        <f>"per 31/12/"&amp;$L$13</f>
        <v>per 31/12/2022</v>
      </c>
      <c r="C172" s="1108"/>
      <c r="D172" s="1108"/>
      <c r="E172" s="1109"/>
      <c r="F172" s="167"/>
      <c r="G172" s="247">
        <f>+G171+G82</f>
        <v>0</v>
      </c>
      <c r="H172" s="247">
        <f>+H171+H82</f>
        <v>0</v>
      </c>
      <c r="I172" s="247">
        <f>+I171+I82</f>
        <v>0</v>
      </c>
      <c r="J172" s="247">
        <f>+J171+J82</f>
        <v>0</v>
      </c>
      <c r="K172" s="247">
        <f>+K171+K82</f>
        <v>0</v>
      </c>
      <c r="L172" s="247">
        <f>+L$20+L82</f>
        <v>0</v>
      </c>
      <c r="M172" s="247"/>
      <c r="N172" s="247"/>
      <c r="P172" s="803">
        <f t="shared" si="19"/>
        <v>0</v>
      </c>
    </row>
    <row r="173" spans="2:16" ht="28.5" customHeight="1" x14ac:dyDescent="0.2">
      <c r="B173" s="1107" t="str">
        <f>"per 31/12/"&amp;$M$13</f>
        <v>per 31/12/2023</v>
      </c>
      <c r="C173" s="1108"/>
      <c r="D173" s="1108"/>
      <c r="E173" s="1109"/>
      <c r="F173" s="167"/>
      <c r="G173" s="247"/>
      <c r="H173" s="247"/>
      <c r="I173" s="247"/>
      <c r="J173" s="247"/>
      <c r="K173" s="247">
        <f>+K172+K83</f>
        <v>0</v>
      </c>
      <c r="L173" s="247">
        <f>+L172+L83</f>
        <v>0</v>
      </c>
      <c r="M173" s="247">
        <f>+M$20+M83</f>
        <v>0</v>
      </c>
      <c r="N173" s="247"/>
      <c r="P173" s="803">
        <f t="shared" si="19"/>
        <v>0</v>
      </c>
    </row>
    <row r="174" spans="2:16" ht="28.5" customHeight="1" x14ac:dyDescent="0.2">
      <c r="B174" s="1107" t="str">
        <f>"per 31/12/"&amp;$N$13</f>
        <v>per 31/12/2024</v>
      </c>
      <c r="C174" s="1108"/>
      <c r="D174" s="1108"/>
      <c r="E174" s="1109"/>
      <c r="F174" s="167"/>
      <c r="G174" s="247"/>
      <c r="H174" s="247"/>
      <c r="I174" s="247"/>
      <c r="J174" s="247"/>
      <c r="K174" s="247"/>
      <c r="L174" s="247">
        <f>+L173+L84</f>
        <v>0</v>
      </c>
      <c r="M174" s="247">
        <f>+M173+M84</f>
        <v>0</v>
      </c>
      <c r="N174" s="247">
        <f>+N$20+N84</f>
        <v>0</v>
      </c>
      <c r="P174" s="803">
        <f t="shared" si="19"/>
        <v>0</v>
      </c>
    </row>
    <row r="175" spans="2:16" ht="26.25" customHeight="1" x14ac:dyDescent="0.2">
      <c r="B175" s="1118" t="s">
        <v>96</v>
      </c>
      <c r="C175" s="1119"/>
      <c r="D175" s="1119"/>
      <c r="E175" s="1120"/>
      <c r="F175" s="167"/>
      <c r="G175" s="804"/>
      <c r="H175" s="804"/>
      <c r="I175" s="804"/>
      <c r="J175" s="804"/>
      <c r="K175" s="804"/>
      <c r="L175" s="804"/>
      <c r="M175" s="804"/>
      <c r="N175" s="804"/>
      <c r="P175" s="804"/>
    </row>
    <row r="176" spans="2:16" ht="28.5" customHeight="1" x14ac:dyDescent="0.2">
      <c r="B176" s="1107" t="str">
        <f>"per 31/12/"&amp;$G$13</f>
        <v>per 31/12/2017</v>
      </c>
      <c r="C176" s="1108"/>
      <c r="D176" s="1108"/>
      <c r="E176" s="1109"/>
      <c r="F176" s="167"/>
      <c r="G176" s="849">
        <f>+G$21+G86</f>
        <v>0</v>
      </c>
      <c r="H176" s="247"/>
      <c r="I176" s="247"/>
      <c r="J176" s="247"/>
      <c r="K176" s="247"/>
      <c r="L176" s="247"/>
      <c r="M176" s="247"/>
      <c r="N176" s="247"/>
      <c r="P176" s="803">
        <f t="shared" ref="P176:P182" si="20">SUM(G176:N176)</f>
        <v>0</v>
      </c>
    </row>
    <row r="177" spans="2:16" ht="28.5" customHeight="1" x14ac:dyDescent="0.2">
      <c r="B177" s="1107" t="str">
        <f>"per 31/12/"&amp;$H$13</f>
        <v>per 31/12/2018</v>
      </c>
      <c r="C177" s="1108"/>
      <c r="D177" s="1108"/>
      <c r="E177" s="1109"/>
      <c r="F177" s="167"/>
      <c r="G177" s="247">
        <f>+G176+G87</f>
        <v>0</v>
      </c>
      <c r="H177" s="247">
        <f>+H$21+H87</f>
        <v>0</v>
      </c>
      <c r="I177" s="247"/>
      <c r="J177" s="247"/>
      <c r="K177" s="247"/>
      <c r="L177" s="247"/>
      <c r="M177" s="247"/>
      <c r="N177" s="247"/>
      <c r="P177" s="803">
        <f t="shared" si="20"/>
        <v>0</v>
      </c>
    </row>
    <row r="178" spans="2:16" ht="28.5" customHeight="1" x14ac:dyDescent="0.2">
      <c r="B178" s="1107" t="str">
        <f>"per 31/12/"&amp;$I$13</f>
        <v>per 31/12/2019</v>
      </c>
      <c r="C178" s="1108"/>
      <c r="D178" s="1108"/>
      <c r="E178" s="1109"/>
      <c r="F178" s="167"/>
      <c r="G178" s="247">
        <f>+G177+G88</f>
        <v>0</v>
      </c>
      <c r="H178" s="247">
        <f>+H177+H88</f>
        <v>0</v>
      </c>
      <c r="I178" s="247">
        <f>+I$21+I88</f>
        <v>0</v>
      </c>
      <c r="J178" s="247"/>
      <c r="K178" s="247"/>
      <c r="L178" s="247"/>
      <c r="M178" s="247"/>
      <c r="N178" s="247"/>
      <c r="P178" s="803">
        <f t="shared" si="20"/>
        <v>0</v>
      </c>
    </row>
    <row r="179" spans="2:16" ht="28.5" customHeight="1" x14ac:dyDescent="0.2">
      <c r="B179" s="1107" t="str">
        <f>"per 31/12/"&amp;$J$13</f>
        <v>per 31/12/2020</v>
      </c>
      <c r="C179" s="1108"/>
      <c r="D179" s="1108"/>
      <c r="E179" s="1109"/>
      <c r="F179" s="167"/>
      <c r="G179" s="247">
        <f>+G178+G89</f>
        <v>0</v>
      </c>
      <c r="H179" s="247">
        <f>+H178+H89</f>
        <v>0</v>
      </c>
      <c r="I179" s="247">
        <f>+I178+I89</f>
        <v>0</v>
      </c>
      <c r="J179" s="247">
        <f>+J$21+J89</f>
        <v>0</v>
      </c>
      <c r="K179" s="247"/>
      <c r="L179" s="247"/>
      <c r="M179" s="247"/>
      <c r="N179" s="247"/>
      <c r="P179" s="803">
        <f t="shared" si="20"/>
        <v>0</v>
      </c>
    </row>
    <row r="180" spans="2:16" ht="28.5" customHeight="1" x14ac:dyDescent="0.2">
      <c r="B180" s="1107" t="str">
        <f>"per 31/12/"&amp;$K$13</f>
        <v>per 31/12/2021</v>
      </c>
      <c r="C180" s="1108"/>
      <c r="D180" s="1108"/>
      <c r="E180" s="1109"/>
      <c r="F180" s="167"/>
      <c r="G180" s="247">
        <f>+G179+G90</f>
        <v>0</v>
      </c>
      <c r="H180" s="247">
        <f>+H179+H90</f>
        <v>0</v>
      </c>
      <c r="I180" s="247">
        <f>+I179+I90</f>
        <v>0</v>
      </c>
      <c r="J180" s="247">
        <f>+J179+J90</f>
        <v>0</v>
      </c>
      <c r="K180" s="247">
        <f>+K$21+K90</f>
        <v>0</v>
      </c>
      <c r="L180" s="247"/>
      <c r="M180" s="247"/>
      <c r="N180" s="247"/>
      <c r="P180" s="803">
        <f t="shared" si="20"/>
        <v>0</v>
      </c>
    </row>
    <row r="181" spans="2:16" ht="28.5" customHeight="1" x14ac:dyDescent="0.2">
      <c r="B181" s="1107" t="str">
        <f>"per 31/12/"&amp;$L$13</f>
        <v>per 31/12/2022</v>
      </c>
      <c r="C181" s="1108"/>
      <c r="D181" s="1108"/>
      <c r="E181" s="1109"/>
      <c r="F181" s="167"/>
      <c r="G181" s="247">
        <f>+G180+G91</f>
        <v>0</v>
      </c>
      <c r="H181" s="247">
        <f>+H180+H91</f>
        <v>0</v>
      </c>
      <c r="I181" s="247">
        <f>+I180+I91</f>
        <v>0</v>
      </c>
      <c r="J181" s="247">
        <f>+J180+J91</f>
        <v>0</v>
      </c>
      <c r="K181" s="247">
        <f>+K180+K91</f>
        <v>0</v>
      </c>
      <c r="L181" s="520"/>
      <c r="M181" s="247"/>
      <c r="N181" s="247"/>
      <c r="P181" s="803">
        <f t="shared" si="20"/>
        <v>0</v>
      </c>
    </row>
    <row r="182" spans="2:16" ht="28.5" customHeight="1" x14ac:dyDescent="0.2">
      <c r="B182" s="1107" t="str">
        <f>"per 31/12/"&amp;$M$13</f>
        <v>per 31/12/2023</v>
      </c>
      <c r="C182" s="1108"/>
      <c r="D182" s="1108"/>
      <c r="E182" s="1109"/>
      <c r="F182" s="167"/>
      <c r="G182" s="247"/>
      <c r="H182" s="247"/>
      <c r="I182" s="247"/>
      <c r="J182" s="247"/>
      <c r="K182" s="247">
        <f>+K181+K92</f>
        <v>0</v>
      </c>
      <c r="L182" s="520"/>
      <c r="M182" s="520"/>
      <c r="N182" s="247"/>
      <c r="P182" s="803">
        <f t="shared" si="20"/>
        <v>0</v>
      </c>
    </row>
    <row r="183" spans="2:16" ht="28.5" customHeight="1" x14ac:dyDescent="0.2">
      <c r="B183" s="1112" t="str">
        <f>"per 31/12/"&amp;$N$13</f>
        <v>per 31/12/2024</v>
      </c>
      <c r="C183" s="1113"/>
      <c r="D183" s="1113"/>
      <c r="E183" s="1114"/>
      <c r="F183" s="167"/>
      <c r="G183" s="247"/>
      <c r="H183" s="247"/>
      <c r="I183" s="247"/>
      <c r="J183" s="247"/>
      <c r="K183" s="247"/>
      <c r="L183" s="520"/>
      <c r="M183" s="520"/>
      <c r="N183" s="520"/>
      <c r="P183" s="805"/>
    </row>
    <row r="184" spans="2:16" ht="33" customHeight="1" x14ac:dyDescent="0.2">
      <c r="B184" s="1118" t="s">
        <v>357</v>
      </c>
      <c r="C184" s="1119"/>
      <c r="D184" s="1119"/>
      <c r="E184" s="1120"/>
      <c r="F184" s="167"/>
      <c r="G184" s="804"/>
      <c r="H184" s="804"/>
      <c r="I184" s="804"/>
      <c r="J184" s="804"/>
      <c r="K184" s="804"/>
      <c r="L184" s="804"/>
      <c r="M184" s="804"/>
      <c r="N184" s="804"/>
      <c r="P184" s="804"/>
    </row>
    <row r="185" spans="2:16" ht="28.5" customHeight="1" x14ac:dyDescent="0.2">
      <c r="B185" s="1107" t="str">
        <f>"per 31/12/"&amp;$G$13</f>
        <v>per 31/12/2017</v>
      </c>
      <c r="C185" s="1108"/>
      <c r="D185" s="1108"/>
      <c r="E185" s="1109"/>
      <c r="F185" s="167"/>
      <c r="G185" s="849">
        <f>+G$22+G95</f>
        <v>0</v>
      </c>
      <c r="H185" s="247"/>
      <c r="I185" s="247"/>
      <c r="J185" s="247"/>
      <c r="K185" s="247"/>
      <c r="L185" s="247"/>
      <c r="M185" s="247"/>
      <c r="N185" s="247"/>
      <c r="P185" s="803">
        <f t="shared" ref="P185:P192" si="21">SUM(G185:N185)</f>
        <v>0</v>
      </c>
    </row>
    <row r="186" spans="2:16" ht="28.5" customHeight="1" x14ac:dyDescent="0.2">
      <c r="B186" s="1107" t="str">
        <f>"per 31/12/"&amp;$H$13</f>
        <v>per 31/12/2018</v>
      </c>
      <c r="C186" s="1108"/>
      <c r="D186" s="1108"/>
      <c r="E186" s="1109"/>
      <c r="F186" s="167"/>
      <c r="G186" s="247">
        <f>+G185+G96</f>
        <v>0</v>
      </c>
      <c r="H186" s="247">
        <f>+H$22+H96</f>
        <v>0</v>
      </c>
      <c r="I186" s="247"/>
      <c r="J186" s="247"/>
      <c r="K186" s="247"/>
      <c r="L186" s="247"/>
      <c r="M186" s="247"/>
      <c r="N186" s="247"/>
      <c r="P186" s="803">
        <f t="shared" si="21"/>
        <v>0</v>
      </c>
    </row>
    <row r="187" spans="2:16" ht="28.5" customHeight="1" x14ac:dyDescent="0.2">
      <c r="B187" s="1107" t="str">
        <f>"per 31/12/"&amp;$I$13</f>
        <v>per 31/12/2019</v>
      </c>
      <c r="C187" s="1108"/>
      <c r="D187" s="1108"/>
      <c r="E187" s="1109"/>
      <c r="F187" s="167"/>
      <c r="G187" s="247">
        <f>+G186+G97</f>
        <v>0</v>
      </c>
      <c r="H187" s="247">
        <f>+H186+H97</f>
        <v>0</v>
      </c>
      <c r="I187" s="247">
        <f>+I$22+I97</f>
        <v>0</v>
      </c>
      <c r="J187" s="247"/>
      <c r="K187" s="247"/>
      <c r="L187" s="247"/>
      <c r="M187" s="247"/>
      <c r="N187" s="247"/>
      <c r="P187" s="803">
        <f t="shared" si="21"/>
        <v>0</v>
      </c>
    </row>
    <row r="188" spans="2:16" ht="28.5" customHeight="1" x14ac:dyDescent="0.2">
      <c r="B188" s="1107" t="str">
        <f>"per 31/12/"&amp;$J$13</f>
        <v>per 31/12/2020</v>
      </c>
      <c r="C188" s="1108"/>
      <c r="D188" s="1108"/>
      <c r="E188" s="1109"/>
      <c r="F188" s="167"/>
      <c r="G188" s="247">
        <f>+G187+G98</f>
        <v>0</v>
      </c>
      <c r="H188" s="247">
        <f>+H187+H98</f>
        <v>0</v>
      </c>
      <c r="I188" s="247">
        <f>+I187+I98</f>
        <v>0</v>
      </c>
      <c r="J188" s="247">
        <f>+J$22+J98</f>
        <v>0</v>
      </c>
      <c r="K188" s="247"/>
      <c r="L188" s="247"/>
      <c r="M188" s="247"/>
      <c r="N188" s="247"/>
      <c r="P188" s="803">
        <f t="shared" si="21"/>
        <v>0</v>
      </c>
    </row>
    <row r="189" spans="2:16" ht="28.5" customHeight="1" x14ac:dyDescent="0.2">
      <c r="B189" s="1107" t="str">
        <f>"per 31/12/"&amp;$K$13</f>
        <v>per 31/12/2021</v>
      </c>
      <c r="C189" s="1108"/>
      <c r="D189" s="1108"/>
      <c r="E189" s="1109"/>
      <c r="F189" s="167"/>
      <c r="G189" s="247">
        <f>+G188+G99</f>
        <v>0</v>
      </c>
      <c r="H189" s="247">
        <f>+H188+H99</f>
        <v>0</v>
      </c>
      <c r="I189" s="247">
        <f>+I188+I99</f>
        <v>0</v>
      </c>
      <c r="J189" s="247">
        <f>+J188+J99</f>
        <v>0</v>
      </c>
      <c r="K189" s="247">
        <f>+K$22+K99</f>
        <v>0</v>
      </c>
      <c r="L189" s="247"/>
      <c r="M189" s="247"/>
      <c r="N189" s="247"/>
      <c r="P189" s="803">
        <f t="shared" si="21"/>
        <v>0</v>
      </c>
    </row>
    <row r="190" spans="2:16" ht="28.5" customHeight="1" x14ac:dyDescent="0.2">
      <c r="B190" s="1107" t="str">
        <f>"per 31/12/"&amp;$L$13</f>
        <v>per 31/12/2022</v>
      </c>
      <c r="C190" s="1108"/>
      <c r="D190" s="1108"/>
      <c r="E190" s="1109"/>
      <c r="F190" s="167"/>
      <c r="G190" s="247">
        <f>+G189+G100</f>
        <v>0</v>
      </c>
      <c r="H190" s="247">
        <f>+H189+H100</f>
        <v>0</v>
      </c>
      <c r="I190" s="247">
        <f>+I189+I100</f>
        <v>0</v>
      </c>
      <c r="J190" s="247">
        <f>+J189+J100</f>
        <v>0</v>
      </c>
      <c r="K190" s="247">
        <f>+K189+K100</f>
        <v>0</v>
      </c>
      <c r="L190" s="247">
        <f>+L$22+L100</f>
        <v>0</v>
      </c>
      <c r="M190" s="247"/>
      <c r="N190" s="247"/>
      <c r="P190" s="803">
        <f t="shared" si="21"/>
        <v>0</v>
      </c>
    </row>
    <row r="191" spans="2:16" ht="28.5" customHeight="1" x14ac:dyDescent="0.2">
      <c r="B191" s="1107" t="str">
        <f>"per 31/12/"&amp;$M$13</f>
        <v>per 31/12/2023</v>
      </c>
      <c r="C191" s="1108"/>
      <c r="D191" s="1108"/>
      <c r="E191" s="1109"/>
      <c r="F191" s="167"/>
      <c r="G191" s="247"/>
      <c r="H191" s="247"/>
      <c r="I191" s="247"/>
      <c r="J191" s="247"/>
      <c r="K191" s="247">
        <f>+K190+K101</f>
        <v>0</v>
      </c>
      <c r="L191" s="247">
        <f>+L190+L101</f>
        <v>0</v>
      </c>
      <c r="M191" s="247">
        <f>+M$22+M101</f>
        <v>0</v>
      </c>
      <c r="N191" s="247"/>
      <c r="P191" s="803">
        <f t="shared" si="21"/>
        <v>0</v>
      </c>
    </row>
    <row r="192" spans="2:16" ht="28.5" customHeight="1" x14ac:dyDescent="0.2">
      <c r="B192" s="1107" t="str">
        <f>"per 31/12/"&amp;$N$13</f>
        <v>per 31/12/2024</v>
      </c>
      <c r="C192" s="1108"/>
      <c r="D192" s="1108"/>
      <c r="E192" s="1109"/>
      <c r="F192" s="167"/>
      <c r="G192" s="247"/>
      <c r="H192" s="247"/>
      <c r="I192" s="247"/>
      <c r="J192" s="247"/>
      <c r="K192" s="247"/>
      <c r="L192" s="247">
        <f>+L191+L102</f>
        <v>0</v>
      </c>
      <c r="M192" s="247">
        <f>+M191+M102</f>
        <v>0</v>
      </c>
      <c r="N192" s="247">
        <f>+N$22+N102</f>
        <v>0</v>
      </c>
      <c r="P192" s="803">
        <f t="shared" si="21"/>
        <v>0</v>
      </c>
    </row>
    <row r="193" spans="1:16" x14ac:dyDescent="0.2">
      <c r="G193" s="301"/>
      <c r="H193" s="301"/>
      <c r="I193" s="301"/>
      <c r="J193" s="301"/>
      <c r="K193" s="301"/>
      <c r="L193" s="301"/>
      <c r="M193" s="301"/>
      <c r="N193" s="301"/>
      <c r="P193" s="302"/>
    </row>
    <row r="194" spans="1:16" s="216" customFormat="1" x14ac:dyDescent="0.2">
      <c r="B194" s="310"/>
      <c r="C194" s="311"/>
      <c r="D194" s="311"/>
      <c r="E194" s="312"/>
      <c r="F194" s="275"/>
      <c r="G194" s="165">
        <v>2017</v>
      </c>
      <c r="H194" s="165">
        <f>+G194+1</f>
        <v>2018</v>
      </c>
      <c r="I194" s="165">
        <f>+H194+1</f>
        <v>2019</v>
      </c>
      <c r="J194" s="165">
        <f t="shared" ref="J194:N194" si="22">+I194+1</f>
        <v>2020</v>
      </c>
      <c r="K194" s="165">
        <f t="shared" si="22"/>
        <v>2021</v>
      </c>
      <c r="L194" s="165">
        <f t="shared" si="22"/>
        <v>2022</v>
      </c>
      <c r="M194" s="165">
        <f t="shared" si="22"/>
        <v>2023</v>
      </c>
      <c r="N194" s="165">
        <f t="shared" si="22"/>
        <v>2024</v>
      </c>
      <c r="O194" s="203"/>
      <c r="P194" s="165" t="s">
        <v>20</v>
      </c>
    </row>
    <row r="195" spans="1:16" ht="20.25" customHeight="1" x14ac:dyDescent="0.2">
      <c r="B195" s="1125" t="s">
        <v>125</v>
      </c>
      <c r="C195" s="1126"/>
      <c r="D195" s="1126"/>
      <c r="E195" s="1127"/>
      <c r="F195" s="169"/>
      <c r="G195" s="170"/>
      <c r="H195" s="170"/>
      <c r="I195" s="170"/>
      <c r="J195" s="170"/>
      <c r="K195" s="170"/>
      <c r="L195" s="170"/>
      <c r="M195" s="170"/>
      <c r="N195" s="170"/>
      <c r="P195" s="170"/>
    </row>
    <row r="196" spans="1:16" ht="28.5" customHeight="1" x14ac:dyDescent="0.2">
      <c r="A196" s="203">
        <v>2017</v>
      </c>
      <c r="B196" s="1115" t="str">
        <f>"per 31/12/"&amp;$G$13</f>
        <v>per 31/12/2017</v>
      </c>
      <c r="C196" s="1116"/>
      <c r="D196" s="1116"/>
      <c r="E196" s="1117"/>
      <c r="F196" s="313"/>
      <c r="G196" s="806">
        <f t="shared" ref="G196:G201" si="23">SUMIFS(G$122:G$192,$B$122:$B$192,$B196)</f>
        <v>0</v>
      </c>
      <c r="H196" s="806"/>
      <c r="I196" s="806"/>
      <c r="J196" s="806"/>
      <c r="K196" s="806"/>
      <c r="L196" s="806"/>
      <c r="M196" s="806"/>
      <c r="N196" s="806"/>
      <c r="P196" s="807">
        <f t="shared" ref="P196:P203" si="24">SUMIFS(P$122:P$192,$B$122:$B$192,$B196)</f>
        <v>0</v>
      </c>
    </row>
    <row r="197" spans="1:16" ht="28.5" customHeight="1" x14ac:dyDescent="0.2">
      <c r="A197" s="203">
        <v>2018</v>
      </c>
      <c r="B197" s="1115" t="str">
        <f>"per 31/12/"&amp;$H$13</f>
        <v>per 31/12/2018</v>
      </c>
      <c r="C197" s="1116"/>
      <c r="D197" s="1116"/>
      <c r="E197" s="1117"/>
      <c r="F197" s="313"/>
      <c r="G197" s="806">
        <f t="shared" si="23"/>
        <v>0</v>
      </c>
      <c r="H197" s="806">
        <f>SUMIFS(H$122:H$192,$B$122:$B$192,$B197)</f>
        <v>0</v>
      </c>
      <c r="I197" s="806"/>
      <c r="J197" s="806"/>
      <c r="K197" s="806"/>
      <c r="L197" s="806"/>
      <c r="M197" s="806"/>
      <c r="N197" s="806"/>
      <c r="P197" s="807">
        <f t="shared" si="24"/>
        <v>0</v>
      </c>
    </row>
    <row r="198" spans="1:16" ht="28.5" customHeight="1" x14ac:dyDescent="0.2">
      <c r="A198" s="203">
        <v>2019</v>
      </c>
      <c r="B198" s="1115" t="str">
        <f>"per 31/12/"&amp;$I$13</f>
        <v>per 31/12/2019</v>
      </c>
      <c r="C198" s="1116"/>
      <c r="D198" s="1116"/>
      <c r="E198" s="1117"/>
      <c r="F198" s="313"/>
      <c r="G198" s="806">
        <f t="shared" si="23"/>
        <v>0</v>
      </c>
      <c r="H198" s="806">
        <f>SUMIFS(H$122:H$192,$B$122:$B$192,$B198)</f>
        <v>0</v>
      </c>
      <c r="I198" s="806">
        <f>SUMIFS(I$122:I$192,$B$122:$B$192,$B198)</f>
        <v>0</v>
      </c>
      <c r="J198" s="806"/>
      <c r="K198" s="806"/>
      <c r="L198" s="806"/>
      <c r="M198" s="806"/>
      <c r="N198" s="806"/>
      <c r="P198" s="807">
        <f t="shared" si="24"/>
        <v>0</v>
      </c>
    </row>
    <row r="199" spans="1:16" ht="28.5" customHeight="1" x14ac:dyDescent="0.2">
      <c r="A199" s="203">
        <v>2020</v>
      </c>
      <c r="B199" s="1115" t="str">
        <f>"per 31/12/"&amp;$J$13</f>
        <v>per 31/12/2020</v>
      </c>
      <c r="C199" s="1116"/>
      <c r="D199" s="1116"/>
      <c r="E199" s="1117"/>
      <c r="F199" s="313"/>
      <c r="G199" s="806">
        <f t="shared" si="23"/>
        <v>0</v>
      </c>
      <c r="H199" s="806">
        <f>SUMIFS(H$122:H$192,$B$122:$B$192,$B199)</f>
        <v>0</v>
      </c>
      <c r="I199" s="806">
        <f>SUMIFS(I$122:I$192,$B$122:$B$192,$B199)</f>
        <v>0</v>
      </c>
      <c r="J199" s="806">
        <f>SUMIFS(J$122:J$192,$B$122:$B$192,$B199)</f>
        <v>0</v>
      </c>
      <c r="K199" s="806"/>
      <c r="L199" s="806"/>
      <c r="M199" s="806"/>
      <c r="N199" s="806"/>
      <c r="P199" s="807">
        <f t="shared" si="24"/>
        <v>0</v>
      </c>
    </row>
    <row r="200" spans="1:16" ht="28.5" customHeight="1" x14ac:dyDescent="0.2">
      <c r="A200" s="203">
        <v>2021</v>
      </c>
      <c r="B200" s="1115" t="str">
        <f>"per 31/12/"&amp;$K$13</f>
        <v>per 31/12/2021</v>
      </c>
      <c r="C200" s="1116"/>
      <c r="D200" s="1116"/>
      <c r="E200" s="1117"/>
      <c r="F200" s="313"/>
      <c r="G200" s="806">
        <f t="shared" si="23"/>
        <v>0</v>
      </c>
      <c r="H200" s="806">
        <f>SUMIFS(H$122:H$192,$B$122:$B$192,$B200)</f>
        <v>0</v>
      </c>
      <c r="I200" s="806">
        <f>SUMIFS(I$122:I$192,$B$122:$B$192,$B200)</f>
        <v>0</v>
      </c>
      <c r="J200" s="806">
        <f>SUMIFS(J$122:J$192,$B$122:$B$192,$B200)</f>
        <v>0</v>
      </c>
      <c r="K200" s="806">
        <f>SUMIFS(K$122:K$192,$B$122:$B$192,$B200)</f>
        <v>0</v>
      </c>
      <c r="L200" s="806"/>
      <c r="M200" s="806"/>
      <c r="N200" s="806"/>
      <c r="P200" s="807">
        <f t="shared" si="24"/>
        <v>0</v>
      </c>
    </row>
    <row r="201" spans="1:16" ht="28.5" customHeight="1" x14ac:dyDescent="0.2">
      <c r="A201" s="203">
        <v>2022</v>
      </c>
      <c r="B201" s="1115" t="str">
        <f>"per 31/12/"&amp;$L$13</f>
        <v>per 31/12/2022</v>
      </c>
      <c r="C201" s="1116"/>
      <c r="D201" s="1116"/>
      <c r="E201" s="1117"/>
      <c r="F201" s="313"/>
      <c r="G201" s="806">
        <f t="shared" si="23"/>
        <v>0</v>
      </c>
      <c r="H201" s="806">
        <f>SUMIFS(H$122:H$192,$B$122:$B$192,$B201)</f>
        <v>0</v>
      </c>
      <c r="I201" s="806">
        <f>SUMIFS(I$122:I$192,$B$122:$B$192,$B201)</f>
        <v>0</v>
      </c>
      <c r="J201" s="806">
        <f>SUMIFS(J$122:J$192,$B$122:$B$192,$B201)</f>
        <v>0</v>
      </c>
      <c r="K201" s="806">
        <f>SUMIFS(K$122:K$192,$B$122:$B$192,$B201)</f>
        <v>0</v>
      </c>
      <c r="L201" s="806">
        <f>SUMIFS(L$122:L$192,$B$122:$B$192,$B201)</f>
        <v>0</v>
      </c>
      <c r="M201" s="806"/>
      <c r="N201" s="806"/>
      <c r="P201" s="807">
        <f t="shared" si="24"/>
        <v>0</v>
      </c>
    </row>
    <row r="202" spans="1:16" ht="28.5" customHeight="1" x14ac:dyDescent="0.2">
      <c r="A202" s="203">
        <v>2023</v>
      </c>
      <c r="B202" s="1115" t="str">
        <f>"per 31/12/"&amp;$M$13</f>
        <v>per 31/12/2023</v>
      </c>
      <c r="C202" s="1116"/>
      <c r="D202" s="1116"/>
      <c r="E202" s="1117"/>
      <c r="F202" s="313"/>
      <c r="G202" s="806"/>
      <c r="H202" s="806"/>
      <c r="I202" s="806"/>
      <c r="J202" s="806"/>
      <c r="K202" s="806">
        <f>SUMIFS(K$122:K$192,$B$122:$B$192,$B202)</f>
        <v>0</v>
      </c>
      <c r="L202" s="806">
        <f>SUMIFS(L$122:L$192,$B$122:$B$192,$B202)</f>
        <v>0</v>
      </c>
      <c r="M202" s="806">
        <f>SUMIFS(M$122:M$192,$B$122:$B$192,$B202)</f>
        <v>0</v>
      </c>
      <c r="N202" s="806"/>
      <c r="P202" s="807">
        <f t="shared" si="24"/>
        <v>0</v>
      </c>
    </row>
    <row r="203" spans="1:16" ht="28.5" customHeight="1" x14ac:dyDescent="0.2">
      <c r="A203" s="203">
        <v>2024</v>
      </c>
      <c r="B203" s="1115" t="str">
        <f>"per 31/12/"&amp;$N$13</f>
        <v>per 31/12/2024</v>
      </c>
      <c r="C203" s="1116"/>
      <c r="D203" s="1116"/>
      <c r="E203" s="1117"/>
      <c r="F203" s="313"/>
      <c r="G203" s="806"/>
      <c r="H203" s="806"/>
      <c r="I203" s="806"/>
      <c r="J203" s="806"/>
      <c r="K203" s="806"/>
      <c r="L203" s="806">
        <f>SUMIFS(L$122:L$192,$B$122:$B$192,$B203)</f>
        <v>0</v>
      </c>
      <c r="M203" s="806">
        <f>SUMIFS(M$122:M$192,$B$122:$B$192,$B203)</f>
        <v>0</v>
      </c>
      <c r="N203" s="806">
        <f>SUMIFS(N$122:N$192,$B$122:$B$192,$B203)</f>
        <v>0</v>
      </c>
      <c r="P203" s="807">
        <f t="shared" si="24"/>
        <v>0</v>
      </c>
    </row>
    <row r="204" spans="1:16" s="530" customFormat="1" x14ac:dyDescent="0.2">
      <c r="B204" s="1110" t="s">
        <v>108</v>
      </c>
      <c r="C204" s="1110"/>
      <c r="D204" s="1110"/>
      <c r="E204" s="1110"/>
      <c r="F204" s="216"/>
      <c r="G204" s="304">
        <f>IF($E$2="ex-ante",(INDEX(G$196:G$203,MATCH($D$2,$A$196:$A$203,0),1))-T6A!C94,IF($E$2="ex-post",(INDEX(G$196:G$203,MATCH($D$2,$A$196:$A$203,0),1))-T6A!C94+SUMIFS(T6A!C$100:C$107,T6A!$B$100:$B$107,$D$2+1),"FOUT"))</f>
        <v>0</v>
      </c>
      <c r="H204" s="304">
        <f>IF($E$2="ex-ante",(INDEX(H$196:H$203,MATCH($D$2,$A$196:$A$203,0),1))-T6A!D94,IF($E$2="ex-post",(INDEX(H$196:H$203,MATCH($D$2,$A$196:$A$203,0),1))-T6A!D94+SUMIFS(T6A!D$100:D$107,T6A!$B$100:$B$107,$D$2+1),"FOUT"))</f>
        <v>0</v>
      </c>
      <c r="I204" s="304">
        <f>IF($E$2="ex-ante",(INDEX(I$196:I$203,MATCH($D$2,$A$196:$A$203,0),1))-T6A!E94,IF($E$2="ex-post",(INDEX(I$196:I$203,MATCH($D$2,$A$196:$A$203,0),1))-T6A!E94+SUMIFS(T6A!E$100:E$107,T6A!$B$100:$B$107,$D$2+1),"FOUT"))</f>
        <v>0</v>
      </c>
      <c r="J204" s="304">
        <f>IF($E$2="ex-ante",(INDEX(J$196:J$203,MATCH($D$2,$A$196:$A$203,0),1))-T6A!F94,IF($E$2="ex-post",(INDEX(J$196:J$203,MATCH($D$2,$A$196:$A$203,0),1))-T6A!F94+SUMIFS(T6A!F$100:F$107,T6A!$B$100:$B$107,$D$2+1),"FOUT"))</f>
        <v>0</v>
      </c>
      <c r="K204" s="304">
        <f>IF($E$2="ex-ante",(INDEX(K$196:K$203,MATCH($D$2,$A$196:$A$203,0),1))-T6A!G94,IF($E$2="ex-post",(INDEX(K$196:K$203,MATCH($D$2,$A$196:$A$203,0),1))-T6A!G94+SUMIFS(T6A!G$100:G$107,T6A!$B$100:$B$107,$D$2+1),"FOUT"))</f>
        <v>0</v>
      </c>
      <c r="L204" s="304">
        <f>IF($E$2="ex-ante",(INDEX(L$196:L$203,MATCH($D$2,$A$196:$A$203,0),1))-T6A!H94,IF($E$2="ex-post",(INDEX(L$196:L$203,MATCH($D$2,$A$196:$A$203,0),1))-T6A!H94+SUMIFS(T6A!H$100:H$107,T6A!$B$100:$B$107,$D$2+1),"FOUT"))</f>
        <v>0</v>
      </c>
      <c r="M204" s="304">
        <f>IF($E$2="ex-ante",(INDEX(M$196:M$203,MATCH($D$2,$A$196:$A$203,0),1))-T6A!I94,IF($E$2="ex-post",(INDEX(M$196:M$203,MATCH($D$2,$A$196:$A$203,0),1))-T6A!I94+SUMIFS(T6A!I$100:I$107,T6A!$B$100:$B$107,$D$2+1),"FOUT"))</f>
        <v>0</v>
      </c>
      <c r="N204" s="304">
        <f>IF($E$2="ex-ante",(INDEX(N$196:N$203,MATCH($D$2,$A$196:$A$203,0),1))-T6A!J94,IF($E$2="ex-post",(INDEX(N$196:N$203,MATCH($D$2,$A$196:$A$203,0),1))-T6A!J94+SUMIFS(T6A!J$100:J$107,T6A!$B$100:$B$107,$D$2+1),"FOUT"))</f>
        <v>0</v>
      </c>
      <c r="O204" s="205"/>
      <c r="P204" s="304">
        <f>IF($E$2="ex-ante",(INDEX(P$196:P$203,MATCH($D$2,$A$196:$A$203,0),1))-T6A!L94,IF($E$2="ex-post",(INDEX(P$196:P$203,MATCH($D$2,$A$196:$A$203,0),1))-T6A!L94+SUMIFS(T6A!L$100:L$107,T6A!$B$100:$B$107,$D$2+1),"FOUT"))</f>
        <v>0</v>
      </c>
    </row>
    <row r="205" spans="1:16" x14ac:dyDescent="0.2">
      <c r="B205" s="305"/>
      <c r="C205" s="305"/>
      <c r="D205" s="305"/>
      <c r="E205" s="305"/>
      <c r="F205" s="306"/>
      <c r="G205" s="307"/>
      <c r="H205" s="307"/>
      <c r="I205" s="307"/>
      <c r="J205" s="307"/>
      <c r="K205" s="307"/>
      <c r="L205" s="307"/>
      <c r="M205" s="307"/>
      <c r="N205" s="307"/>
      <c r="P205" s="307"/>
    </row>
    <row r="206" spans="1:16" x14ac:dyDescent="0.2">
      <c r="B206" s="305"/>
      <c r="C206" s="305"/>
      <c r="D206" s="305"/>
      <c r="E206" s="305"/>
      <c r="F206" s="306"/>
      <c r="G206" s="307"/>
      <c r="H206" s="307"/>
      <c r="I206" s="307"/>
      <c r="J206" s="307"/>
      <c r="K206" s="307"/>
      <c r="L206" s="307"/>
      <c r="M206" s="307"/>
      <c r="N206" s="307"/>
      <c r="P206" s="307"/>
    </row>
    <row r="207" spans="1:16" x14ac:dyDescent="0.2">
      <c r="B207" s="305"/>
      <c r="C207" s="305"/>
      <c r="D207" s="305"/>
      <c r="E207" s="305"/>
      <c r="F207" s="306"/>
      <c r="G207" s="308" t="s">
        <v>32</v>
      </c>
      <c r="H207" s="307"/>
      <c r="I207" s="307"/>
      <c r="J207" s="307"/>
      <c r="K207" s="307"/>
      <c r="L207" s="307"/>
      <c r="M207" s="307"/>
      <c r="N207" s="307"/>
      <c r="P207" s="307"/>
    </row>
    <row r="208" spans="1:16" x14ac:dyDescent="0.2">
      <c r="G208" s="308" t="s">
        <v>33</v>
      </c>
      <c r="H208" s="307"/>
      <c r="I208" s="307"/>
      <c r="J208" s="307"/>
    </row>
    <row r="209" spans="2:16" ht="77.25" customHeight="1" x14ac:dyDescent="0.2">
      <c r="B209" s="1132" t="s">
        <v>65</v>
      </c>
      <c r="C209" s="1133"/>
      <c r="D209" s="1133"/>
      <c r="E209" s="1134"/>
      <c r="F209" s="167"/>
      <c r="G209" s="165" t="str">
        <f>"Afbouw van het regulatoir saldo inzake herindexering budget endogene kosten op te nemen in het toegelaten inkomen voor boekjaar "&amp;D2</f>
        <v>Afbouw van het regulatoir saldo inzake herindexering budget endogene kosten op te nemen in het toegelaten inkomen voor boekjaar 2022</v>
      </c>
      <c r="H209" s="307"/>
      <c r="I209" s="307"/>
      <c r="J209" s="307"/>
    </row>
    <row r="210" spans="2:16" x14ac:dyDescent="0.2">
      <c r="B210" s="320"/>
      <c r="C210" s="297"/>
      <c r="D210" s="297"/>
      <c r="E210" s="297"/>
      <c r="F210" s="298"/>
      <c r="G210" s="787"/>
      <c r="H210" s="307"/>
      <c r="I210" s="307"/>
      <c r="J210" s="307"/>
    </row>
    <row r="211" spans="2:16" ht="30" customHeight="1" x14ac:dyDescent="0.2">
      <c r="B211" s="1111" t="s">
        <v>369</v>
      </c>
      <c r="C211" s="1111"/>
      <c r="D211" s="1111"/>
      <c r="E211" s="1111"/>
      <c r="F211" s="167"/>
      <c r="G211" s="247">
        <f>+IF($B$7="elektriciteit",VLOOKUP(D2,B277:C280,2,FALSE)+VLOOKUP(D2,B300:C303,2,FALSE)+VLOOKUP(D2,B364:C367,2,FALSE)+VLOOKUP(D2,B412:C415,2,FALSE)+VLOOKUP(D2,B460:C463,2,FALSE)+VLOOKUP(D2,B579:C582,2,FALSE),IF($B$7="gas",VLOOKUP(D2,B277:C280,2,FALSE)+VLOOKUP(D2,B460:C463,2,FALSE),"FOUT"))</f>
        <v>0</v>
      </c>
      <c r="H211" s="307"/>
      <c r="I211" s="307"/>
      <c r="J211" s="307"/>
    </row>
    <row r="212" spans="2:16" ht="30" customHeight="1" x14ac:dyDescent="0.2">
      <c r="B212" s="1111" t="s">
        <v>353</v>
      </c>
      <c r="C212" s="1111"/>
      <c r="D212" s="1111"/>
      <c r="E212" s="1111"/>
      <c r="F212" s="167"/>
      <c r="G212" s="247">
        <f>+IF($B$7="elektriciteit",0,IF($B$7="gas",VLOOKUP(D2,B364:C367,2,FALSE),"FOUT"))</f>
        <v>0</v>
      </c>
      <c r="H212" s="307"/>
      <c r="I212" s="307"/>
      <c r="J212" s="307"/>
    </row>
    <row r="213" spans="2:16" ht="30" customHeight="1" x14ac:dyDescent="0.2">
      <c r="B213" s="1111" t="s">
        <v>354</v>
      </c>
      <c r="C213" s="1111"/>
      <c r="D213" s="1111"/>
      <c r="E213" s="1111"/>
      <c r="F213" s="167"/>
      <c r="G213" s="247">
        <f>VLOOKUP($D$2,B523:C526,2,FALSE)</f>
        <v>0</v>
      </c>
      <c r="H213" s="307"/>
      <c r="I213" s="307"/>
      <c r="J213" s="307"/>
    </row>
    <row r="214" spans="2:16" ht="30" customHeight="1" x14ac:dyDescent="0.2">
      <c r="B214" s="1111" t="s">
        <v>356</v>
      </c>
      <c r="C214" s="1111"/>
      <c r="D214" s="1111"/>
      <c r="E214" s="1111"/>
      <c r="F214" s="167"/>
      <c r="G214" s="247">
        <f>VLOOKUP($D$2,B642:C645,2,FALSE)</f>
        <v>0</v>
      </c>
      <c r="H214" s="307"/>
      <c r="I214" s="307"/>
      <c r="J214" s="307"/>
    </row>
    <row r="215" spans="2:16" x14ac:dyDescent="0.2">
      <c r="H215" s="307"/>
      <c r="I215" s="307"/>
      <c r="J215" s="307"/>
    </row>
    <row r="216" spans="2:16" x14ac:dyDescent="0.2">
      <c r="B216" s="1121" t="s">
        <v>22</v>
      </c>
      <c r="C216" s="1122"/>
      <c r="D216" s="1122"/>
      <c r="E216" s="1123"/>
      <c r="F216" s="181"/>
      <c r="G216" s="168">
        <f>SUM(G211:G214)</f>
        <v>0</v>
      </c>
      <c r="H216" s="307"/>
      <c r="I216" s="307"/>
      <c r="J216" s="307"/>
    </row>
    <row r="217" spans="2:16" x14ac:dyDescent="0.2">
      <c r="O217" s="206"/>
    </row>
    <row r="218" spans="2:16" x14ac:dyDescent="0.2">
      <c r="O218" s="206"/>
    </row>
    <row r="219" spans="2:16" x14ac:dyDescent="0.2">
      <c r="B219" s="321" t="s">
        <v>201</v>
      </c>
      <c r="C219" s="322"/>
      <c r="D219" s="322"/>
      <c r="E219" s="322"/>
      <c r="F219" s="323"/>
      <c r="G219" s="323"/>
      <c r="H219" s="323"/>
      <c r="I219" s="323"/>
      <c r="J219" s="323"/>
      <c r="K219" s="323"/>
      <c r="L219" s="323"/>
      <c r="M219" s="323"/>
      <c r="N219" s="323"/>
      <c r="O219" s="324"/>
      <c r="P219" s="323"/>
    </row>
    <row r="220" spans="2:16" x14ac:dyDescent="0.2">
      <c r="O220" s="206"/>
    </row>
    <row r="221" spans="2:16" x14ac:dyDescent="0.2">
      <c r="B221" s="273" t="s">
        <v>139</v>
      </c>
      <c r="F221" s="810">
        <v>2018</v>
      </c>
      <c r="O221" s="206"/>
    </row>
    <row r="222" spans="2:16" x14ac:dyDescent="0.2">
      <c r="O222" s="166"/>
    </row>
    <row r="223" spans="2:16" ht="102" customHeight="1" x14ac:dyDescent="0.2">
      <c r="B223" s="1101" t="s">
        <v>140</v>
      </c>
      <c r="C223" s="1102"/>
      <c r="D223" s="1102"/>
      <c r="E223" s="1103"/>
      <c r="F223" s="274"/>
      <c r="G223" s="165" t="str">
        <f>"Nog af te bouwen regulatoir saldo einde "&amp;F221-1</f>
        <v>Nog af te bouwen regulatoir saldo einde 2017</v>
      </c>
      <c r="H223" s="165" t="str">
        <f>"Afbouw oudste openstaande regulatoir saldo vanaf boekjaar "&amp;F221-2&amp;" en vroeger, door aanwending van compensatie met regulatoir saldo ontstaan over boekjaar "&amp;F221-1</f>
        <v>Afbouw oudste openstaande regulatoir saldo vanaf boekjaar 2016 en vroeger, door aanwending van compensatie met regulatoir saldo ontstaan over boekjaar 2017</v>
      </c>
      <c r="I223" s="165" t="str">
        <f>"Nog af te bouwen regulatoir saldo na compensatie einde "&amp;F221-1</f>
        <v>Nog af te bouwen regulatoir saldo na compensatie einde 2017</v>
      </c>
      <c r="J223" s="165" t="str">
        <f>"Aanwending van 50% van het geaccumuleerd regulatoir saldo door te rekenen volgens de tariefmethodologie in het boekjaar "&amp;F221</f>
        <v>Aanwending van 50% van het geaccumuleerd regulatoir saldo door te rekenen volgens de tariefmethodologie in het boekjaar 2018</v>
      </c>
      <c r="K223" s="165" t="str">
        <f>"Nog af te bouwen regulatoir saldo einde "&amp;F221</f>
        <v>Nog af te bouwen regulatoir saldo einde 2018</v>
      </c>
      <c r="L223" s="220"/>
      <c r="M223" s="220"/>
      <c r="N223" s="220"/>
      <c r="O223" s="166"/>
    </row>
    <row r="224" spans="2:16" x14ac:dyDescent="0.2">
      <c r="B224" s="1104">
        <v>2017</v>
      </c>
      <c r="C224" s="1105"/>
      <c r="D224" s="1105"/>
      <c r="E224" s="1106"/>
      <c r="F224" s="275"/>
      <c r="G224" s="521">
        <f>G122</f>
        <v>0</v>
      </c>
      <c r="H224" s="521">
        <v>0</v>
      </c>
      <c r="I224" s="521">
        <f>+G224+H224</f>
        <v>0</v>
      </c>
      <c r="J224" s="821">
        <f>-I224*0.5</f>
        <v>0</v>
      </c>
      <c r="K224" s="851">
        <f>+J224+G224</f>
        <v>0</v>
      </c>
      <c r="L224" s="812"/>
      <c r="M224" s="812"/>
      <c r="N224" s="812"/>
      <c r="O224" s="166"/>
    </row>
    <row r="225" spans="2:15" x14ac:dyDescent="0.2">
      <c r="O225" s="166"/>
    </row>
    <row r="226" spans="2:15" x14ac:dyDescent="0.2">
      <c r="B226" s="273" t="s">
        <v>139</v>
      </c>
      <c r="F226" s="810">
        <v>2019</v>
      </c>
      <c r="O226" s="206"/>
    </row>
    <row r="227" spans="2:15" x14ac:dyDescent="0.2">
      <c r="O227" s="206"/>
    </row>
    <row r="228" spans="2:15" ht="102" customHeight="1" x14ac:dyDescent="0.2">
      <c r="B228" s="1101" t="s">
        <v>140</v>
      </c>
      <c r="C228" s="1102"/>
      <c r="D228" s="1102"/>
      <c r="E228" s="1103"/>
      <c r="F228" s="274"/>
      <c r="G228" s="165" t="str">
        <f>"Nog af te bouwen regulatoir saldo einde "&amp;F226-1</f>
        <v>Nog af te bouwen regulatoir saldo einde 2018</v>
      </c>
      <c r="H228" s="165" t="str">
        <f>"Afbouw oudste openstaande regulatoir saldo vanaf boekjaar "&amp;F226-2&amp;" en vroeger, door aanwending van compensatie met regulatoir saldo ontstaan over boekjaar "&amp;F226-1</f>
        <v>Afbouw oudste openstaande regulatoir saldo vanaf boekjaar 2017 en vroeger, door aanwending van compensatie met regulatoir saldo ontstaan over boekjaar 2018</v>
      </c>
      <c r="I228" s="165" t="str">
        <f>"Nog af te bouwen regulatoir saldo na compensatie einde "&amp;F226-1</f>
        <v>Nog af te bouwen regulatoir saldo na compensatie einde 2018</v>
      </c>
      <c r="J228" s="213" t="str">
        <f>"Aanwending van 50% van het geaccumuleerd regulatoir saldo door te rekenen volgens de tariefmethodologie in het boekjaar "&amp;F226</f>
        <v>Aanwending van 50% van het geaccumuleerd regulatoir saldo door te rekenen volgens de tariefmethodologie in het boekjaar 2019</v>
      </c>
      <c r="K228" s="213" t="str">
        <f>"Aanwending van 50% van het geaccumuleerd regulatoir saldo door te rekenen volgens de tariefmethodologie in het boekjaar "&amp;F226</f>
        <v>Aanwending van 50% van het geaccumuleerd regulatoir saldo door te rekenen volgens de tariefmethodologie in het boekjaar 2019</v>
      </c>
      <c r="L228" s="165" t="str">
        <f>"Totale afbouw over "&amp;F226</f>
        <v>Totale afbouw over 2019</v>
      </c>
      <c r="M228" s="165" t="str">
        <f>"Nog af te bouwen regulatoir saldo einde "&amp;F226</f>
        <v>Nog af te bouwen regulatoir saldo einde 2019</v>
      </c>
      <c r="N228" s="206"/>
      <c r="O228" s="166"/>
    </row>
    <row r="229" spans="2:15" x14ac:dyDescent="0.2">
      <c r="B229" s="1104">
        <v>2017</v>
      </c>
      <c r="C229" s="1105"/>
      <c r="D229" s="1105"/>
      <c r="E229" s="1106"/>
      <c r="F229" s="275"/>
      <c r="G229" s="521">
        <f>K224</f>
        <v>0</v>
      </c>
      <c r="H229" s="521">
        <f>IF(SIGN(G230*K224)&lt;0,IF(G229&lt;&gt;0,-SIGN(G229)*MIN(ABS(G230),ABS(G229)),0),0)</f>
        <v>0</v>
      </c>
      <c r="I229" s="521">
        <f>+G229+H229</f>
        <v>0</v>
      </c>
      <c r="J229" s="852"/>
      <c r="K229" s="821">
        <f>-MIN(ABS(I229),ABS(J231))*SIGN(I229)</f>
        <v>0</v>
      </c>
      <c r="L229" s="813">
        <f>+K229+H229</f>
        <v>0</v>
      </c>
      <c r="M229" s="521">
        <f>+I229+K229</f>
        <v>0</v>
      </c>
      <c r="N229" s="206"/>
      <c r="O229" s="166"/>
    </row>
    <row r="230" spans="2:15" x14ac:dyDescent="0.2">
      <c r="B230" s="1104">
        <v>2018</v>
      </c>
      <c r="C230" s="1105"/>
      <c r="D230" s="1105"/>
      <c r="E230" s="1106"/>
      <c r="F230" s="275"/>
      <c r="G230" s="521">
        <f>+H123</f>
        <v>0</v>
      </c>
      <c r="H230" s="813">
        <f>IF(SIGN(G230*K224)&lt;0,-H229,0)</f>
        <v>0</v>
      </c>
      <c r="I230" s="521">
        <f>+G230+H230</f>
        <v>0</v>
      </c>
      <c r="J230" s="852"/>
      <c r="K230" s="821">
        <f>-MIN(ABS(I230),ABS(J231-K229))*SIGN(I230)</f>
        <v>0</v>
      </c>
      <c r="L230" s="813">
        <f>+K230+H230</f>
        <v>0</v>
      </c>
      <c r="M230" s="521">
        <f>+I230+K230</f>
        <v>0</v>
      </c>
      <c r="N230" s="206"/>
      <c r="O230" s="166"/>
    </row>
    <row r="231" spans="2:15" s="273" customFormat="1" x14ac:dyDescent="0.2">
      <c r="G231" s="168">
        <f>SUM(G229:G230)</f>
        <v>0</v>
      </c>
      <c r="H231" s="168">
        <f>SUM(H229:H230)</f>
        <v>0</v>
      </c>
      <c r="I231" s="168">
        <f>SUM(I229:I230)</f>
        <v>0</v>
      </c>
      <c r="J231" s="286">
        <f>-I231*0.5</f>
        <v>0</v>
      </c>
      <c r="K231" s="286">
        <f>SUM(K229:K230)</f>
        <v>0</v>
      </c>
      <c r="L231" s="528"/>
      <c r="M231" s="168">
        <f>SUM(M229:M230)</f>
        <v>0</v>
      </c>
    </row>
    <row r="232" spans="2:15" x14ac:dyDescent="0.2">
      <c r="O232" s="166"/>
    </row>
    <row r="233" spans="2:15" x14ac:dyDescent="0.2">
      <c r="B233" s="273" t="s">
        <v>139</v>
      </c>
      <c r="F233" s="810">
        <v>2020</v>
      </c>
      <c r="O233" s="166"/>
    </row>
    <row r="234" spans="2:15" x14ac:dyDescent="0.2">
      <c r="O234" s="166"/>
    </row>
    <row r="235" spans="2:15" ht="102" customHeight="1" x14ac:dyDescent="0.2">
      <c r="B235" s="1101" t="s">
        <v>140</v>
      </c>
      <c r="C235" s="1102"/>
      <c r="D235" s="1102"/>
      <c r="E235" s="1103"/>
      <c r="F235" s="274"/>
      <c r="G235" s="165" t="str">
        <f>"Nog af te bouwen regulatoir saldo einde "&amp;F233-1</f>
        <v>Nog af te bouwen regulatoir saldo einde 2019</v>
      </c>
      <c r="H235" s="165" t="str">
        <f>"Afbouw oudste openstaande regulatoir saldo vanaf boekjaar "&amp;F233-2&amp;" en vroeger, door aanwending van compensatie met regulatoir saldo ontstaan over boekjaar "&amp;F233-1</f>
        <v>Afbouw oudste openstaande regulatoir saldo vanaf boekjaar 2018 en vroeger, door aanwending van compensatie met regulatoir saldo ontstaan over boekjaar 2019</v>
      </c>
      <c r="I235" s="165" t="str">
        <f>"Nog af te bouwen regulatoir saldo na compensatie einde "&amp;F233-1</f>
        <v>Nog af te bouwen regulatoir saldo na compensatie einde 2019</v>
      </c>
      <c r="J235" s="213" t="str">
        <f>"Aanwending van 50% van het geaccumuleerd regulatoir saldo door te rekenen volgens de tariefmethodologie in het boekjaar "&amp;F233</f>
        <v>Aanwending van 50% van het geaccumuleerd regulatoir saldo door te rekenen volgens de tariefmethodologie in het boekjaar 2020</v>
      </c>
      <c r="K235" s="213" t="str">
        <f>"Aanwending van 50% van het geaccumuleerd regulatoir saldo door te rekenen volgens de tariefmethodologie in het boekjaar "&amp;F233</f>
        <v>Aanwending van 50% van het geaccumuleerd regulatoir saldo door te rekenen volgens de tariefmethodologie in het boekjaar 2020</v>
      </c>
      <c r="L235" s="165" t="str">
        <f>"Totale afbouw over "&amp;F233</f>
        <v>Totale afbouw over 2020</v>
      </c>
      <c r="M235" s="165" t="str">
        <f>"Nog af te bouwen regulatoir saldo einde "&amp;F233</f>
        <v>Nog af te bouwen regulatoir saldo einde 2020</v>
      </c>
      <c r="N235" s="206"/>
      <c r="O235" s="166"/>
    </row>
    <row r="236" spans="2:15" x14ac:dyDescent="0.2">
      <c r="B236" s="1104">
        <v>2017</v>
      </c>
      <c r="C236" s="1105"/>
      <c r="D236" s="1105"/>
      <c r="E236" s="1106"/>
      <c r="F236" s="275"/>
      <c r="G236" s="521">
        <f>+M229</f>
        <v>0</v>
      </c>
      <c r="H236" s="813">
        <f>IF(SIGN(G238*M231)&lt;0,IF(G236&lt;&gt;0,-SIGN(G236)*MIN(ABS(G238),ABS(G236)),0),0)</f>
        <v>0</v>
      </c>
      <c r="I236" s="521">
        <f>+G236+H236</f>
        <v>0</v>
      </c>
      <c r="J236" s="852"/>
      <c r="K236" s="821">
        <f>-MIN(ABS(I236),ABS(J239))*SIGN(I236)</f>
        <v>0</v>
      </c>
      <c r="L236" s="813">
        <f>+K236+H236</f>
        <v>0</v>
      </c>
      <c r="M236" s="521">
        <f>+I236+K236</f>
        <v>0</v>
      </c>
      <c r="N236" s="206"/>
      <c r="O236" s="166"/>
    </row>
    <row r="237" spans="2:15" x14ac:dyDescent="0.2">
      <c r="B237" s="1104">
        <v>2018</v>
      </c>
      <c r="C237" s="1105"/>
      <c r="D237" s="1105">
        <v>2016</v>
      </c>
      <c r="E237" s="1106"/>
      <c r="F237" s="275"/>
      <c r="G237" s="521">
        <f>+M230</f>
        <v>0</v>
      </c>
      <c r="H237" s="813">
        <f>IF(SIGN(G238*M231)&lt;0,IF(G237&lt;&gt;0,-SIGN(G237)*MIN(ABS(G238-H236),ABS(G237)),0),0)</f>
        <v>0</v>
      </c>
      <c r="I237" s="521">
        <f>+G237+H237</f>
        <v>0</v>
      </c>
      <c r="J237" s="852"/>
      <c r="K237" s="821">
        <f>-MIN(ABS(I237),ABS(J239-K236))*SIGN(I237)</f>
        <v>0</v>
      </c>
      <c r="L237" s="813">
        <f>+K237+H237</f>
        <v>0</v>
      </c>
      <c r="M237" s="521">
        <f>+I237+K237</f>
        <v>0</v>
      </c>
      <c r="N237" s="206"/>
      <c r="O237" s="166"/>
    </row>
    <row r="238" spans="2:15" x14ac:dyDescent="0.2">
      <c r="B238" s="1104">
        <v>2019</v>
      </c>
      <c r="C238" s="1105"/>
      <c r="D238" s="1105"/>
      <c r="E238" s="1106"/>
      <c r="F238" s="275"/>
      <c r="G238" s="521">
        <f>I124</f>
        <v>0</v>
      </c>
      <c r="H238" s="813">
        <f>IF(SIGN(G238*M231)&lt;0,-SUM(H236:H237),0)</f>
        <v>0</v>
      </c>
      <c r="I238" s="521">
        <f>+G238+H238</f>
        <v>0</v>
      </c>
      <c r="J238" s="852"/>
      <c r="K238" s="821">
        <f>-MIN(ABS(I238),ABS(J239-K236-K237))*SIGN(I238)</f>
        <v>0</v>
      </c>
      <c r="L238" s="813">
        <f>+K238+H238</f>
        <v>0</v>
      </c>
      <c r="M238" s="521">
        <f>+I238+K238</f>
        <v>0</v>
      </c>
      <c r="N238" s="206"/>
      <c r="O238" s="166"/>
    </row>
    <row r="239" spans="2:15" s="273" customFormat="1" x14ac:dyDescent="0.2">
      <c r="G239" s="168">
        <f>SUM(G236:G238)</f>
        <v>0</v>
      </c>
      <c r="H239" s="168">
        <f>SUM(H236:H238)</f>
        <v>0</v>
      </c>
      <c r="I239" s="168">
        <f>SUM(I236:I238)</f>
        <v>0</v>
      </c>
      <c r="J239" s="286">
        <f>-I239*0.5</f>
        <v>0</v>
      </c>
      <c r="K239" s="286">
        <f>SUM(K236:K238)</f>
        <v>0</v>
      </c>
      <c r="L239" s="528"/>
      <c r="M239" s="168">
        <f>SUM(M236:M238)</f>
        <v>0</v>
      </c>
    </row>
    <row r="240" spans="2:15" x14ac:dyDescent="0.2">
      <c r="O240" s="166"/>
    </row>
    <row r="241" spans="2:15" x14ac:dyDescent="0.2">
      <c r="B241" s="273" t="s">
        <v>139</v>
      </c>
      <c r="F241" s="810">
        <v>2021</v>
      </c>
      <c r="O241" s="166"/>
    </row>
    <row r="242" spans="2:15" x14ac:dyDescent="0.2">
      <c r="O242" s="166"/>
    </row>
    <row r="243" spans="2:15" ht="78" customHeight="1" x14ac:dyDescent="0.2">
      <c r="B243" s="1101" t="s">
        <v>140</v>
      </c>
      <c r="C243" s="1102"/>
      <c r="D243" s="1102"/>
      <c r="E243" s="1103"/>
      <c r="F243" s="274"/>
      <c r="G243" s="165" t="str">
        <f>"Nog af te bouwen regulatoir saldo einde "&amp;F241-1</f>
        <v>Nog af te bouwen regulatoir saldo einde 2020</v>
      </c>
      <c r="H243" s="165" t="str">
        <f>"50% van het oorspronkelijk regulatoir saldo door te rekenen volgens de tariefmethodologie in het boekjaar "&amp;F241</f>
        <v>50% van het oorspronkelijk regulatoir saldo door te rekenen volgens de tariefmethodologie in het boekjaar 2021</v>
      </c>
      <c r="I243" s="165" t="str">
        <f>"Nog af te bouwen regulatoir saldo einde "&amp;F241</f>
        <v>Nog af te bouwen regulatoir saldo einde 2021</v>
      </c>
      <c r="J243" s="206"/>
      <c r="O243" s="166"/>
    </row>
    <row r="244" spans="2:15" x14ac:dyDescent="0.2">
      <c r="B244" s="1104">
        <v>2017</v>
      </c>
      <c r="C244" s="1105"/>
      <c r="D244" s="1105"/>
      <c r="E244" s="1106"/>
      <c r="F244" s="275"/>
      <c r="G244" s="521">
        <f>+M236</f>
        <v>0</v>
      </c>
      <c r="H244" s="521">
        <f>-G244*0.5</f>
        <v>0</v>
      </c>
      <c r="I244" s="521">
        <f>+G244+H244</f>
        <v>0</v>
      </c>
      <c r="J244" s="206"/>
      <c r="O244" s="166"/>
    </row>
    <row r="245" spans="2:15" x14ac:dyDescent="0.2">
      <c r="B245" s="1104">
        <v>2018</v>
      </c>
      <c r="C245" s="1105"/>
      <c r="D245" s="1105"/>
      <c r="E245" s="1106"/>
      <c r="F245" s="275"/>
      <c r="G245" s="521">
        <f t="shared" ref="G245:G246" si="25">+M237</f>
        <v>0</v>
      </c>
      <c r="H245" s="521">
        <f t="shared" ref="H245:H247" si="26">-G245*0.5</f>
        <v>0</v>
      </c>
      <c r="I245" s="521">
        <f t="shared" ref="I245:I247" si="27">+G245+H245</f>
        <v>0</v>
      </c>
      <c r="J245" s="206"/>
      <c r="O245" s="166"/>
    </row>
    <row r="246" spans="2:15" x14ac:dyDescent="0.2">
      <c r="B246" s="1104">
        <v>2019</v>
      </c>
      <c r="C246" s="1105"/>
      <c r="D246" s="1105">
        <v>2016</v>
      </c>
      <c r="E246" s="1106"/>
      <c r="F246" s="275"/>
      <c r="G246" s="521">
        <f t="shared" si="25"/>
        <v>0</v>
      </c>
      <c r="H246" s="521">
        <f t="shared" si="26"/>
        <v>0</v>
      </c>
      <c r="I246" s="521">
        <f t="shared" si="27"/>
        <v>0</v>
      </c>
      <c r="J246" s="206"/>
      <c r="O246" s="166"/>
    </row>
    <row r="247" spans="2:15" x14ac:dyDescent="0.2">
      <c r="B247" s="1104">
        <v>2020</v>
      </c>
      <c r="C247" s="1105"/>
      <c r="D247" s="1105"/>
      <c r="E247" s="1106"/>
      <c r="F247" s="275"/>
      <c r="G247" s="521">
        <f>J125</f>
        <v>0</v>
      </c>
      <c r="H247" s="521">
        <f t="shared" si="26"/>
        <v>0</v>
      </c>
      <c r="I247" s="521">
        <f t="shared" si="27"/>
        <v>0</v>
      </c>
      <c r="J247" s="206"/>
      <c r="O247" s="166"/>
    </row>
    <row r="248" spans="2:15" s="273" customFormat="1" x14ac:dyDescent="0.2">
      <c r="G248" s="168">
        <f>SUM(G244:G247)</f>
        <v>0</v>
      </c>
      <c r="H248" s="168">
        <f>SUM(H244:H247)</f>
        <v>0</v>
      </c>
      <c r="I248" s="168">
        <f>SUM(I244:I247)</f>
        <v>0</v>
      </c>
    </row>
    <row r="249" spans="2:15" x14ac:dyDescent="0.2">
      <c r="G249" s="214"/>
      <c r="H249" s="214"/>
      <c r="I249" s="214"/>
      <c r="O249" s="166"/>
    </row>
    <row r="250" spans="2:15" x14ac:dyDescent="0.2">
      <c r="B250" s="273" t="s">
        <v>139</v>
      </c>
      <c r="F250" s="810">
        <v>2022</v>
      </c>
      <c r="O250" s="166"/>
    </row>
    <row r="251" spans="2:15" x14ac:dyDescent="0.2">
      <c r="O251" s="166"/>
    </row>
    <row r="252" spans="2:15" ht="78" customHeight="1" x14ac:dyDescent="0.2">
      <c r="B252" s="1101" t="s">
        <v>140</v>
      </c>
      <c r="C252" s="1102"/>
      <c r="D252" s="1102"/>
      <c r="E252" s="1103"/>
      <c r="F252" s="274"/>
      <c r="G252" s="165" t="str">
        <f>"Nog af te bouwen regulatoir saldo einde "&amp;F250-1</f>
        <v>Nog af te bouwen regulatoir saldo einde 2021</v>
      </c>
      <c r="H252" s="165" t="str">
        <f>"50% van het oorspronkelijk regulatoir saldo door te rekenen volgens de tariefmethodologie in het boekjaar "&amp;F250</f>
        <v>50% van het oorspronkelijk regulatoir saldo door te rekenen volgens de tariefmethodologie in het boekjaar 2022</v>
      </c>
      <c r="I252" s="165" t="str">
        <f>"Nog af te bouwen regulatoir saldo einde "&amp;F250</f>
        <v>Nog af te bouwen regulatoir saldo einde 2022</v>
      </c>
      <c r="J252" s="206"/>
      <c r="O252" s="166"/>
    </row>
    <row r="253" spans="2:15" x14ac:dyDescent="0.2">
      <c r="B253" s="1104">
        <v>2017</v>
      </c>
      <c r="C253" s="1105"/>
      <c r="D253" s="1105">
        <v>2016</v>
      </c>
      <c r="E253" s="1106"/>
      <c r="F253" s="275"/>
      <c r="G253" s="521">
        <f>+I244</f>
        <v>0</v>
      </c>
      <c r="H253" s="521">
        <f>-G244*0.5</f>
        <v>0</v>
      </c>
      <c r="I253" s="521">
        <f t="shared" ref="I253:I257" si="28">+G253+H253</f>
        <v>0</v>
      </c>
      <c r="J253" s="206"/>
      <c r="O253" s="166"/>
    </row>
    <row r="254" spans="2:15" x14ac:dyDescent="0.2">
      <c r="B254" s="1104">
        <v>2018</v>
      </c>
      <c r="C254" s="1105"/>
      <c r="D254" s="1105"/>
      <c r="E254" s="1106"/>
      <c r="F254" s="275"/>
      <c r="G254" s="521">
        <f t="shared" ref="G254:G256" si="29">+I245</f>
        <v>0</v>
      </c>
      <c r="H254" s="521">
        <f t="shared" ref="H254:H256" si="30">-G245*0.5</f>
        <v>0</v>
      </c>
      <c r="I254" s="521">
        <f t="shared" si="28"/>
        <v>0</v>
      </c>
      <c r="J254" s="206"/>
      <c r="O254" s="166"/>
    </row>
    <row r="255" spans="2:15" x14ac:dyDescent="0.2">
      <c r="B255" s="1104">
        <v>2019</v>
      </c>
      <c r="C255" s="1105"/>
      <c r="D255" s="1105"/>
      <c r="E255" s="1106"/>
      <c r="F255" s="275"/>
      <c r="G255" s="521">
        <f t="shared" si="29"/>
        <v>0</v>
      </c>
      <c r="H255" s="521">
        <f t="shared" si="30"/>
        <v>0</v>
      </c>
      <c r="I255" s="521">
        <f t="shared" ref="I255" si="31">+G255+H255</f>
        <v>0</v>
      </c>
      <c r="J255" s="206"/>
      <c r="O255" s="166"/>
    </row>
    <row r="256" spans="2:15" x14ac:dyDescent="0.2">
      <c r="B256" s="1104">
        <v>2020</v>
      </c>
      <c r="C256" s="1105"/>
      <c r="D256" s="1105"/>
      <c r="E256" s="1106"/>
      <c r="F256" s="275"/>
      <c r="G256" s="521">
        <f t="shared" si="29"/>
        <v>0</v>
      </c>
      <c r="H256" s="521">
        <f t="shared" si="30"/>
        <v>0</v>
      </c>
      <c r="I256" s="521">
        <f t="shared" si="28"/>
        <v>0</v>
      </c>
      <c r="J256" s="206"/>
      <c r="O256" s="166"/>
    </row>
    <row r="257" spans="2:15" x14ac:dyDescent="0.2">
      <c r="B257" s="1104">
        <v>2021</v>
      </c>
      <c r="C257" s="1105"/>
      <c r="D257" s="1105"/>
      <c r="E257" s="1106"/>
      <c r="F257" s="275"/>
      <c r="G257" s="521">
        <f>K126</f>
        <v>0</v>
      </c>
      <c r="H257" s="521">
        <f t="shared" ref="H257" si="32">-G257*0.5</f>
        <v>0</v>
      </c>
      <c r="I257" s="521">
        <f t="shared" si="28"/>
        <v>0</v>
      </c>
      <c r="J257" s="206"/>
      <c r="O257" s="166"/>
    </row>
    <row r="258" spans="2:15" s="273" customFormat="1" x14ac:dyDescent="0.2">
      <c r="G258" s="168">
        <f>SUM(G253:G257)</f>
        <v>0</v>
      </c>
      <c r="H258" s="168">
        <f>SUM(H253:H257)</f>
        <v>0</v>
      </c>
      <c r="I258" s="168">
        <f>SUM(I253:I257)</f>
        <v>0</v>
      </c>
    </row>
    <row r="259" spans="2:15" x14ac:dyDescent="0.2">
      <c r="O259" s="166"/>
    </row>
    <row r="260" spans="2:15" x14ac:dyDescent="0.2">
      <c r="B260" s="273" t="s">
        <v>139</v>
      </c>
      <c r="F260" s="810">
        <v>2023</v>
      </c>
      <c r="O260" s="166"/>
    </row>
    <row r="261" spans="2:15" x14ac:dyDescent="0.2">
      <c r="O261" s="166"/>
    </row>
    <row r="262" spans="2:15" ht="78" customHeight="1" x14ac:dyDescent="0.2">
      <c r="B262" s="1101" t="s">
        <v>140</v>
      </c>
      <c r="C262" s="1102"/>
      <c r="D262" s="1102"/>
      <c r="E262" s="1103"/>
      <c r="F262" s="274"/>
      <c r="G262" s="165" t="str">
        <f>"Nog af te bouwen regulatoir saldo einde "&amp;F260-1</f>
        <v>Nog af te bouwen regulatoir saldo einde 2022</v>
      </c>
      <c r="H262" s="165" t="str">
        <f>"50% van het oorspronkelijk regulatoir saldo door te rekenen volgens de tariefmethodologie in het boekjaar "&amp;F260</f>
        <v>50% van het oorspronkelijk regulatoir saldo door te rekenen volgens de tariefmethodologie in het boekjaar 2023</v>
      </c>
      <c r="I262" s="165" t="str">
        <f>"Nog af te bouwen regulatoir saldo einde "&amp;F260</f>
        <v>Nog af te bouwen regulatoir saldo einde 2023</v>
      </c>
      <c r="J262" s="206"/>
      <c r="O262" s="166"/>
    </row>
    <row r="263" spans="2:15" x14ac:dyDescent="0.2">
      <c r="B263" s="1104">
        <v>2021</v>
      </c>
      <c r="C263" s="1105"/>
      <c r="D263" s="1105"/>
      <c r="E263" s="1106"/>
      <c r="F263" s="275"/>
      <c r="G263" s="521">
        <f>+I257</f>
        <v>0</v>
      </c>
      <c r="H263" s="521">
        <f>-G257*0.5</f>
        <v>0</v>
      </c>
      <c r="I263" s="521">
        <f t="shared" ref="I263:I264" si="33">+G263+H263</f>
        <v>0</v>
      </c>
      <c r="J263" s="206"/>
      <c r="O263" s="166"/>
    </row>
    <row r="264" spans="2:15" x14ac:dyDescent="0.2">
      <c r="B264" s="1104">
        <v>2022</v>
      </c>
      <c r="C264" s="1105"/>
      <c r="D264" s="1105"/>
      <c r="E264" s="1106"/>
      <c r="F264" s="275"/>
      <c r="G264" s="521">
        <f>L127</f>
        <v>0</v>
      </c>
      <c r="H264" s="521">
        <f t="shared" ref="H264" si="34">-G264*0.5</f>
        <v>0</v>
      </c>
      <c r="I264" s="521">
        <f t="shared" si="33"/>
        <v>0</v>
      </c>
      <c r="J264" s="206"/>
      <c r="O264" s="166"/>
    </row>
    <row r="265" spans="2:15" s="273" customFormat="1" x14ac:dyDescent="0.2">
      <c r="G265" s="168">
        <f>SUM(G263:G264)</f>
        <v>0</v>
      </c>
      <c r="H265" s="168">
        <f>SUM(H263:H264)</f>
        <v>0</v>
      </c>
      <c r="I265" s="168">
        <f>SUM(I263:I264)</f>
        <v>0</v>
      </c>
    </row>
    <row r="266" spans="2:15" x14ac:dyDescent="0.2">
      <c r="O266" s="166"/>
    </row>
    <row r="267" spans="2:15" x14ac:dyDescent="0.2">
      <c r="B267" s="273" t="s">
        <v>139</v>
      </c>
      <c r="F267" s="810">
        <v>2024</v>
      </c>
      <c r="O267" s="166"/>
    </row>
    <row r="268" spans="2:15" x14ac:dyDescent="0.2">
      <c r="O268" s="166"/>
    </row>
    <row r="269" spans="2:15" ht="78" customHeight="1" x14ac:dyDescent="0.2">
      <c r="B269" s="1101" t="s">
        <v>140</v>
      </c>
      <c r="C269" s="1102"/>
      <c r="D269" s="1102"/>
      <c r="E269" s="1103"/>
      <c r="F269" s="274"/>
      <c r="G269" s="165" t="str">
        <f>"Nog af te bouwen regulatoir saldo einde "&amp;F267-1</f>
        <v>Nog af te bouwen regulatoir saldo einde 2023</v>
      </c>
      <c r="H269" s="165" t="str">
        <f>"50% van het oorspronkelijk regulatoir saldo door te rekenen volgens de tariefmethodologie in het boekjaar "&amp;F267</f>
        <v>50% van het oorspronkelijk regulatoir saldo door te rekenen volgens de tariefmethodologie in het boekjaar 2024</v>
      </c>
      <c r="I269" s="165" t="str">
        <f>"Nog af te bouwen regulatoir saldo einde "&amp;F267</f>
        <v>Nog af te bouwen regulatoir saldo einde 2024</v>
      </c>
      <c r="J269" s="206"/>
      <c r="O269" s="166"/>
    </row>
    <row r="270" spans="2:15" x14ac:dyDescent="0.2">
      <c r="B270" s="1104">
        <v>2022</v>
      </c>
      <c r="C270" s="1105"/>
      <c r="D270" s="1105"/>
      <c r="E270" s="1106"/>
      <c r="F270" s="275"/>
      <c r="G270" s="521">
        <f>+I264</f>
        <v>0</v>
      </c>
      <c r="H270" s="521">
        <f>-G264*0.5</f>
        <v>0</v>
      </c>
      <c r="I270" s="521">
        <f t="shared" ref="I270:I271" si="35">+G270+H270</f>
        <v>0</v>
      </c>
      <c r="J270" s="206"/>
      <c r="O270" s="166"/>
    </row>
    <row r="271" spans="2:15" x14ac:dyDescent="0.2">
      <c r="B271" s="1104">
        <v>2023</v>
      </c>
      <c r="C271" s="1105"/>
      <c r="D271" s="1105"/>
      <c r="E271" s="1106"/>
      <c r="F271" s="275"/>
      <c r="G271" s="521">
        <f>+M128</f>
        <v>0</v>
      </c>
      <c r="H271" s="521">
        <f t="shared" ref="H271" si="36">-G271*0.5</f>
        <v>0</v>
      </c>
      <c r="I271" s="521">
        <f t="shared" si="35"/>
        <v>0</v>
      </c>
      <c r="J271" s="206"/>
      <c r="O271" s="166"/>
    </row>
    <row r="272" spans="2:15" s="273" customFormat="1" x14ac:dyDescent="0.2">
      <c r="G272" s="168">
        <f>SUM(G270:G271)</f>
        <v>0</v>
      </c>
      <c r="H272" s="168">
        <f>SUM(H270:H271)</f>
        <v>0</v>
      </c>
      <c r="I272" s="168">
        <f>SUM(I270:I271)</f>
        <v>0</v>
      </c>
    </row>
    <row r="273" spans="2:16" s="727" customFormat="1" x14ac:dyDescent="0.2">
      <c r="B273" s="273"/>
      <c r="C273" s="216"/>
      <c r="D273" s="216"/>
      <c r="E273" s="216"/>
      <c r="F273" s="166"/>
      <c r="G273" s="166"/>
      <c r="H273" s="166"/>
      <c r="I273" s="166"/>
    </row>
    <row r="274" spans="2:16" x14ac:dyDescent="0.2">
      <c r="B274" s="273" t="s">
        <v>201</v>
      </c>
      <c r="O274" s="166"/>
    </row>
    <row r="275" spans="2:16" x14ac:dyDescent="0.2">
      <c r="B275" s="273" t="s">
        <v>141</v>
      </c>
      <c r="C275" s="216"/>
      <c r="D275" s="216"/>
      <c r="E275" s="216"/>
      <c r="O275" s="166"/>
    </row>
    <row r="276" spans="2:16" x14ac:dyDescent="0.2">
      <c r="B276" s="273"/>
      <c r="C276" s="216"/>
      <c r="D276" s="216"/>
      <c r="E276" s="216"/>
      <c r="O276" s="166"/>
    </row>
    <row r="277" spans="2:16" x14ac:dyDescent="0.2">
      <c r="B277" s="275">
        <f>F241</f>
        <v>2021</v>
      </c>
      <c r="C277" s="279">
        <f>+H248</f>
        <v>0</v>
      </c>
      <c r="D277" s="216"/>
      <c r="E277" s="216"/>
      <c r="O277" s="166"/>
    </row>
    <row r="278" spans="2:16" x14ac:dyDescent="0.2">
      <c r="B278" s="275">
        <v>2022</v>
      </c>
      <c r="C278" s="279">
        <f>+H258</f>
        <v>0</v>
      </c>
      <c r="D278" s="216"/>
      <c r="E278" s="216"/>
      <c r="O278" s="166"/>
    </row>
    <row r="279" spans="2:16" x14ac:dyDescent="0.2">
      <c r="B279" s="275">
        <v>2023</v>
      </c>
      <c r="C279" s="279">
        <f>+H265</f>
        <v>0</v>
      </c>
      <c r="D279" s="216"/>
      <c r="E279" s="216"/>
      <c r="O279" s="166"/>
    </row>
    <row r="280" spans="2:16" x14ac:dyDescent="0.2">
      <c r="B280" s="275">
        <v>2024</v>
      </c>
      <c r="C280" s="279">
        <f>+H272</f>
        <v>0</v>
      </c>
      <c r="D280" s="216"/>
      <c r="E280" s="216"/>
      <c r="O280" s="166"/>
    </row>
    <row r="281" spans="2:16" x14ac:dyDescent="0.2">
      <c r="O281" s="206"/>
    </row>
    <row r="282" spans="2:16" x14ac:dyDescent="0.2">
      <c r="O282" s="206"/>
    </row>
    <row r="283" spans="2:16" x14ac:dyDescent="0.2">
      <c r="B283" s="321" t="s">
        <v>347</v>
      </c>
      <c r="C283" s="322"/>
      <c r="D283" s="322"/>
      <c r="E283" s="322"/>
      <c r="F283" s="323"/>
      <c r="G283" s="323"/>
      <c r="H283" s="323"/>
      <c r="I283" s="323"/>
      <c r="J283" s="323"/>
      <c r="K283" s="323"/>
      <c r="L283" s="323"/>
      <c r="M283" s="323"/>
      <c r="N283" s="323"/>
      <c r="O283" s="324"/>
      <c r="P283" s="323"/>
    </row>
    <row r="284" spans="2:16" x14ac:dyDescent="0.2">
      <c r="O284" s="206"/>
    </row>
    <row r="285" spans="2:16" x14ac:dyDescent="0.2">
      <c r="B285" s="273" t="s">
        <v>139</v>
      </c>
      <c r="F285" s="810">
        <v>2023</v>
      </c>
      <c r="O285" s="166"/>
    </row>
    <row r="286" spans="2:16" x14ac:dyDescent="0.2">
      <c r="O286" s="166"/>
    </row>
    <row r="287" spans="2:16" ht="78" customHeight="1" x14ac:dyDescent="0.2">
      <c r="B287" s="1101" t="s">
        <v>140</v>
      </c>
      <c r="C287" s="1102"/>
      <c r="D287" s="1102"/>
      <c r="E287" s="1103"/>
      <c r="F287" s="274"/>
      <c r="G287" s="165" t="str">
        <f>"Nog af te bouwen regulatoir saldo einde "&amp;F285-1</f>
        <v>Nog af te bouwen regulatoir saldo einde 2022</v>
      </c>
      <c r="H287" s="165" t="str">
        <f>"50% van het oorspronkelijk regulatoir saldo door te rekenen volgens de tariefmethodologie in het boekjaar "&amp;F285</f>
        <v>50% van het oorspronkelijk regulatoir saldo door te rekenen volgens de tariefmethodologie in het boekjaar 2023</v>
      </c>
      <c r="I287" s="165" t="str">
        <f>"Nog af te bouwen regulatoir saldo einde "&amp;F285</f>
        <v>Nog af te bouwen regulatoir saldo einde 2023</v>
      </c>
      <c r="J287" s="206"/>
      <c r="O287" s="166"/>
    </row>
    <row r="288" spans="2:16" x14ac:dyDescent="0.2">
      <c r="B288" s="1104">
        <v>2022</v>
      </c>
      <c r="C288" s="1105"/>
      <c r="D288" s="1105"/>
      <c r="E288" s="1106"/>
      <c r="F288" s="275"/>
      <c r="G288" s="521">
        <f>+L136</f>
        <v>0</v>
      </c>
      <c r="H288" s="521">
        <f t="shared" ref="H288" si="37">-G288*0.5</f>
        <v>0</v>
      </c>
      <c r="I288" s="521">
        <f t="shared" ref="I288" si="38">+G288+H288</f>
        <v>0</v>
      </c>
      <c r="J288" s="206"/>
      <c r="O288" s="166"/>
    </row>
    <row r="289" spans="2:15" s="273" customFormat="1" x14ac:dyDescent="0.2">
      <c r="G289" s="168">
        <f>SUM(G288:G288)</f>
        <v>0</v>
      </c>
      <c r="H289" s="168">
        <f>SUM(H288:H288)</f>
        <v>0</v>
      </c>
      <c r="I289" s="168">
        <f>SUM(I288:I288)</f>
        <v>0</v>
      </c>
    </row>
    <row r="290" spans="2:15" x14ac:dyDescent="0.2">
      <c r="O290" s="166"/>
    </row>
    <row r="291" spans="2:15" x14ac:dyDescent="0.2">
      <c r="B291" s="273" t="s">
        <v>139</v>
      </c>
      <c r="F291" s="810">
        <v>2024</v>
      </c>
      <c r="O291" s="166"/>
    </row>
    <row r="292" spans="2:15" x14ac:dyDescent="0.2">
      <c r="O292" s="166"/>
    </row>
    <row r="293" spans="2:15" ht="78" customHeight="1" x14ac:dyDescent="0.2">
      <c r="B293" s="1101" t="s">
        <v>140</v>
      </c>
      <c r="C293" s="1102"/>
      <c r="D293" s="1102"/>
      <c r="E293" s="1103"/>
      <c r="F293" s="274"/>
      <c r="G293" s="165" t="str">
        <f>"Nog af te bouwen regulatoir saldo einde "&amp;F291-1</f>
        <v>Nog af te bouwen regulatoir saldo einde 2023</v>
      </c>
      <c r="H293" s="165" t="str">
        <f>"50% van het oorspronkelijk regulatoir saldo door te rekenen volgens de tariefmethodologie in het boekjaar "&amp;F291</f>
        <v>50% van het oorspronkelijk regulatoir saldo door te rekenen volgens de tariefmethodologie in het boekjaar 2024</v>
      </c>
      <c r="I293" s="165" t="str">
        <f>"Nog af te bouwen regulatoir saldo einde "&amp;F291</f>
        <v>Nog af te bouwen regulatoir saldo einde 2024</v>
      </c>
      <c r="J293" s="206"/>
      <c r="O293" s="166"/>
    </row>
    <row r="294" spans="2:15" x14ac:dyDescent="0.2">
      <c r="B294" s="1104">
        <v>2022</v>
      </c>
      <c r="C294" s="1105"/>
      <c r="D294" s="1105"/>
      <c r="E294" s="1106"/>
      <c r="F294" s="275"/>
      <c r="G294" s="521">
        <f>+I288</f>
        <v>0</v>
      </c>
      <c r="H294" s="521">
        <f>-G288*0.5</f>
        <v>0</v>
      </c>
      <c r="I294" s="521">
        <f t="shared" ref="I294:I295" si="39">+G294+H294</f>
        <v>0</v>
      </c>
      <c r="J294" s="206"/>
      <c r="O294" s="166"/>
    </row>
    <row r="295" spans="2:15" x14ac:dyDescent="0.2">
      <c r="B295" s="1104">
        <v>2023</v>
      </c>
      <c r="C295" s="1105"/>
      <c r="D295" s="1105"/>
      <c r="E295" s="1106"/>
      <c r="F295" s="275"/>
      <c r="G295" s="521">
        <f>+M137</f>
        <v>0</v>
      </c>
      <c r="H295" s="521">
        <f t="shared" ref="H295" si="40">-G295*0.5</f>
        <v>0</v>
      </c>
      <c r="I295" s="521">
        <f t="shared" si="39"/>
        <v>0</v>
      </c>
      <c r="J295" s="206"/>
      <c r="O295" s="166"/>
    </row>
    <row r="296" spans="2:15" s="273" customFormat="1" x14ac:dyDescent="0.2">
      <c r="G296" s="168">
        <f>SUM(G294:G295)</f>
        <v>0</v>
      </c>
      <c r="H296" s="168">
        <f>SUM(H294:H295)</f>
        <v>0</v>
      </c>
      <c r="I296" s="168">
        <f>SUM(I294:I295)</f>
        <v>0</v>
      </c>
    </row>
    <row r="297" spans="2:15" x14ac:dyDescent="0.2">
      <c r="B297" s="273" t="s">
        <v>347</v>
      </c>
      <c r="C297" s="216"/>
      <c r="D297" s="216"/>
      <c r="E297" s="216"/>
      <c r="O297" s="166"/>
    </row>
    <row r="298" spans="2:15" x14ac:dyDescent="0.2">
      <c r="B298" s="273" t="s">
        <v>141</v>
      </c>
      <c r="C298" s="216"/>
      <c r="D298" s="216"/>
      <c r="E298" s="216"/>
      <c r="O298" s="166"/>
    </row>
    <row r="299" spans="2:15" x14ac:dyDescent="0.2">
      <c r="B299" s="273"/>
      <c r="C299" s="216"/>
      <c r="D299" s="216"/>
      <c r="E299" s="216"/>
      <c r="O299" s="166"/>
    </row>
    <row r="300" spans="2:15" x14ac:dyDescent="0.2">
      <c r="B300" s="336">
        <v>2021</v>
      </c>
      <c r="C300" s="337">
        <v>0</v>
      </c>
      <c r="D300" s="216"/>
      <c r="E300" s="216"/>
      <c r="O300" s="166"/>
    </row>
    <row r="301" spans="2:15" x14ac:dyDescent="0.2">
      <c r="B301" s="336">
        <v>2022</v>
      </c>
      <c r="C301" s="337">
        <v>0</v>
      </c>
      <c r="D301" s="216"/>
      <c r="E301" s="216"/>
      <c r="O301" s="166"/>
    </row>
    <row r="302" spans="2:15" x14ac:dyDescent="0.2">
      <c r="B302" s="275">
        <v>2023</v>
      </c>
      <c r="C302" s="279">
        <f>+H289</f>
        <v>0</v>
      </c>
      <c r="D302" s="216"/>
      <c r="E302" s="216"/>
      <c r="O302" s="166"/>
    </row>
    <row r="303" spans="2:15" x14ac:dyDescent="0.2">
      <c r="B303" s="275">
        <v>2024</v>
      </c>
      <c r="C303" s="279">
        <f>+H296</f>
        <v>0</v>
      </c>
      <c r="D303" s="216"/>
      <c r="E303" s="216"/>
      <c r="O303" s="166"/>
    </row>
    <row r="304" spans="2:15" x14ac:dyDescent="0.2">
      <c r="O304" s="166"/>
    </row>
    <row r="305" spans="2:16" x14ac:dyDescent="0.2">
      <c r="O305" s="166"/>
    </row>
    <row r="306" spans="2:16" x14ac:dyDescent="0.2">
      <c r="B306" s="321" t="s">
        <v>66</v>
      </c>
      <c r="C306" s="322"/>
      <c r="D306" s="322"/>
      <c r="E306" s="322"/>
      <c r="F306" s="323"/>
      <c r="G306" s="323"/>
      <c r="H306" s="323"/>
      <c r="I306" s="323"/>
      <c r="J306" s="323"/>
      <c r="K306" s="323"/>
      <c r="L306" s="323"/>
      <c r="M306" s="323"/>
      <c r="N306" s="323"/>
      <c r="O306" s="324"/>
      <c r="P306" s="323"/>
    </row>
    <row r="307" spans="2:16" x14ac:dyDescent="0.2">
      <c r="O307" s="206"/>
    </row>
    <row r="308" spans="2:16" x14ac:dyDescent="0.2">
      <c r="B308" s="273" t="s">
        <v>139</v>
      </c>
      <c r="F308" s="810">
        <v>2018</v>
      </c>
      <c r="O308" s="206"/>
    </row>
    <row r="309" spans="2:16" x14ac:dyDescent="0.2">
      <c r="O309" s="166"/>
    </row>
    <row r="310" spans="2:16" ht="102" customHeight="1" x14ac:dyDescent="0.2">
      <c r="B310" s="1101" t="s">
        <v>140</v>
      </c>
      <c r="C310" s="1102"/>
      <c r="D310" s="1102"/>
      <c r="E310" s="1103"/>
      <c r="F310" s="274"/>
      <c r="G310" s="165" t="str">
        <f>"Nog af te bouwen regulatoir saldo einde "&amp;F308-1</f>
        <v>Nog af te bouwen regulatoir saldo einde 2017</v>
      </c>
      <c r="H310" s="165" t="str">
        <f>"Afbouw oudste openstaande regulatoir saldo vanaf boekjaar "&amp;F308-2&amp;" en vroeger, door aanwending van compensatie met regulatoir saldo ontstaan over boekjaar "&amp;F308-1</f>
        <v>Afbouw oudste openstaande regulatoir saldo vanaf boekjaar 2016 en vroeger, door aanwending van compensatie met regulatoir saldo ontstaan over boekjaar 2017</v>
      </c>
      <c r="I310" s="165" t="str">
        <f>"Nog af te bouwen regulatoir saldo na compensatie einde "&amp;F308-1</f>
        <v>Nog af te bouwen regulatoir saldo na compensatie einde 2017</v>
      </c>
      <c r="J310" s="165" t="str">
        <f>"Aanwending van 50% van het geaccumuleerd regulatoir saldo door te rekenen volgens de tariefmethodologie in het boekjaar "&amp;F308</f>
        <v>Aanwending van 50% van het geaccumuleerd regulatoir saldo door te rekenen volgens de tariefmethodologie in het boekjaar 2018</v>
      </c>
      <c r="K310" s="165" t="str">
        <f>"Nog af te bouwen regulatoir saldo einde "&amp;F308</f>
        <v>Nog af te bouwen regulatoir saldo einde 2018</v>
      </c>
      <c r="L310" s="220"/>
      <c r="M310" s="220"/>
      <c r="N310" s="220"/>
      <c r="O310" s="166"/>
    </row>
    <row r="311" spans="2:16" x14ac:dyDescent="0.2">
      <c r="B311" s="1104">
        <v>2017</v>
      </c>
      <c r="C311" s="1105"/>
      <c r="D311" s="1105"/>
      <c r="E311" s="1106"/>
      <c r="F311" s="275"/>
      <c r="G311" s="521">
        <f>G140</f>
        <v>0</v>
      </c>
      <c r="H311" s="521">
        <v>0</v>
      </c>
      <c r="I311" s="521">
        <f>+G311+H311</f>
        <v>0</v>
      </c>
      <c r="J311" s="821">
        <f>-I311*0.5</f>
        <v>0</v>
      </c>
      <c r="K311" s="851">
        <f>+J311+G311</f>
        <v>0</v>
      </c>
      <c r="L311" s="812"/>
      <c r="M311" s="812"/>
      <c r="N311" s="812"/>
      <c r="O311" s="166"/>
    </row>
    <row r="312" spans="2:16" x14ac:dyDescent="0.2">
      <c r="O312" s="166"/>
    </row>
    <row r="313" spans="2:16" x14ac:dyDescent="0.2">
      <c r="B313" s="273" t="s">
        <v>139</v>
      </c>
      <c r="F313" s="810">
        <v>2019</v>
      </c>
      <c r="O313" s="206"/>
    </row>
    <row r="314" spans="2:16" x14ac:dyDescent="0.2">
      <c r="O314" s="206"/>
    </row>
    <row r="315" spans="2:16" ht="102" customHeight="1" x14ac:dyDescent="0.2">
      <c r="B315" s="1101" t="s">
        <v>140</v>
      </c>
      <c r="C315" s="1102"/>
      <c r="D315" s="1102"/>
      <c r="E315" s="1103"/>
      <c r="F315" s="274"/>
      <c r="G315" s="165" t="str">
        <f>"Nog af te bouwen regulatoir saldo einde "&amp;F313-1</f>
        <v>Nog af te bouwen regulatoir saldo einde 2018</v>
      </c>
      <c r="H315" s="165" t="str">
        <f>"Afbouw oudste openstaande regulatoir saldo vanaf boekjaar "&amp;F313-2&amp;" en vroeger, door aanwending van compensatie met regulatoir saldo ontstaan over boekjaar "&amp;F313-1</f>
        <v>Afbouw oudste openstaande regulatoir saldo vanaf boekjaar 2017 en vroeger, door aanwending van compensatie met regulatoir saldo ontstaan over boekjaar 2018</v>
      </c>
      <c r="I315" s="165" t="str">
        <f>"Nog af te bouwen regulatoir saldo na compensatie einde "&amp;F313-1</f>
        <v>Nog af te bouwen regulatoir saldo na compensatie einde 2018</v>
      </c>
      <c r="J315" s="213" t="str">
        <f>"Aanwending van 50% van het geaccumuleerd regulatoir saldo door te rekenen volgens de tariefmethodologie in het boekjaar "&amp;F313</f>
        <v>Aanwending van 50% van het geaccumuleerd regulatoir saldo door te rekenen volgens de tariefmethodologie in het boekjaar 2019</v>
      </c>
      <c r="K315" s="213" t="str">
        <f>"Aanwending van 50% van het geaccumuleerd regulatoir saldo door te rekenen volgens de tariefmethodologie in het boekjaar "&amp;F313</f>
        <v>Aanwending van 50% van het geaccumuleerd regulatoir saldo door te rekenen volgens de tariefmethodologie in het boekjaar 2019</v>
      </c>
      <c r="L315" s="165" t="str">
        <f>"Totale afbouw over "&amp;F313</f>
        <v>Totale afbouw over 2019</v>
      </c>
      <c r="M315" s="165" t="str">
        <f>"Nog af te bouwen regulatoir saldo einde "&amp;F313</f>
        <v>Nog af te bouwen regulatoir saldo einde 2019</v>
      </c>
      <c r="N315" s="206"/>
      <c r="O315" s="166"/>
    </row>
    <row r="316" spans="2:16" x14ac:dyDescent="0.2">
      <c r="B316" s="1104">
        <v>2017</v>
      </c>
      <c r="C316" s="1105"/>
      <c r="D316" s="1105"/>
      <c r="E316" s="1106"/>
      <c r="F316" s="275"/>
      <c r="G316" s="521">
        <f>K311</f>
        <v>0</v>
      </c>
      <c r="H316" s="521">
        <f>IF(SIGN(G317*K311)&lt;0,IF(G316&lt;&gt;0,-SIGN(G316)*MIN(ABS(G317),ABS(G316)),0),0)</f>
        <v>0</v>
      </c>
      <c r="I316" s="521">
        <f>+G316+H316</f>
        <v>0</v>
      </c>
      <c r="J316" s="852"/>
      <c r="K316" s="821">
        <f>-MIN(ABS(I316),ABS(J318))*SIGN(I316)</f>
        <v>0</v>
      </c>
      <c r="L316" s="813">
        <f>+K316+H316</f>
        <v>0</v>
      </c>
      <c r="M316" s="521">
        <f>+I316+K316</f>
        <v>0</v>
      </c>
      <c r="N316" s="206"/>
      <c r="O316" s="166"/>
    </row>
    <row r="317" spans="2:16" x14ac:dyDescent="0.2">
      <c r="B317" s="1104">
        <v>2018</v>
      </c>
      <c r="C317" s="1105"/>
      <c r="D317" s="1105"/>
      <c r="E317" s="1106"/>
      <c r="F317" s="275"/>
      <c r="G317" s="521">
        <f>+H141</f>
        <v>0</v>
      </c>
      <c r="H317" s="813">
        <f>IF(SIGN(G317*K311)&lt;0,-H316,0)</f>
        <v>0</v>
      </c>
      <c r="I317" s="521">
        <f>+G317+H317</f>
        <v>0</v>
      </c>
      <c r="J317" s="852"/>
      <c r="K317" s="821">
        <f>-MIN(ABS(I317),ABS(J318-K316))*SIGN(I317)</f>
        <v>0</v>
      </c>
      <c r="L317" s="813">
        <f>+K317+H317</f>
        <v>0</v>
      </c>
      <c r="M317" s="521">
        <f>+I317+K317</f>
        <v>0</v>
      </c>
      <c r="N317" s="206"/>
      <c r="O317" s="166"/>
    </row>
    <row r="318" spans="2:16" s="273" customFormat="1" x14ac:dyDescent="0.2">
      <c r="G318" s="168">
        <f>SUM(G316:G317)</f>
        <v>0</v>
      </c>
      <c r="H318" s="168">
        <f>SUM(H316:H317)</f>
        <v>0</v>
      </c>
      <c r="I318" s="168">
        <f>SUM(I316:I317)</f>
        <v>0</v>
      </c>
      <c r="J318" s="286">
        <f>-I318*0.5</f>
        <v>0</v>
      </c>
      <c r="K318" s="286">
        <f>SUM(K316:K317)</f>
        <v>0</v>
      </c>
      <c r="L318" s="528"/>
      <c r="M318" s="168">
        <f>SUM(M316:M317)</f>
        <v>0</v>
      </c>
    </row>
    <row r="319" spans="2:16" x14ac:dyDescent="0.2">
      <c r="O319" s="166"/>
    </row>
    <row r="320" spans="2:16" x14ac:dyDescent="0.2">
      <c r="B320" s="273" t="s">
        <v>139</v>
      </c>
      <c r="F320" s="810">
        <v>2020</v>
      </c>
      <c r="O320" s="166"/>
    </row>
    <row r="321" spans="2:15" x14ac:dyDescent="0.2">
      <c r="O321" s="166"/>
    </row>
    <row r="322" spans="2:15" ht="102" customHeight="1" x14ac:dyDescent="0.2">
      <c r="B322" s="1101" t="s">
        <v>140</v>
      </c>
      <c r="C322" s="1102"/>
      <c r="D322" s="1102"/>
      <c r="E322" s="1103"/>
      <c r="F322" s="274"/>
      <c r="G322" s="165" t="str">
        <f>"Nog af te bouwen regulatoir saldo einde "&amp;F320-1</f>
        <v>Nog af te bouwen regulatoir saldo einde 2019</v>
      </c>
      <c r="H322" s="165" t="str">
        <f>"Afbouw oudste openstaande regulatoir saldo vanaf boekjaar "&amp;F320-2&amp;" en vroeger, door aanwending van compensatie met regulatoir saldo ontstaan over boekjaar "&amp;F320-1</f>
        <v>Afbouw oudste openstaande regulatoir saldo vanaf boekjaar 2018 en vroeger, door aanwending van compensatie met regulatoir saldo ontstaan over boekjaar 2019</v>
      </c>
      <c r="I322" s="165" t="str">
        <f>"Nog af te bouwen regulatoir saldo na compensatie einde "&amp;F320-1</f>
        <v>Nog af te bouwen regulatoir saldo na compensatie einde 2019</v>
      </c>
      <c r="J322" s="213" t="str">
        <f>"Aanwending van 50% van het geaccumuleerd regulatoir saldo door te rekenen volgens de tariefmethodologie in het boekjaar "&amp;F320</f>
        <v>Aanwending van 50% van het geaccumuleerd regulatoir saldo door te rekenen volgens de tariefmethodologie in het boekjaar 2020</v>
      </c>
      <c r="K322" s="213" t="str">
        <f>"Aanwending van 50% van het geaccumuleerd regulatoir saldo door te rekenen volgens de tariefmethodologie in het boekjaar "&amp;F320</f>
        <v>Aanwending van 50% van het geaccumuleerd regulatoir saldo door te rekenen volgens de tariefmethodologie in het boekjaar 2020</v>
      </c>
      <c r="L322" s="165" t="str">
        <f>"Totale afbouw over "&amp;F320</f>
        <v>Totale afbouw over 2020</v>
      </c>
      <c r="M322" s="165" t="str">
        <f>"Nog af te bouwen regulatoir saldo einde "&amp;F320</f>
        <v>Nog af te bouwen regulatoir saldo einde 2020</v>
      </c>
      <c r="N322" s="206"/>
      <c r="O322" s="166"/>
    </row>
    <row r="323" spans="2:15" x14ac:dyDescent="0.2">
      <c r="B323" s="1104">
        <v>2017</v>
      </c>
      <c r="C323" s="1105"/>
      <c r="D323" s="1105"/>
      <c r="E323" s="1106"/>
      <c r="F323" s="275"/>
      <c r="G323" s="521">
        <f>+M316</f>
        <v>0</v>
      </c>
      <c r="H323" s="813">
        <f>IF(SIGN(G325*M318)&lt;0,IF(G323&lt;&gt;0,-SIGN(G323)*MIN(ABS(G325),ABS(G323)),0),0)</f>
        <v>0</v>
      </c>
      <c r="I323" s="521">
        <f>+G323+H323</f>
        <v>0</v>
      </c>
      <c r="J323" s="852"/>
      <c r="K323" s="821">
        <f>-MIN(ABS(I323),ABS(J326))*SIGN(I323)</f>
        <v>0</v>
      </c>
      <c r="L323" s="813">
        <f>+K323+H323</f>
        <v>0</v>
      </c>
      <c r="M323" s="521">
        <f>+I323+K323</f>
        <v>0</v>
      </c>
      <c r="N323" s="206"/>
      <c r="O323" s="166"/>
    </row>
    <row r="324" spans="2:15" x14ac:dyDescent="0.2">
      <c r="B324" s="1104">
        <v>2018</v>
      </c>
      <c r="C324" s="1105"/>
      <c r="D324" s="1105">
        <v>2016</v>
      </c>
      <c r="E324" s="1106"/>
      <c r="F324" s="275"/>
      <c r="G324" s="521">
        <f>+M317</f>
        <v>0</v>
      </c>
      <c r="H324" s="813">
        <f>IF(SIGN(G325*M318)&lt;0,IF(G324&lt;&gt;0,-SIGN(G324)*MIN(ABS(G325-H323),ABS(G324)),0),0)</f>
        <v>0</v>
      </c>
      <c r="I324" s="521">
        <f>+G324+H324</f>
        <v>0</v>
      </c>
      <c r="J324" s="852"/>
      <c r="K324" s="821">
        <f>-MIN(ABS(I324),ABS(J326-K323))*SIGN(I324)</f>
        <v>0</v>
      </c>
      <c r="L324" s="813">
        <f>+K324+H324</f>
        <v>0</v>
      </c>
      <c r="M324" s="521">
        <f>+I324+K324</f>
        <v>0</v>
      </c>
      <c r="N324" s="206"/>
      <c r="O324" s="166"/>
    </row>
    <row r="325" spans="2:15" x14ac:dyDescent="0.2">
      <c r="B325" s="1104">
        <v>2019</v>
      </c>
      <c r="C325" s="1105"/>
      <c r="D325" s="1105"/>
      <c r="E325" s="1106"/>
      <c r="F325" s="275"/>
      <c r="G325" s="521">
        <f>I142</f>
        <v>0</v>
      </c>
      <c r="H325" s="813">
        <f>IF(SIGN(G325*M318)&lt;0,-SUM(H323:H324),0)</f>
        <v>0</v>
      </c>
      <c r="I325" s="521">
        <f>+G325+H325</f>
        <v>0</v>
      </c>
      <c r="J325" s="852"/>
      <c r="K325" s="821">
        <f>-MIN(ABS(I325),ABS(J326-K323-K324))*SIGN(I325)</f>
        <v>0</v>
      </c>
      <c r="L325" s="813">
        <f>+K325+H325</f>
        <v>0</v>
      </c>
      <c r="M325" s="521">
        <f>+I325+K325</f>
        <v>0</v>
      </c>
      <c r="N325" s="206"/>
      <c r="O325" s="166"/>
    </row>
    <row r="326" spans="2:15" s="273" customFormat="1" x14ac:dyDescent="0.2">
      <c r="G326" s="168">
        <f>SUM(G323:G325)</f>
        <v>0</v>
      </c>
      <c r="H326" s="168">
        <f>SUM(H323:H325)</f>
        <v>0</v>
      </c>
      <c r="I326" s="168">
        <f>SUM(I323:I325)</f>
        <v>0</v>
      </c>
      <c r="J326" s="286">
        <f>-I326*0.5</f>
        <v>0</v>
      </c>
      <c r="K326" s="286">
        <f>SUM(K323:K325)</f>
        <v>0</v>
      </c>
      <c r="L326" s="528"/>
      <c r="M326" s="168">
        <f>SUM(M323:M325)</f>
        <v>0</v>
      </c>
    </row>
    <row r="327" spans="2:15" x14ac:dyDescent="0.2">
      <c r="O327" s="166"/>
    </row>
    <row r="328" spans="2:15" x14ac:dyDescent="0.2">
      <c r="B328" s="273" t="s">
        <v>139</v>
      </c>
      <c r="F328" s="810">
        <v>2021</v>
      </c>
      <c r="O328" s="166"/>
    </row>
    <row r="329" spans="2:15" x14ac:dyDescent="0.2">
      <c r="O329" s="166"/>
    </row>
    <row r="330" spans="2:15" ht="78" customHeight="1" x14ac:dyDescent="0.2">
      <c r="B330" s="1101" t="s">
        <v>140</v>
      </c>
      <c r="C330" s="1102"/>
      <c r="D330" s="1102"/>
      <c r="E330" s="1103"/>
      <c r="F330" s="274"/>
      <c r="G330" s="165" t="str">
        <f>"Nog af te bouwen regulatoir saldo einde "&amp;F328-1</f>
        <v>Nog af te bouwen regulatoir saldo einde 2020</v>
      </c>
      <c r="H330" s="165" t="str">
        <f>"50% van het oorspronkelijk regulatoir saldo door te rekenen volgens de tariefmethodologie in het boekjaar "&amp;F328</f>
        <v>50% van het oorspronkelijk regulatoir saldo door te rekenen volgens de tariefmethodologie in het boekjaar 2021</v>
      </c>
      <c r="I330" s="165" t="str">
        <f>"Nog af te bouwen regulatoir saldo einde "&amp;F328</f>
        <v>Nog af te bouwen regulatoir saldo einde 2021</v>
      </c>
      <c r="J330" s="206"/>
      <c r="O330" s="166"/>
    </row>
    <row r="331" spans="2:15" x14ac:dyDescent="0.2">
      <c r="B331" s="1104">
        <v>2017</v>
      </c>
      <c r="C331" s="1105"/>
      <c r="D331" s="1105"/>
      <c r="E331" s="1106"/>
      <c r="F331" s="275"/>
      <c r="G331" s="521">
        <f>+M323</f>
        <v>0</v>
      </c>
      <c r="H331" s="521">
        <f>-G331*0.5</f>
        <v>0</v>
      </c>
      <c r="I331" s="521">
        <f>+G331+H331</f>
        <v>0</v>
      </c>
      <c r="J331" s="206"/>
      <c r="O331" s="166"/>
    </row>
    <row r="332" spans="2:15" x14ac:dyDescent="0.2">
      <c r="B332" s="1104">
        <v>2018</v>
      </c>
      <c r="C332" s="1105"/>
      <c r="D332" s="1105"/>
      <c r="E332" s="1106"/>
      <c r="F332" s="275"/>
      <c r="G332" s="521">
        <f t="shared" ref="G332:G333" si="41">+M324</f>
        <v>0</v>
      </c>
      <c r="H332" s="521">
        <f t="shared" ref="H332:H334" si="42">-G332*0.5</f>
        <v>0</v>
      </c>
      <c r="I332" s="521">
        <f t="shared" ref="I332:I334" si="43">+G332+H332</f>
        <v>0</v>
      </c>
      <c r="J332" s="206"/>
      <c r="O332" s="166"/>
    </row>
    <row r="333" spans="2:15" x14ac:dyDescent="0.2">
      <c r="B333" s="1104">
        <v>2019</v>
      </c>
      <c r="C333" s="1105"/>
      <c r="D333" s="1105">
        <v>2016</v>
      </c>
      <c r="E333" s="1106"/>
      <c r="F333" s="275"/>
      <c r="G333" s="521">
        <f t="shared" si="41"/>
        <v>0</v>
      </c>
      <c r="H333" s="521">
        <f t="shared" si="42"/>
        <v>0</v>
      </c>
      <c r="I333" s="521">
        <f t="shared" si="43"/>
        <v>0</v>
      </c>
      <c r="J333" s="206"/>
      <c r="O333" s="166"/>
    </row>
    <row r="334" spans="2:15" x14ac:dyDescent="0.2">
      <c r="B334" s="1104">
        <v>2020</v>
      </c>
      <c r="C334" s="1105"/>
      <c r="D334" s="1105"/>
      <c r="E334" s="1106"/>
      <c r="F334" s="275"/>
      <c r="G334" s="521">
        <f>J143</f>
        <v>0</v>
      </c>
      <c r="H334" s="521">
        <f t="shared" si="42"/>
        <v>0</v>
      </c>
      <c r="I334" s="521">
        <f t="shared" si="43"/>
        <v>0</v>
      </c>
      <c r="J334" s="206"/>
      <c r="O334" s="166"/>
    </row>
    <row r="335" spans="2:15" s="273" customFormat="1" x14ac:dyDescent="0.2">
      <c r="G335" s="168">
        <f>SUM(G331:G334)</f>
        <v>0</v>
      </c>
      <c r="H335" s="168">
        <f>SUM(H331:H334)</f>
        <v>0</v>
      </c>
      <c r="I335" s="168">
        <f>SUM(I331:I334)</f>
        <v>0</v>
      </c>
    </row>
    <row r="336" spans="2:15" x14ac:dyDescent="0.2">
      <c r="G336" s="214"/>
      <c r="H336" s="214"/>
      <c r="I336" s="214"/>
      <c r="O336" s="166"/>
    </row>
    <row r="337" spans="2:15" x14ac:dyDescent="0.2">
      <c r="B337" s="273" t="s">
        <v>139</v>
      </c>
      <c r="F337" s="810">
        <v>2022</v>
      </c>
      <c r="O337" s="166"/>
    </row>
    <row r="338" spans="2:15" x14ac:dyDescent="0.2">
      <c r="O338" s="166"/>
    </row>
    <row r="339" spans="2:15" ht="78" customHeight="1" x14ac:dyDescent="0.2">
      <c r="B339" s="1101" t="s">
        <v>140</v>
      </c>
      <c r="C339" s="1102"/>
      <c r="D339" s="1102"/>
      <c r="E339" s="1103"/>
      <c r="F339" s="274"/>
      <c r="G339" s="165" t="str">
        <f>"Nog af te bouwen regulatoir saldo einde "&amp;F337-1</f>
        <v>Nog af te bouwen regulatoir saldo einde 2021</v>
      </c>
      <c r="H339" s="165" t="str">
        <f>"50% van het oorspronkelijk regulatoir saldo door te rekenen volgens de tariefmethodologie in het boekjaar "&amp;F337</f>
        <v>50% van het oorspronkelijk regulatoir saldo door te rekenen volgens de tariefmethodologie in het boekjaar 2022</v>
      </c>
      <c r="I339" s="165" t="str">
        <f>"Nog af te bouwen regulatoir saldo einde "&amp;F337</f>
        <v>Nog af te bouwen regulatoir saldo einde 2022</v>
      </c>
      <c r="J339" s="206"/>
      <c r="O339" s="166"/>
    </row>
    <row r="340" spans="2:15" x14ac:dyDescent="0.2">
      <c r="B340" s="1104">
        <v>2017</v>
      </c>
      <c r="C340" s="1105"/>
      <c r="D340" s="1105">
        <v>2016</v>
      </c>
      <c r="E340" s="1106"/>
      <c r="F340" s="275"/>
      <c r="G340" s="521">
        <f>+I331</f>
        <v>0</v>
      </c>
      <c r="H340" s="521">
        <f>-G331*0.5</f>
        <v>0</v>
      </c>
      <c r="I340" s="521">
        <f t="shared" ref="I340:I344" si="44">+G340+H340</f>
        <v>0</v>
      </c>
      <c r="J340" s="206"/>
      <c r="O340" s="166"/>
    </row>
    <row r="341" spans="2:15" x14ac:dyDescent="0.2">
      <c r="B341" s="1104">
        <v>2018</v>
      </c>
      <c r="C341" s="1105"/>
      <c r="D341" s="1105"/>
      <c r="E341" s="1106"/>
      <c r="F341" s="275"/>
      <c r="G341" s="521">
        <f t="shared" ref="G341:G343" si="45">+I332</f>
        <v>0</v>
      </c>
      <c r="H341" s="521">
        <f t="shared" ref="H341:H343" si="46">-G332*0.5</f>
        <v>0</v>
      </c>
      <c r="I341" s="521">
        <f t="shared" si="44"/>
        <v>0</v>
      </c>
      <c r="J341" s="206"/>
      <c r="O341" s="166"/>
    </row>
    <row r="342" spans="2:15" x14ac:dyDescent="0.2">
      <c r="B342" s="1104">
        <v>2019</v>
      </c>
      <c r="C342" s="1105"/>
      <c r="D342" s="1105"/>
      <c r="E342" s="1106"/>
      <c r="F342" s="275"/>
      <c r="G342" s="521">
        <f t="shared" si="45"/>
        <v>0</v>
      </c>
      <c r="H342" s="521">
        <f t="shared" si="46"/>
        <v>0</v>
      </c>
      <c r="I342" s="521">
        <f t="shared" si="44"/>
        <v>0</v>
      </c>
      <c r="J342" s="206"/>
      <c r="O342" s="166"/>
    </row>
    <row r="343" spans="2:15" x14ac:dyDescent="0.2">
      <c r="B343" s="1104">
        <v>2020</v>
      </c>
      <c r="C343" s="1105"/>
      <c r="D343" s="1105"/>
      <c r="E343" s="1106"/>
      <c r="F343" s="275"/>
      <c r="G343" s="521">
        <f t="shared" si="45"/>
        <v>0</v>
      </c>
      <c r="H343" s="521">
        <f t="shared" si="46"/>
        <v>0</v>
      </c>
      <c r="I343" s="521">
        <f t="shared" si="44"/>
        <v>0</v>
      </c>
      <c r="J343" s="206"/>
      <c r="O343" s="166"/>
    </row>
    <row r="344" spans="2:15" x14ac:dyDescent="0.2">
      <c r="B344" s="1104">
        <v>2021</v>
      </c>
      <c r="C344" s="1105"/>
      <c r="D344" s="1105"/>
      <c r="E344" s="1106"/>
      <c r="F344" s="275"/>
      <c r="G344" s="521">
        <f>K144</f>
        <v>0</v>
      </c>
      <c r="H344" s="521">
        <f t="shared" ref="H344" si="47">-G344*0.5</f>
        <v>0</v>
      </c>
      <c r="I344" s="521">
        <f t="shared" si="44"/>
        <v>0</v>
      </c>
      <c r="J344" s="206"/>
      <c r="O344" s="166"/>
    </row>
    <row r="345" spans="2:15" s="273" customFormat="1" x14ac:dyDescent="0.2">
      <c r="G345" s="168">
        <f>SUM(G340:G344)</f>
        <v>0</v>
      </c>
      <c r="H345" s="168">
        <f>SUM(H340:H344)</f>
        <v>0</v>
      </c>
      <c r="I345" s="168">
        <f>SUM(I340:I344)</f>
        <v>0</v>
      </c>
    </row>
    <row r="346" spans="2:15" x14ac:dyDescent="0.2">
      <c r="O346" s="166"/>
    </row>
    <row r="347" spans="2:15" x14ac:dyDescent="0.2">
      <c r="B347" s="273" t="s">
        <v>139</v>
      </c>
      <c r="F347" s="810">
        <v>2023</v>
      </c>
      <c r="O347" s="166"/>
    </row>
    <row r="348" spans="2:15" x14ac:dyDescent="0.2">
      <c r="O348" s="166"/>
    </row>
    <row r="349" spans="2:15" ht="78" customHeight="1" x14ac:dyDescent="0.2">
      <c r="B349" s="1101" t="s">
        <v>140</v>
      </c>
      <c r="C349" s="1102"/>
      <c r="D349" s="1102"/>
      <c r="E349" s="1103"/>
      <c r="F349" s="274"/>
      <c r="G349" s="165" t="str">
        <f>"Nog af te bouwen regulatoir saldo einde "&amp;F347-1</f>
        <v>Nog af te bouwen regulatoir saldo einde 2022</v>
      </c>
      <c r="H349" s="165" t="str">
        <f>"50% van het oorspronkelijk regulatoir saldo door te rekenen volgens de tariefmethodologie in het boekjaar "&amp;F347</f>
        <v>50% van het oorspronkelijk regulatoir saldo door te rekenen volgens de tariefmethodologie in het boekjaar 2023</v>
      </c>
      <c r="I349" s="165" t="str">
        <f>"Nog af te bouwen regulatoir saldo einde "&amp;F347</f>
        <v>Nog af te bouwen regulatoir saldo einde 2023</v>
      </c>
      <c r="J349" s="206"/>
      <c r="O349" s="166"/>
    </row>
    <row r="350" spans="2:15" x14ac:dyDescent="0.2">
      <c r="B350" s="1104">
        <v>2021</v>
      </c>
      <c r="C350" s="1105"/>
      <c r="D350" s="1105"/>
      <c r="E350" s="1106"/>
      <c r="F350" s="275"/>
      <c r="G350" s="521">
        <f>+I344</f>
        <v>0</v>
      </c>
      <c r="H350" s="521">
        <f>-G344*0.5</f>
        <v>0</v>
      </c>
      <c r="I350" s="521">
        <f t="shared" ref="I350:I351" si="48">+G350+H350</f>
        <v>0</v>
      </c>
      <c r="J350" s="206"/>
      <c r="O350" s="166"/>
    </row>
    <row r="351" spans="2:15" x14ac:dyDescent="0.2">
      <c r="B351" s="1104">
        <v>2022</v>
      </c>
      <c r="C351" s="1105"/>
      <c r="D351" s="1105"/>
      <c r="E351" s="1106"/>
      <c r="F351" s="275"/>
      <c r="G351" s="521">
        <f>L145</f>
        <v>0</v>
      </c>
      <c r="H351" s="521">
        <f t="shared" ref="H351" si="49">-G351*0.5</f>
        <v>0</v>
      </c>
      <c r="I351" s="521">
        <f t="shared" si="48"/>
        <v>0</v>
      </c>
      <c r="J351" s="206"/>
      <c r="O351" s="166"/>
    </row>
    <row r="352" spans="2:15" s="273" customFormat="1" x14ac:dyDescent="0.2">
      <c r="G352" s="168">
        <f>SUM(G350:G351)</f>
        <v>0</v>
      </c>
      <c r="H352" s="168">
        <f>SUM(H350:H351)</f>
        <v>0</v>
      </c>
      <c r="I352" s="168">
        <f>SUM(I350:I351)</f>
        <v>0</v>
      </c>
    </row>
    <row r="353" spans="2:15" x14ac:dyDescent="0.2">
      <c r="O353" s="166"/>
    </row>
    <row r="354" spans="2:15" x14ac:dyDescent="0.2">
      <c r="B354" s="273" t="s">
        <v>139</v>
      </c>
      <c r="F354" s="810">
        <v>2024</v>
      </c>
      <c r="O354" s="166"/>
    </row>
    <row r="355" spans="2:15" x14ac:dyDescent="0.2">
      <c r="O355" s="166"/>
    </row>
    <row r="356" spans="2:15" ht="78" customHeight="1" x14ac:dyDescent="0.2">
      <c r="B356" s="1101" t="s">
        <v>140</v>
      </c>
      <c r="C356" s="1102"/>
      <c r="D356" s="1102"/>
      <c r="E356" s="1103"/>
      <c r="F356" s="274"/>
      <c r="G356" s="165" t="str">
        <f>"Nog af te bouwen regulatoir saldo einde "&amp;F354-1</f>
        <v>Nog af te bouwen regulatoir saldo einde 2023</v>
      </c>
      <c r="H356" s="165" t="str">
        <f>"50% van het oorspronkelijk regulatoir saldo door te rekenen volgens de tariefmethodologie in het boekjaar "&amp;F354</f>
        <v>50% van het oorspronkelijk regulatoir saldo door te rekenen volgens de tariefmethodologie in het boekjaar 2024</v>
      </c>
      <c r="I356" s="165" t="str">
        <f>"Nog af te bouwen regulatoir saldo einde "&amp;F354</f>
        <v>Nog af te bouwen regulatoir saldo einde 2024</v>
      </c>
      <c r="J356" s="206"/>
      <c r="O356" s="166"/>
    </row>
    <row r="357" spans="2:15" x14ac:dyDescent="0.2">
      <c r="B357" s="1104">
        <v>2022</v>
      </c>
      <c r="C357" s="1105"/>
      <c r="D357" s="1105"/>
      <c r="E357" s="1106"/>
      <c r="F357" s="275"/>
      <c r="G357" s="521">
        <f>+I351</f>
        <v>0</v>
      </c>
      <c r="H357" s="521">
        <f>-G351*0.5</f>
        <v>0</v>
      </c>
      <c r="I357" s="521">
        <f t="shared" ref="I357:I358" si="50">+G357+H357</f>
        <v>0</v>
      </c>
      <c r="J357" s="206"/>
      <c r="O357" s="166"/>
    </row>
    <row r="358" spans="2:15" x14ac:dyDescent="0.2">
      <c r="B358" s="1104">
        <v>2023</v>
      </c>
      <c r="C358" s="1105"/>
      <c r="D358" s="1105"/>
      <c r="E358" s="1106"/>
      <c r="F358" s="275"/>
      <c r="G358" s="521">
        <f>+M146</f>
        <v>0</v>
      </c>
      <c r="H358" s="521">
        <f t="shared" ref="H358" si="51">-G358*0.5</f>
        <v>0</v>
      </c>
      <c r="I358" s="521">
        <f t="shared" si="50"/>
        <v>0</v>
      </c>
      <c r="J358" s="206"/>
      <c r="O358" s="166"/>
    </row>
    <row r="359" spans="2:15" s="273" customFormat="1" x14ac:dyDescent="0.2">
      <c r="G359" s="168">
        <f>SUM(G357:G358)</f>
        <v>0</v>
      </c>
      <c r="H359" s="168">
        <f>SUM(H357:H358)</f>
        <v>0</v>
      </c>
      <c r="I359" s="168">
        <f>SUM(I357:I358)</f>
        <v>0</v>
      </c>
    </row>
    <row r="360" spans="2:15" x14ac:dyDescent="0.2">
      <c r="O360" s="166"/>
    </row>
    <row r="361" spans="2:15" x14ac:dyDescent="0.2">
      <c r="B361" s="273" t="s">
        <v>66</v>
      </c>
      <c r="O361" s="166"/>
    </row>
    <row r="362" spans="2:15" x14ac:dyDescent="0.2">
      <c r="B362" s="273" t="s">
        <v>141</v>
      </c>
      <c r="C362" s="216"/>
      <c r="D362" s="216"/>
      <c r="E362" s="216"/>
      <c r="O362" s="166"/>
    </row>
    <row r="363" spans="2:15" x14ac:dyDescent="0.2">
      <c r="B363" s="273"/>
      <c r="C363" s="216"/>
      <c r="D363" s="216"/>
      <c r="E363" s="216"/>
      <c r="O363" s="166"/>
    </row>
    <row r="364" spans="2:15" x14ac:dyDescent="0.2">
      <c r="B364" s="275">
        <f>F328</f>
        <v>2021</v>
      </c>
      <c r="C364" s="279">
        <f>+H335</f>
        <v>0</v>
      </c>
      <c r="D364" s="216"/>
      <c r="E364" s="216"/>
      <c r="O364" s="166"/>
    </row>
    <row r="365" spans="2:15" x14ac:dyDescent="0.2">
      <c r="B365" s="275">
        <v>2022</v>
      </c>
      <c r="C365" s="279">
        <f>+H345</f>
        <v>0</v>
      </c>
      <c r="D365" s="216"/>
      <c r="E365" s="216"/>
      <c r="O365" s="166"/>
    </row>
    <row r="366" spans="2:15" x14ac:dyDescent="0.2">
      <c r="B366" s="275">
        <v>2023</v>
      </c>
      <c r="C366" s="279">
        <f>+H352</f>
        <v>0</v>
      </c>
      <c r="D366" s="216"/>
      <c r="E366" s="216"/>
      <c r="O366" s="166"/>
    </row>
    <row r="367" spans="2:15" x14ac:dyDescent="0.2">
      <c r="B367" s="275">
        <v>2024</v>
      </c>
      <c r="C367" s="279">
        <f>+H359</f>
        <v>0</v>
      </c>
      <c r="D367" s="216"/>
      <c r="E367" s="216"/>
      <c r="O367" s="166"/>
    </row>
    <row r="368" spans="2:15" x14ac:dyDescent="0.2">
      <c r="O368" s="166"/>
    </row>
    <row r="369" spans="2:16" x14ac:dyDescent="0.2">
      <c r="O369" s="166"/>
    </row>
    <row r="370" spans="2:16" x14ac:dyDescent="0.2">
      <c r="B370" s="321" t="s">
        <v>350</v>
      </c>
      <c r="C370" s="322"/>
      <c r="D370" s="322"/>
      <c r="E370" s="322"/>
      <c r="F370" s="323"/>
      <c r="G370" s="323"/>
      <c r="H370" s="323"/>
      <c r="I370" s="323"/>
      <c r="J370" s="323"/>
      <c r="K370" s="323"/>
      <c r="L370" s="323"/>
      <c r="M370" s="323"/>
      <c r="N370" s="323"/>
      <c r="O370" s="324"/>
      <c r="P370" s="323"/>
    </row>
    <row r="371" spans="2:16" x14ac:dyDescent="0.2">
      <c r="O371" s="206"/>
    </row>
    <row r="372" spans="2:16" x14ac:dyDescent="0.2">
      <c r="B372" s="273" t="s">
        <v>139</v>
      </c>
      <c r="F372" s="810">
        <v>2018</v>
      </c>
      <c r="O372" s="206"/>
    </row>
    <row r="373" spans="2:16" x14ac:dyDescent="0.2">
      <c r="O373" s="166"/>
    </row>
    <row r="374" spans="2:16" ht="102" customHeight="1" x14ac:dyDescent="0.2">
      <c r="B374" s="1101" t="s">
        <v>140</v>
      </c>
      <c r="C374" s="1102"/>
      <c r="D374" s="1102"/>
      <c r="E374" s="1103"/>
      <c r="F374" s="274"/>
      <c r="G374" s="165" t="str">
        <f>"Nog af te bouwen regulatoir saldo einde "&amp;F372-1</f>
        <v>Nog af te bouwen regulatoir saldo einde 2017</v>
      </c>
      <c r="H374" s="165" t="str">
        <f>"Afbouw oudste openstaande regulatoir saldo vanaf boekjaar "&amp;F372-2&amp;" en vroeger, door aanwending van compensatie met regulatoir saldo ontstaan over boekjaar "&amp;F372-1</f>
        <v>Afbouw oudste openstaande regulatoir saldo vanaf boekjaar 2016 en vroeger, door aanwending van compensatie met regulatoir saldo ontstaan over boekjaar 2017</v>
      </c>
      <c r="I374" s="165" t="str">
        <f>"Nog af te bouwen regulatoir saldo na compensatie einde "&amp;F372-1</f>
        <v>Nog af te bouwen regulatoir saldo na compensatie einde 2017</v>
      </c>
      <c r="J374" s="165" t="str">
        <f>"Aanwending van 50% van het geaccumuleerd regulatoir saldo door te rekenen volgens de tariefmethodologie in het boekjaar "&amp;F372</f>
        <v>Aanwending van 50% van het geaccumuleerd regulatoir saldo door te rekenen volgens de tariefmethodologie in het boekjaar 2018</v>
      </c>
      <c r="K374" s="165" t="str">
        <f>"Nog af te bouwen regulatoir saldo einde "&amp;F372</f>
        <v>Nog af te bouwen regulatoir saldo einde 2018</v>
      </c>
      <c r="L374" s="220"/>
      <c r="M374" s="220"/>
      <c r="N374" s="220"/>
      <c r="O374" s="166"/>
    </row>
    <row r="375" spans="2:16" x14ac:dyDescent="0.2">
      <c r="B375" s="1104">
        <v>2017</v>
      </c>
      <c r="C375" s="1105"/>
      <c r="D375" s="1105"/>
      <c r="E375" s="1106"/>
      <c r="F375" s="275"/>
      <c r="G375" s="521">
        <f>+G149</f>
        <v>0</v>
      </c>
      <c r="H375" s="521">
        <v>0</v>
      </c>
      <c r="I375" s="521">
        <f>+G375+H375</f>
        <v>0</v>
      </c>
      <c r="J375" s="821">
        <f>-I375*0.5</f>
        <v>0</v>
      </c>
      <c r="K375" s="851">
        <f>+J375+G375</f>
        <v>0</v>
      </c>
      <c r="L375" s="812"/>
      <c r="M375" s="812"/>
      <c r="N375" s="812"/>
      <c r="O375" s="166"/>
    </row>
    <row r="376" spans="2:16" x14ac:dyDescent="0.2">
      <c r="O376" s="166"/>
    </row>
    <row r="377" spans="2:16" x14ac:dyDescent="0.2">
      <c r="B377" s="273" t="s">
        <v>139</v>
      </c>
      <c r="F377" s="810">
        <v>2019</v>
      </c>
      <c r="O377" s="206"/>
    </row>
    <row r="378" spans="2:16" x14ac:dyDescent="0.2">
      <c r="O378" s="206"/>
    </row>
    <row r="379" spans="2:16" ht="102" customHeight="1" x14ac:dyDescent="0.2">
      <c r="B379" s="1101" t="s">
        <v>140</v>
      </c>
      <c r="C379" s="1102"/>
      <c r="D379" s="1102"/>
      <c r="E379" s="1103"/>
      <c r="F379" s="274"/>
      <c r="G379" s="165" t="str">
        <f>"Nog af te bouwen regulatoir saldo einde "&amp;F377-1</f>
        <v>Nog af te bouwen regulatoir saldo einde 2018</v>
      </c>
      <c r="H379" s="165" t="str">
        <f>"Afbouw oudste openstaande regulatoir saldo vanaf boekjaar "&amp;F377-2&amp;" en vroeger, door aanwending van compensatie met regulatoir saldo ontstaan over boekjaar "&amp;F377-1</f>
        <v>Afbouw oudste openstaande regulatoir saldo vanaf boekjaar 2017 en vroeger, door aanwending van compensatie met regulatoir saldo ontstaan over boekjaar 2018</v>
      </c>
      <c r="I379" s="165" t="str">
        <f>"Nog af te bouwen regulatoir saldo na compensatie einde "&amp;F377-1</f>
        <v>Nog af te bouwen regulatoir saldo na compensatie einde 2018</v>
      </c>
      <c r="J379" s="213" t="str">
        <f>"Aanwending van 50% van het geaccumuleerd regulatoir saldo door te rekenen volgens de tariefmethodologie in het boekjaar "&amp;F377</f>
        <v>Aanwending van 50% van het geaccumuleerd regulatoir saldo door te rekenen volgens de tariefmethodologie in het boekjaar 2019</v>
      </c>
      <c r="K379" s="213" t="str">
        <f>"Aanwending van 50% van het geaccumuleerd regulatoir saldo door te rekenen volgens de tariefmethodologie in het boekjaar "&amp;F377</f>
        <v>Aanwending van 50% van het geaccumuleerd regulatoir saldo door te rekenen volgens de tariefmethodologie in het boekjaar 2019</v>
      </c>
      <c r="L379" s="165" t="str">
        <f>"Totale afbouw over "&amp;F377</f>
        <v>Totale afbouw over 2019</v>
      </c>
      <c r="M379" s="165" t="str">
        <f>"Nog af te bouwen regulatoir saldo einde "&amp;F377</f>
        <v>Nog af te bouwen regulatoir saldo einde 2019</v>
      </c>
      <c r="N379" s="206"/>
      <c r="O379" s="166"/>
    </row>
    <row r="380" spans="2:16" x14ac:dyDescent="0.2">
      <c r="B380" s="1104">
        <v>2017</v>
      </c>
      <c r="C380" s="1105"/>
      <c r="D380" s="1105"/>
      <c r="E380" s="1106"/>
      <c r="F380" s="275"/>
      <c r="G380" s="521">
        <f>K375</f>
        <v>0</v>
      </c>
      <c r="H380" s="521">
        <f>IF(SIGN(G381*K375)&lt;0,IF(G380&lt;&gt;0,-SIGN(G380)*MIN(ABS(G381),ABS(G380)),0),0)</f>
        <v>0</v>
      </c>
      <c r="I380" s="521">
        <f>+G380+H380</f>
        <v>0</v>
      </c>
      <c r="J380" s="852"/>
      <c r="K380" s="821">
        <f>-MIN(ABS(I380),ABS(J382))*SIGN(I380)</f>
        <v>0</v>
      </c>
      <c r="L380" s="813">
        <f>+K380+H380</f>
        <v>0</v>
      </c>
      <c r="M380" s="521">
        <f>+I380+K380</f>
        <v>0</v>
      </c>
      <c r="N380" s="206"/>
      <c r="O380" s="166"/>
    </row>
    <row r="381" spans="2:16" x14ac:dyDescent="0.2">
      <c r="B381" s="1104">
        <v>2018</v>
      </c>
      <c r="C381" s="1105"/>
      <c r="D381" s="1105"/>
      <c r="E381" s="1106"/>
      <c r="F381" s="275"/>
      <c r="G381" s="521">
        <f>+H150</f>
        <v>0</v>
      </c>
      <c r="H381" s="813">
        <f>IF(SIGN(G381*K375)&lt;0,-H380,0)</f>
        <v>0</v>
      </c>
      <c r="I381" s="521">
        <f>+G381+H381</f>
        <v>0</v>
      </c>
      <c r="J381" s="852"/>
      <c r="K381" s="821">
        <f>-MIN(ABS(I381),ABS(J382-K380))*SIGN(I381)</f>
        <v>0</v>
      </c>
      <c r="L381" s="813">
        <f>+K381+H381</f>
        <v>0</v>
      </c>
      <c r="M381" s="521">
        <f>+I381+K381</f>
        <v>0</v>
      </c>
      <c r="N381" s="206"/>
      <c r="O381" s="166"/>
    </row>
    <row r="382" spans="2:16" s="273" customFormat="1" x14ac:dyDescent="0.2">
      <c r="G382" s="168">
        <f>SUM(G380:G381)</f>
        <v>0</v>
      </c>
      <c r="H382" s="168">
        <f>SUM(H380:H381)</f>
        <v>0</v>
      </c>
      <c r="I382" s="168">
        <f>SUM(I380:I381)</f>
        <v>0</v>
      </c>
      <c r="J382" s="286">
        <f>-I382*0.5</f>
        <v>0</v>
      </c>
      <c r="K382" s="286">
        <f>SUM(K380:K381)</f>
        <v>0</v>
      </c>
      <c r="L382" s="528"/>
      <c r="M382" s="168">
        <f>SUM(M380:M381)</f>
        <v>0</v>
      </c>
    </row>
    <row r="383" spans="2:16" x14ac:dyDescent="0.2">
      <c r="O383" s="166"/>
    </row>
    <row r="384" spans="2:16" x14ac:dyDescent="0.2">
      <c r="B384" s="273" t="s">
        <v>139</v>
      </c>
      <c r="F384" s="810">
        <v>2020</v>
      </c>
      <c r="O384" s="166"/>
    </row>
    <row r="385" spans="2:15" x14ac:dyDescent="0.2">
      <c r="O385" s="166"/>
    </row>
    <row r="386" spans="2:15" ht="102" customHeight="1" x14ac:dyDescent="0.2">
      <c r="B386" s="1101" t="s">
        <v>140</v>
      </c>
      <c r="C386" s="1102"/>
      <c r="D386" s="1102"/>
      <c r="E386" s="1103"/>
      <c r="F386" s="274"/>
      <c r="G386" s="165" t="str">
        <f>"Nog af te bouwen regulatoir saldo einde "&amp;F384-1</f>
        <v>Nog af te bouwen regulatoir saldo einde 2019</v>
      </c>
      <c r="H386" s="165" t="str">
        <f>"Afbouw oudste openstaande regulatoir saldo vanaf boekjaar "&amp;F384-2&amp;" en vroeger, door aanwending van compensatie met regulatoir saldo ontstaan over boekjaar "&amp;F384-1</f>
        <v>Afbouw oudste openstaande regulatoir saldo vanaf boekjaar 2018 en vroeger, door aanwending van compensatie met regulatoir saldo ontstaan over boekjaar 2019</v>
      </c>
      <c r="I386" s="165" t="str">
        <f>"Nog af te bouwen regulatoir saldo na compensatie einde "&amp;F384-1</f>
        <v>Nog af te bouwen regulatoir saldo na compensatie einde 2019</v>
      </c>
      <c r="J386" s="213" t="str">
        <f>"Aanwending van 50% van het geaccumuleerd regulatoir saldo door te rekenen volgens de tariefmethodologie in het boekjaar "&amp;F384</f>
        <v>Aanwending van 50% van het geaccumuleerd regulatoir saldo door te rekenen volgens de tariefmethodologie in het boekjaar 2020</v>
      </c>
      <c r="K386" s="213" t="str">
        <f>"Aanwending van 50% van het geaccumuleerd regulatoir saldo door te rekenen volgens de tariefmethodologie in het boekjaar "&amp;F384</f>
        <v>Aanwending van 50% van het geaccumuleerd regulatoir saldo door te rekenen volgens de tariefmethodologie in het boekjaar 2020</v>
      </c>
      <c r="L386" s="165" t="str">
        <f>"Totale afbouw over "&amp;F384</f>
        <v>Totale afbouw over 2020</v>
      </c>
      <c r="M386" s="165" t="str">
        <f>"Nog af te bouwen regulatoir saldo einde "&amp;F384</f>
        <v>Nog af te bouwen regulatoir saldo einde 2020</v>
      </c>
      <c r="N386" s="206"/>
      <c r="O386" s="166"/>
    </row>
    <row r="387" spans="2:15" x14ac:dyDescent="0.2">
      <c r="B387" s="1104">
        <v>2017</v>
      </c>
      <c r="C387" s="1105"/>
      <c r="D387" s="1105"/>
      <c r="E387" s="1106"/>
      <c r="F387" s="275"/>
      <c r="G387" s="521">
        <f>+M380</f>
        <v>0</v>
      </c>
      <c r="H387" s="813">
        <f>IF(SIGN(G389*M382)&lt;0,IF(G387&lt;&gt;0,-SIGN(G387)*MIN(ABS(G389),ABS(G387)),0),0)</f>
        <v>0</v>
      </c>
      <c r="I387" s="521">
        <f>+G387+H387</f>
        <v>0</v>
      </c>
      <c r="J387" s="852"/>
      <c r="K387" s="821">
        <f>-MIN(ABS(I387),ABS(J390))*SIGN(I387)</f>
        <v>0</v>
      </c>
      <c r="L387" s="813">
        <f>+K387+H387</f>
        <v>0</v>
      </c>
      <c r="M387" s="521">
        <f>+I387+K387</f>
        <v>0</v>
      </c>
      <c r="N387" s="206"/>
      <c r="O387" s="166"/>
    </row>
    <row r="388" spans="2:15" x14ac:dyDescent="0.2">
      <c r="B388" s="1104">
        <v>2018</v>
      </c>
      <c r="C388" s="1105"/>
      <c r="D388" s="1105">
        <v>2016</v>
      </c>
      <c r="E388" s="1106"/>
      <c r="F388" s="275"/>
      <c r="G388" s="521">
        <f>+M381</f>
        <v>0</v>
      </c>
      <c r="H388" s="813">
        <f>IF(SIGN(G389*M382)&lt;0,IF(G388&lt;&gt;0,-SIGN(G388)*MIN(ABS(G389-H387),ABS(G388)),0),0)</f>
        <v>0</v>
      </c>
      <c r="I388" s="521">
        <f>+G388+H388</f>
        <v>0</v>
      </c>
      <c r="J388" s="852"/>
      <c r="K388" s="821">
        <f>-MIN(ABS(I388),ABS(J390-K387))*SIGN(I388)</f>
        <v>0</v>
      </c>
      <c r="L388" s="813">
        <f>+K388+H388</f>
        <v>0</v>
      </c>
      <c r="M388" s="521">
        <f>+I388+K388</f>
        <v>0</v>
      </c>
      <c r="N388" s="206"/>
      <c r="O388" s="166"/>
    </row>
    <row r="389" spans="2:15" x14ac:dyDescent="0.2">
      <c r="B389" s="1104">
        <v>2019</v>
      </c>
      <c r="C389" s="1105"/>
      <c r="D389" s="1105"/>
      <c r="E389" s="1106"/>
      <c r="F389" s="275"/>
      <c r="G389" s="521">
        <f>I151</f>
        <v>0</v>
      </c>
      <c r="H389" s="813">
        <f>IF(SIGN(G389*M382)&lt;0,-SUM(H387:H388),0)</f>
        <v>0</v>
      </c>
      <c r="I389" s="521">
        <f>+G389+H389</f>
        <v>0</v>
      </c>
      <c r="J389" s="852"/>
      <c r="K389" s="821">
        <f>-MIN(ABS(I389),ABS(J390-K387-K388))*SIGN(I389)</f>
        <v>0</v>
      </c>
      <c r="L389" s="813">
        <f>+K389+H389</f>
        <v>0</v>
      </c>
      <c r="M389" s="521">
        <f>+I389+K389</f>
        <v>0</v>
      </c>
      <c r="N389" s="206"/>
      <c r="O389" s="166"/>
    </row>
    <row r="390" spans="2:15" s="273" customFormat="1" x14ac:dyDescent="0.2">
      <c r="G390" s="168">
        <f>SUM(G387:G389)</f>
        <v>0</v>
      </c>
      <c r="H390" s="168">
        <f>SUM(H387:H389)</f>
        <v>0</v>
      </c>
      <c r="I390" s="168">
        <f>SUM(I387:I389)</f>
        <v>0</v>
      </c>
      <c r="J390" s="286">
        <f>-I390*0.5</f>
        <v>0</v>
      </c>
      <c r="K390" s="286">
        <f>SUM(K387:K389)</f>
        <v>0</v>
      </c>
      <c r="L390" s="528"/>
      <c r="M390" s="168">
        <f>SUM(M387:M389)</f>
        <v>0</v>
      </c>
    </row>
    <row r="391" spans="2:15" x14ac:dyDescent="0.2">
      <c r="O391" s="166"/>
    </row>
    <row r="392" spans="2:15" x14ac:dyDescent="0.2">
      <c r="B392" s="273" t="s">
        <v>139</v>
      </c>
      <c r="F392" s="810">
        <v>2021</v>
      </c>
      <c r="O392" s="166"/>
    </row>
    <row r="393" spans="2:15" x14ac:dyDescent="0.2">
      <c r="O393" s="166"/>
    </row>
    <row r="394" spans="2:15" ht="78" customHeight="1" x14ac:dyDescent="0.2">
      <c r="B394" s="1101" t="s">
        <v>140</v>
      </c>
      <c r="C394" s="1102"/>
      <c r="D394" s="1102"/>
      <c r="E394" s="1103"/>
      <c r="F394" s="274"/>
      <c r="G394" s="165" t="str">
        <f>"Nog af te bouwen regulatoir saldo einde "&amp;F392-1</f>
        <v>Nog af te bouwen regulatoir saldo einde 2020</v>
      </c>
      <c r="H394" s="165" t="str">
        <f>"50% van het oorspronkelijk regulatoir saldo door te rekenen volgens de tariefmethodologie in het boekjaar "&amp;F392</f>
        <v>50% van het oorspronkelijk regulatoir saldo door te rekenen volgens de tariefmethodologie in het boekjaar 2021</v>
      </c>
      <c r="I394" s="165" t="str">
        <f>"Nog af te bouwen regulatoir saldo einde "&amp;F392</f>
        <v>Nog af te bouwen regulatoir saldo einde 2021</v>
      </c>
      <c r="J394" s="206"/>
      <c r="O394" s="166"/>
    </row>
    <row r="395" spans="2:15" x14ac:dyDescent="0.2">
      <c r="B395" s="1104">
        <v>2017</v>
      </c>
      <c r="C395" s="1105"/>
      <c r="D395" s="1105"/>
      <c r="E395" s="1106"/>
      <c r="F395" s="275"/>
      <c r="G395" s="521">
        <f>+M387</f>
        <v>0</v>
      </c>
      <c r="H395" s="521">
        <f>-G395*0.5</f>
        <v>0</v>
      </c>
      <c r="I395" s="521">
        <f>+G395+H395</f>
        <v>0</v>
      </c>
      <c r="J395" s="206"/>
      <c r="O395" s="166"/>
    </row>
    <row r="396" spans="2:15" x14ac:dyDescent="0.2">
      <c r="B396" s="1104">
        <v>2018</v>
      </c>
      <c r="C396" s="1105"/>
      <c r="D396" s="1105"/>
      <c r="E396" s="1106"/>
      <c r="F396" s="275"/>
      <c r="G396" s="521">
        <f t="shared" ref="G396:G397" si="52">+M388</f>
        <v>0</v>
      </c>
      <c r="H396" s="521">
        <f t="shared" ref="H396:H398" si="53">-G396*0.5</f>
        <v>0</v>
      </c>
      <c r="I396" s="521">
        <f t="shared" ref="I396:I398" si="54">+G396+H396</f>
        <v>0</v>
      </c>
      <c r="J396" s="206"/>
      <c r="O396" s="166"/>
    </row>
    <row r="397" spans="2:15" x14ac:dyDescent="0.2">
      <c r="B397" s="1104">
        <v>2019</v>
      </c>
      <c r="C397" s="1105"/>
      <c r="D397" s="1105">
        <v>2016</v>
      </c>
      <c r="E397" s="1106"/>
      <c r="F397" s="275"/>
      <c r="G397" s="521">
        <f t="shared" si="52"/>
        <v>0</v>
      </c>
      <c r="H397" s="521">
        <f t="shared" si="53"/>
        <v>0</v>
      </c>
      <c r="I397" s="521">
        <f t="shared" si="54"/>
        <v>0</v>
      </c>
      <c r="J397" s="206"/>
      <c r="O397" s="166"/>
    </row>
    <row r="398" spans="2:15" x14ac:dyDescent="0.2">
      <c r="B398" s="1104">
        <v>2020</v>
      </c>
      <c r="C398" s="1105"/>
      <c r="D398" s="1105"/>
      <c r="E398" s="1106"/>
      <c r="F398" s="275"/>
      <c r="G398" s="521">
        <f>J152</f>
        <v>0</v>
      </c>
      <c r="H398" s="521">
        <f t="shared" si="53"/>
        <v>0</v>
      </c>
      <c r="I398" s="521">
        <f t="shared" si="54"/>
        <v>0</v>
      </c>
      <c r="J398" s="206"/>
      <c r="O398" s="166"/>
    </row>
    <row r="399" spans="2:15" s="273" customFormat="1" x14ac:dyDescent="0.2">
      <c r="G399" s="168">
        <f>SUM(G395:G398)</f>
        <v>0</v>
      </c>
      <c r="H399" s="168">
        <f>SUM(H395:H398)</f>
        <v>0</v>
      </c>
      <c r="I399" s="168">
        <f>SUM(I395:I398)</f>
        <v>0</v>
      </c>
    </row>
    <row r="400" spans="2:15" x14ac:dyDescent="0.2">
      <c r="G400" s="214"/>
      <c r="H400" s="214"/>
      <c r="I400" s="214"/>
      <c r="O400" s="166"/>
    </row>
    <row r="401" spans="2:15" x14ac:dyDescent="0.2">
      <c r="B401" s="273" t="s">
        <v>139</v>
      </c>
      <c r="F401" s="810">
        <v>2022</v>
      </c>
      <c r="O401" s="166"/>
    </row>
    <row r="402" spans="2:15" x14ac:dyDescent="0.2">
      <c r="O402" s="166"/>
    </row>
    <row r="403" spans="2:15" ht="78" customHeight="1" x14ac:dyDescent="0.2">
      <c r="B403" s="1101" t="s">
        <v>140</v>
      </c>
      <c r="C403" s="1102"/>
      <c r="D403" s="1102"/>
      <c r="E403" s="1103"/>
      <c r="F403" s="274"/>
      <c r="G403" s="165" t="str">
        <f>"Nog af te bouwen regulatoir saldo einde "&amp;F401-1</f>
        <v>Nog af te bouwen regulatoir saldo einde 2021</v>
      </c>
      <c r="H403" s="165" t="str">
        <f>"50% van het oorspronkelijk regulatoir saldo door te rekenen volgens de tariefmethodologie in het boekjaar "&amp;F401</f>
        <v>50% van het oorspronkelijk regulatoir saldo door te rekenen volgens de tariefmethodologie in het boekjaar 2022</v>
      </c>
      <c r="I403" s="165" t="str">
        <f>"Nog af te bouwen regulatoir saldo einde "&amp;F401</f>
        <v>Nog af te bouwen regulatoir saldo einde 2022</v>
      </c>
      <c r="J403" s="206"/>
      <c r="O403" s="166"/>
    </row>
    <row r="404" spans="2:15" x14ac:dyDescent="0.2">
      <c r="B404" s="1104">
        <v>2017</v>
      </c>
      <c r="C404" s="1105"/>
      <c r="D404" s="1105">
        <v>2016</v>
      </c>
      <c r="E404" s="1106"/>
      <c r="F404" s="275"/>
      <c r="G404" s="521">
        <f>+I395</f>
        <v>0</v>
      </c>
      <c r="H404" s="521">
        <f>-G395*0.5</f>
        <v>0</v>
      </c>
      <c r="I404" s="521">
        <f t="shared" ref="I404:I407" si="55">+G404+H404</f>
        <v>0</v>
      </c>
      <c r="J404" s="206"/>
      <c r="O404" s="166"/>
    </row>
    <row r="405" spans="2:15" x14ac:dyDescent="0.2">
      <c r="B405" s="1104">
        <v>2018</v>
      </c>
      <c r="C405" s="1105"/>
      <c r="D405" s="1105"/>
      <c r="E405" s="1106"/>
      <c r="F405" s="275"/>
      <c r="G405" s="521">
        <f t="shared" ref="G405:G407" si="56">+I396</f>
        <v>0</v>
      </c>
      <c r="H405" s="521">
        <f t="shared" ref="H405:H407" si="57">-G396*0.5</f>
        <v>0</v>
      </c>
      <c r="I405" s="521">
        <f t="shared" si="55"/>
        <v>0</v>
      </c>
      <c r="J405" s="206"/>
      <c r="O405" s="166"/>
    </row>
    <row r="406" spans="2:15" x14ac:dyDescent="0.2">
      <c r="B406" s="1104">
        <v>2019</v>
      </c>
      <c r="C406" s="1105"/>
      <c r="D406" s="1105"/>
      <c r="E406" s="1106"/>
      <c r="F406" s="275"/>
      <c r="G406" s="521">
        <f t="shared" si="56"/>
        <v>0</v>
      </c>
      <c r="H406" s="521">
        <f t="shared" si="57"/>
        <v>0</v>
      </c>
      <c r="I406" s="521">
        <f t="shared" si="55"/>
        <v>0</v>
      </c>
      <c r="J406" s="206"/>
      <c r="O406" s="166"/>
    </row>
    <row r="407" spans="2:15" x14ac:dyDescent="0.2">
      <c r="B407" s="1104">
        <v>2020</v>
      </c>
      <c r="C407" s="1105"/>
      <c r="D407" s="1105"/>
      <c r="E407" s="1106"/>
      <c r="F407" s="275"/>
      <c r="G407" s="521">
        <f t="shared" si="56"/>
        <v>0</v>
      </c>
      <c r="H407" s="521">
        <f t="shared" si="57"/>
        <v>0</v>
      </c>
      <c r="I407" s="521">
        <f t="shared" si="55"/>
        <v>0</v>
      </c>
      <c r="J407" s="206"/>
      <c r="O407" s="166"/>
    </row>
    <row r="408" spans="2:15" s="273" customFormat="1" x14ac:dyDescent="0.2">
      <c r="G408" s="168">
        <f>SUM(G404:G407)</f>
        <v>0</v>
      </c>
      <c r="H408" s="168">
        <f>SUM(H404:H407)</f>
        <v>0</v>
      </c>
      <c r="I408" s="168">
        <f>SUM(I404:I407)</f>
        <v>0</v>
      </c>
    </row>
    <row r="409" spans="2:15" x14ac:dyDescent="0.2">
      <c r="B409" s="273" t="s">
        <v>350</v>
      </c>
      <c r="C409" s="216"/>
      <c r="D409" s="216"/>
      <c r="E409" s="216"/>
      <c r="O409" s="166"/>
    </row>
    <row r="410" spans="2:15" x14ac:dyDescent="0.2">
      <c r="B410" s="273" t="s">
        <v>141</v>
      </c>
      <c r="C410" s="216"/>
      <c r="D410" s="216"/>
      <c r="E410" s="216"/>
      <c r="O410" s="166"/>
    </row>
    <row r="411" spans="2:15" x14ac:dyDescent="0.2">
      <c r="B411" s="273"/>
      <c r="C411" s="216"/>
      <c r="D411" s="216"/>
      <c r="E411" s="216"/>
      <c r="O411" s="166"/>
    </row>
    <row r="412" spans="2:15" x14ac:dyDescent="0.2">
      <c r="B412" s="275">
        <f>F392</f>
        <v>2021</v>
      </c>
      <c r="C412" s="279">
        <f>+H399</f>
        <v>0</v>
      </c>
      <c r="D412" s="216"/>
      <c r="E412" s="216"/>
      <c r="O412" s="166"/>
    </row>
    <row r="413" spans="2:15" x14ac:dyDescent="0.2">
      <c r="B413" s="275">
        <v>2022</v>
      </c>
      <c r="C413" s="279">
        <f>+H408</f>
        <v>0</v>
      </c>
      <c r="D413" s="216"/>
      <c r="E413" s="216"/>
      <c r="O413" s="166"/>
    </row>
    <row r="414" spans="2:15" x14ac:dyDescent="0.2">
      <c r="B414" s="336">
        <v>2023</v>
      </c>
      <c r="C414" s="337">
        <v>0</v>
      </c>
      <c r="D414" s="216"/>
      <c r="E414" s="216"/>
      <c r="O414" s="166"/>
    </row>
    <row r="415" spans="2:15" x14ac:dyDescent="0.2">
      <c r="B415" s="336">
        <v>2024</v>
      </c>
      <c r="C415" s="337">
        <v>0</v>
      </c>
      <c r="D415" s="216"/>
      <c r="E415" s="216"/>
      <c r="O415" s="166"/>
    </row>
    <row r="416" spans="2:15" x14ac:dyDescent="0.2">
      <c r="O416" s="166"/>
    </row>
    <row r="417" spans="2:16" x14ac:dyDescent="0.2">
      <c r="O417" s="166"/>
    </row>
    <row r="418" spans="2:16" x14ac:dyDescent="0.2">
      <c r="B418" s="321" t="s">
        <v>169</v>
      </c>
      <c r="C418" s="322"/>
      <c r="D418" s="322"/>
      <c r="E418" s="322"/>
      <c r="F418" s="323"/>
      <c r="G418" s="323"/>
      <c r="H418" s="323"/>
      <c r="I418" s="323"/>
      <c r="J418" s="323"/>
      <c r="K418" s="323"/>
      <c r="L418" s="323"/>
      <c r="M418" s="323"/>
      <c r="N418" s="323"/>
      <c r="O418" s="324"/>
      <c r="P418" s="323"/>
    </row>
    <row r="419" spans="2:16" x14ac:dyDescent="0.2">
      <c r="O419" s="206"/>
    </row>
    <row r="420" spans="2:16" x14ac:dyDescent="0.2">
      <c r="B420" s="273" t="s">
        <v>139</v>
      </c>
      <c r="F420" s="810">
        <v>2018</v>
      </c>
      <c r="O420" s="206"/>
    </row>
    <row r="421" spans="2:16" x14ac:dyDescent="0.2">
      <c r="O421" s="166"/>
    </row>
    <row r="422" spans="2:16" ht="102" customHeight="1" x14ac:dyDescent="0.2">
      <c r="B422" s="1101" t="s">
        <v>140</v>
      </c>
      <c r="C422" s="1102"/>
      <c r="D422" s="1102"/>
      <c r="E422" s="1103"/>
      <c r="F422" s="274"/>
      <c r="G422" s="165" t="str">
        <f>"Nog af te bouwen regulatoir saldo einde "&amp;F420-1</f>
        <v>Nog af te bouwen regulatoir saldo einde 2017</v>
      </c>
      <c r="H422" s="165" t="str">
        <f>"Afbouw oudste openstaande regulatoir saldo vanaf boekjaar "&amp;F420-2&amp;" en vroeger, door aanwending van compensatie met regulatoir saldo ontstaan over boekjaar "&amp;F420-1</f>
        <v>Afbouw oudste openstaande regulatoir saldo vanaf boekjaar 2016 en vroeger, door aanwending van compensatie met regulatoir saldo ontstaan over boekjaar 2017</v>
      </c>
      <c r="I422" s="165" t="str">
        <f>"Nog af te bouwen regulatoir saldo na compensatie einde "&amp;F420-1</f>
        <v>Nog af te bouwen regulatoir saldo na compensatie einde 2017</v>
      </c>
      <c r="J422" s="165" t="str">
        <f>"Aanwending van 50% van het geaccumuleerd regulatoir saldo door te rekenen volgens de tariefmethodologie in het boekjaar "&amp;F420</f>
        <v>Aanwending van 50% van het geaccumuleerd regulatoir saldo door te rekenen volgens de tariefmethodologie in het boekjaar 2018</v>
      </c>
      <c r="K422" s="165" t="str">
        <f>"Nog af te bouwen regulatoir saldo einde "&amp;F420</f>
        <v>Nog af te bouwen regulatoir saldo einde 2018</v>
      </c>
      <c r="L422" s="220"/>
      <c r="M422" s="220"/>
      <c r="N422" s="220"/>
      <c r="O422" s="166"/>
    </row>
    <row r="423" spans="2:16" x14ac:dyDescent="0.2">
      <c r="B423" s="1104">
        <v>2017</v>
      </c>
      <c r="C423" s="1105"/>
      <c r="D423" s="1105"/>
      <c r="E423" s="1106"/>
      <c r="F423" s="275"/>
      <c r="G423" s="521">
        <f>+G158</f>
        <v>0</v>
      </c>
      <c r="H423" s="521">
        <v>0</v>
      </c>
      <c r="I423" s="521">
        <f>+G423+H423</f>
        <v>0</v>
      </c>
      <c r="J423" s="821">
        <f>-I423*0.5</f>
        <v>0</v>
      </c>
      <c r="K423" s="851">
        <f>+J423+G423</f>
        <v>0</v>
      </c>
      <c r="L423" s="812"/>
      <c r="M423" s="812"/>
      <c r="N423" s="812"/>
      <c r="O423" s="166"/>
    </row>
    <row r="424" spans="2:16" x14ac:dyDescent="0.2">
      <c r="O424" s="166"/>
    </row>
    <row r="425" spans="2:16" x14ac:dyDescent="0.2">
      <c r="B425" s="273" t="s">
        <v>139</v>
      </c>
      <c r="F425" s="810">
        <v>2019</v>
      </c>
      <c r="O425" s="206"/>
    </row>
    <row r="426" spans="2:16" x14ac:dyDescent="0.2">
      <c r="O426" s="206"/>
    </row>
    <row r="427" spans="2:16" ht="102" customHeight="1" x14ac:dyDescent="0.2">
      <c r="B427" s="1101" t="s">
        <v>140</v>
      </c>
      <c r="C427" s="1102"/>
      <c r="D427" s="1102"/>
      <c r="E427" s="1103"/>
      <c r="F427" s="274"/>
      <c r="G427" s="165" t="str">
        <f>"Nog af te bouwen regulatoir saldo einde "&amp;F425-1</f>
        <v>Nog af te bouwen regulatoir saldo einde 2018</v>
      </c>
      <c r="H427" s="165" t="str">
        <f>"Afbouw oudste openstaande regulatoir saldo vanaf boekjaar "&amp;F425-2&amp;" en vroeger, door aanwending van compensatie met regulatoir saldo ontstaan over boekjaar "&amp;F425-1</f>
        <v>Afbouw oudste openstaande regulatoir saldo vanaf boekjaar 2017 en vroeger, door aanwending van compensatie met regulatoir saldo ontstaan over boekjaar 2018</v>
      </c>
      <c r="I427" s="165" t="str">
        <f>"Nog af te bouwen regulatoir saldo na compensatie einde "&amp;F425-1</f>
        <v>Nog af te bouwen regulatoir saldo na compensatie einde 2018</v>
      </c>
      <c r="J427" s="213" t="str">
        <f>"Aanwending van 50% van het geaccumuleerd regulatoir saldo door te rekenen volgens de tariefmethodologie in het boekjaar "&amp;F425</f>
        <v>Aanwending van 50% van het geaccumuleerd regulatoir saldo door te rekenen volgens de tariefmethodologie in het boekjaar 2019</v>
      </c>
      <c r="K427" s="213" t="str">
        <f>"Aanwending van 50% van het geaccumuleerd regulatoir saldo door te rekenen volgens de tariefmethodologie in het boekjaar "&amp;F425</f>
        <v>Aanwending van 50% van het geaccumuleerd regulatoir saldo door te rekenen volgens de tariefmethodologie in het boekjaar 2019</v>
      </c>
      <c r="L427" s="165" t="str">
        <f>"Totale afbouw over "&amp;F425</f>
        <v>Totale afbouw over 2019</v>
      </c>
      <c r="M427" s="165" t="str">
        <f>"Nog af te bouwen regulatoir saldo einde "&amp;F425</f>
        <v>Nog af te bouwen regulatoir saldo einde 2019</v>
      </c>
      <c r="N427" s="206"/>
      <c r="O427" s="166"/>
    </row>
    <row r="428" spans="2:16" x14ac:dyDescent="0.2">
      <c r="B428" s="1104">
        <v>2017</v>
      </c>
      <c r="C428" s="1105"/>
      <c r="D428" s="1105"/>
      <c r="E428" s="1106"/>
      <c r="F428" s="275"/>
      <c r="G428" s="521">
        <f>K423</f>
        <v>0</v>
      </c>
      <c r="H428" s="521">
        <f>IF(SIGN(G429*K423)&lt;0,IF(G428&lt;&gt;0,-SIGN(G428)*MIN(ABS(G429),ABS(G428)),0),0)</f>
        <v>0</v>
      </c>
      <c r="I428" s="521">
        <f>+G428+H428</f>
        <v>0</v>
      </c>
      <c r="J428" s="852"/>
      <c r="K428" s="821">
        <f>-MIN(ABS(I428),ABS(J430))*SIGN(I428)</f>
        <v>0</v>
      </c>
      <c r="L428" s="813">
        <f>+K428+H428</f>
        <v>0</v>
      </c>
      <c r="M428" s="521">
        <f>+I428+K428</f>
        <v>0</v>
      </c>
      <c r="N428" s="206"/>
      <c r="O428" s="166"/>
    </row>
    <row r="429" spans="2:16" x14ac:dyDescent="0.2">
      <c r="B429" s="1104">
        <v>2018</v>
      </c>
      <c r="C429" s="1105"/>
      <c r="D429" s="1105"/>
      <c r="E429" s="1106"/>
      <c r="F429" s="275"/>
      <c r="G429" s="521">
        <f>+H159</f>
        <v>0</v>
      </c>
      <c r="H429" s="813">
        <f>IF(SIGN(G429*K423)&lt;0,-H428,0)</f>
        <v>0</v>
      </c>
      <c r="I429" s="521">
        <f>+G429+H429</f>
        <v>0</v>
      </c>
      <c r="J429" s="852"/>
      <c r="K429" s="821">
        <f>-MIN(ABS(I429),ABS(J430-K428))*SIGN(I429)</f>
        <v>0</v>
      </c>
      <c r="L429" s="813">
        <f>+K429+H429</f>
        <v>0</v>
      </c>
      <c r="M429" s="521">
        <f>+I429+K429</f>
        <v>0</v>
      </c>
      <c r="N429" s="206"/>
      <c r="O429" s="166"/>
    </row>
    <row r="430" spans="2:16" s="273" customFormat="1" x14ac:dyDescent="0.2">
      <c r="G430" s="168">
        <f>SUM(G428:G429)</f>
        <v>0</v>
      </c>
      <c r="H430" s="168">
        <f>SUM(H428:H429)</f>
        <v>0</v>
      </c>
      <c r="I430" s="168">
        <f>SUM(I428:I429)</f>
        <v>0</v>
      </c>
      <c r="J430" s="286">
        <f>-I430*0.5</f>
        <v>0</v>
      </c>
      <c r="K430" s="286">
        <f>SUM(K428:K429)</f>
        <v>0</v>
      </c>
      <c r="L430" s="528"/>
      <c r="M430" s="168">
        <f>SUM(M428:M429)</f>
        <v>0</v>
      </c>
    </row>
    <row r="431" spans="2:16" x14ac:dyDescent="0.2">
      <c r="O431" s="166"/>
    </row>
    <row r="432" spans="2:16" x14ac:dyDescent="0.2">
      <c r="B432" s="273" t="s">
        <v>139</v>
      </c>
      <c r="F432" s="810">
        <v>2020</v>
      </c>
      <c r="O432" s="166"/>
    </row>
    <row r="433" spans="2:15" x14ac:dyDescent="0.2">
      <c r="O433" s="166"/>
    </row>
    <row r="434" spans="2:15" ht="102" customHeight="1" x14ac:dyDescent="0.2">
      <c r="B434" s="1101" t="s">
        <v>140</v>
      </c>
      <c r="C434" s="1102"/>
      <c r="D434" s="1102"/>
      <c r="E434" s="1103"/>
      <c r="F434" s="274"/>
      <c r="G434" s="165" t="str">
        <f>"Nog af te bouwen regulatoir saldo einde "&amp;F432-1</f>
        <v>Nog af te bouwen regulatoir saldo einde 2019</v>
      </c>
      <c r="H434" s="165" t="str">
        <f>"Afbouw oudste openstaande regulatoir saldo vanaf boekjaar "&amp;F432-2&amp;" en vroeger, door aanwending van compensatie met regulatoir saldo ontstaan over boekjaar "&amp;F432-1</f>
        <v>Afbouw oudste openstaande regulatoir saldo vanaf boekjaar 2018 en vroeger, door aanwending van compensatie met regulatoir saldo ontstaan over boekjaar 2019</v>
      </c>
      <c r="I434" s="165" t="str">
        <f>"Nog af te bouwen regulatoir saldo na compensatie einde "&amp;F432-1</f>
        <v>Nog af te bouwen regulatoir saldo na compensatie einde 2019</v>
      </c>
      <c r="J434" s="213" t="str">
        <f>"Aanwending van 50% van het geaccumuleerd regulatoir saldo door te rekenen volgens de tariefmethodologie in het boekjaar "&amp;F432</f>
        <v>Aanwending van 50% van het geaccumuleerd regulatoir saldo door te rekenen volgens de tariefmethodologie in het boekjaar 2020</v>
      </c>
      <c r="K434" s="213" t="str">
        <f>"Aanwending van 50% van het geaccumuleerd regulatoir saldo door te rekenen volgens de tariefmethodologie in het boekjaar "&amp;F432</f>
        <v>Aanwending van 50% van het geaccumuleerd regulatoir saldo door te rekenen volgens de tariefmethodologie in het boekjaar 2020</v>
      </c>
      <c r="L434" s="165" t="str">
        <f>"Totale afbouw over "&amp;F432</f>
        <v>Totale afbouw over 2020</v>
      </c>
      <c r="M434" s="165" t="str">
        <f>"Nog af te bouwen regulatoir saldo einde "&amp;F432</f>
        <v>Nog af te bouwen regulatoir saldo einde 2020</v>
      </c>
      <c r="N434" s="206"/>
      <c r="O434" s="166"/>
    </row>
    <row r="435" spans="2:15" x14ac:dyDescent="0.2">
      <c r="B435" s="1104">
        <v>2017</v>
      </c>
      <c r="C435" s="1105"/>
      <c r="D435" s="1105"/>
      <c r="E435" s="1106"/>
      <c r="F435" s="275"/>
      <c r="G435" s="521">
        <f>+M428</f>
        <v>0</v>
      </c>
      <c r="H435" s="813">
        <f>IF(SIGN(G437*M430)&lt;0,IF(G435&lt;&gt;0,-SIGN(G435)*MIN(ABS(G437),ABS(G435)),0),0)</f>
        <v>0</v>
      </c>
      <c r="I435" s="521">
        <f>+G435+H435</f>
        <v>0</v>
      </c>
      <c r="J435" s="852"/>
      <c r="K435" s="821">
        <f>-MIN(ABS(I435),ABS(J438))*SIGN(I435)</f>
        <v>0</v>
      </c>
      <c r="L435" s="813">
        <f>+K435+H435</f>
        <v>0</v>
      </c>
      <c r="M435" s="521">
        <f>+I435+K435</f>
        <v>0</v>
      </c>
      <c r="N435" s="206"/>
      <c r="O435" s="166"/>
    </row>
    <row r="436" spans="2:15" x14ac:dyDescent="0.2">
      <c r="B436" s="1104">
        <v>2018</v>
      </c>
      <c r="C436" s="1105"/>
      <c r="D436" s="1105">
        <v>2016</v>
      </c>
      <c r="E436" s="1106"/>
      <c r="F436" s="275"/>
      <c r="G436" s="521">
        <f>+M429</f>
        <v>0</v>
      </c>
      <c r="H436" s="813">
        <f>IF(SIGN(G437*M430)&lt;0,IF(G436&lt;&gt;0,-SIGN(G436)*MIN(ABS(G437-H435),ABS(G436)),0),0)</f>
        <v>0</v>
      </c>
      <c r="I436" s="521">
        <f>+G436+H436</f>
        <v>0</v>
      </c>
      <c r="J436" s="852"/>
      <c r="K436" s="821">
        <f>-MIN(ABS(I436),ABS(J438-K435))*SIGN(I436)</f>
        <v>0</v>
      </c>
      <c r="L436" s="813">
        <f>+K436+H436</f>
        <v>0</v>
      </c>
      <c r="M436" s="521">
        <f>+I436+K436</f>
        <v>0</v>
      </c>
      <c r="N436" s="206"/>
      <c r="O436" s="166"/>
    </row>
    <row r="437" spans="2:15" x14ac:dyDescent="0.2">
      <c r="B437" s="1104">
        <v>2019</v>
      </c>
      <c r="C437" s="1105"/>
      <c r="D437" s="1105"/>
      <c r="E437" s="1106"/>
      <c r="F437" s="275"/>
      <c r="G437" s="521">
        <f>I160</f>
        <v>0</v>
      </c>
      <c r="H437" s="813">
        <f>IF(SIGN(G437*M430)&lt;0,-SUM(H435:H436),0)</f>
        <v>0</v>
      </c>
      <c r="I437" s="521">
        <f>+G437+H437</f>
        <v>0</v>
      </c>
      <c r="J437" s="852"/>
      <c r="K437" s="821">
        <f>-MIN(ABS(I437),ABS(J438-K435-K436))*SIGN(I437)</f>
        <v>0</v>
      </c>
      <c r="L437" s="813">
        <f>+K437+H437</f>
        <v>0</v>
      </c>
      <c r="M437" s="521">
        <f>+I437+K437</f>
        <v>0</v>
      </c>
      <c r="N437" s="206"/>
      <c r="O437" s="166"/>
    </row>
    <row r="438" spans="2:15" s="273" customFormat="1" x14ac:dyDescent="0.2">
      <c r="G438" s="168">
        <f>SUM(G435:G437)</f>
        <v>0</v>
      </c>
      <c r="H438" s="168">
        <f>SUM(H435:H437)</f>
        <v>0</v>
      </c>
      <c r="I438" s="168">
        <f>SUM(I435:I437)</f>
        <v>0</v>
      </c>
      <c r="J438" s="286">
        <f>-I438*0.5</f>
        <v>0</v>
      </c>
      <c r="K438" s="286">
        <f>SUM(K435:K437)</f>
        <v>0</v>
      </c>
      <c r="L438" s="528"/>
      <c r="M438" s="168">
        <f>SUM(M435:M437)</f>
        <v>0</v>
      </c>
    </row>
    <row r="439" spans="2:15" x14ac:dyDescent="0.2">
      <c r="O439" s="166"/>
    </row>
    <row r="440" spans="2:15" x14ac:dyDescent="0.2">
      <c r="B440" s="273" t="s">
        <v>139</v>
      </c>
      <c r="F440" s="810">
        <v>2021</v>
      </c>
      <c r="O440" s="166"/>
    </row>
    <row r="441" spans="2:15" x14ac:dyDescent="0.2">
      <c r="O441" s="166"/>
    </row>
    <row r="442" spans="2:15" ht="78" customHeight="1" x14ac:dyDescent="0.2">
      <c r="B442" s="1101" t="s">
        <v>140</v>
      </c>
      <c r="C442" s="1102"/>
      <c r="D442" s="1102"/>
      <c r="E442" s="1103"/>
      <c r="F442" s="274"/>
      <c r="G442" s="165" t="str">
        <f>"Nog af te bouwen regulatoir saldo einde "&amp;F440-1</f>
        <v>Nog af te bouwen regulatoir saldo einde 2020</v>
      </c>
      <c r="H442" s="165" t="str">
        <f>"50% van het oorspronkelijk regulatoir saldo door te rekenen volgens de tariefmethodologie in het boekjaar "&amp;F440</f>
        <v>50% van het oorspronkelijk regulatoir saldo door te rekenen volgens de tariefmethodologie in het boekjaar 2021</v>
      </c>
      <c r="I442" s="165" t="str">
        <f>"Nog af te bouwen regulatoir saldo einde "&amp;F440</f>
        <v>Nog af te bouwen regulatoir saldo einde 2021</v>
      </c>
      <c r="J442" s="206"/>
      <c r="O442" s="166"/>
    </row>
    <row r="443" spans="2:15" x14ac:dyDescent="0.2">
      <c r="B443" s="1104">
        <v>2017</v>
      </c>
      <c r="C443" s="1105"/>
      <c r="D443" s="1105"/>
      <c r="E443" s="1106"/>
      <c r="F443" s="275"/>
      <c r="G443" s="521">
        <f>+M435</f>
        <v>0</v>
      </c>
      <c r="H443" s="521">
        <f>-G443*0.5</f>
        <v>0</v>
      </c>
      <c r="I443" s="521">
        <f>+G443+H443</f>
        <v>0</v>
      </c>
      <c r="J443" s="206"/>
      <c r="O443" s="166"/>
    </row>
    <row r="444" spans="2:15" x14ac:dyDescent="0.2">
      <c r="B444" s="1104">
        <v>2018</v>
      </c>
      <c r="C444" s="1105"/>
      <c r="D444" s="1105"/>
      <c r="E444" s="1106"/>
      <c r="F444" s="275"/>
      <c r="G444" s="521">
        <f t="shared" ref="G444:G445" si="58">+M436</f>
        <v>0</v>
      </c>
      <c r="H444" s="521">
        <f t="shared" ref="H444:H446" si="59">-G444*0.5</f>
        <v>0</v>
      </c>
      <c r="I444" s="521">
        <f t="shared" ref="I444:I446" si="60">+G444+H444</f>
        <v>0</v>
      </c>
      <c r="J444" s="206"/>
      <c r="O444" s="166"/>
    </row>
    <row r="445" spans="2:15" x14ac:dyDescent="0.2">
      <c r="B445" s="1104">
        <v>2019</v>
      </c>
      <c r="C445" s="1105"/>
      <c r="D445" s="1105">
        <v>2016</v>
      </c>
      <c r="E445" s="1106"/>
      <c r="F445" s="275"/>
      <c r="G445" s="521">
        <f t="shared" si="58"/>
        <v>0</v>
      </c>
      <c r="H445" s="521">
        <f t="shared" si="59"/>
        <v>0</v>
      </c>
      <c r="I445" s="521">
        <f t="shared" si="60"/>
        <v>0</v>
      </c>
      <c r="J445" s="206"/>
      <c r="O445" s="166"/>
    </row>
    <row r="446" spans="2:15" x14ac:dyDescent="0.2">
      <c r="B446" s="1104">
        <v>2020</v>
      </c>
      <c r="C446" s="1105"/>
      <c r="D446" s="1105"/>
      <c r="E446" s="1106"/>
      <c r="F446" s="275"/>
      <c r="G446" s="521">
        <f>J161</f>
        <v>0</v>
      </c>
      <c r="H446" s="521">
        <f t="shared" si="59"/>
        <v>0</v>
      </c>
      <c r="I446" s="521">
        <f t="shared" si="60"/>
        <v>0</v>
      </c>
      <c r="J446" s="206"/>
      <c r="O446" s="166"/>
    </row>
    <row r="447" spans="2:15" s="273" customFormat="1" x14ac:dyDescent="0.2">
      <c r="G447" s="168">
        <f>SUM(G443:G446)</f>
        <v>0</v>
      </c>
      <c r="H447" s="168">
        <f>SUM(H443:H446)</f>
        <v>0</v>
      </c>
      <c r="I447" s="168">
        <f>SUM(I443:I446)</f>
        <v>0</v>
      </c>
    </row>
    <row r="448" spans="2:15" x14ac:dyDescent="0.2">
      <c r="G448" s="214"/>
      <c r="H448" s="214"/>
      <c r="I448" s="214"/>
      <c r="O448" s="166"/>
    </row>
    <row r="449" spans="2:15" x14ac:dyDescent="0.2">
      <c r="B449" s="273" t="s">
        <v>139</v>
      </c>
      <c r="F449" s="810">
        <v>2022</v>
      </c>
      <c r="O449" s="166"/>
    </row>
    <row r="450" spans="2:15" x14ac:dyDescent="0.2">
      <c r="O450" s="166"/>
    </row>
    <row r="451" spans="2:15" ht="78" customHeight="1" x14ac:dyDescent="0.2">
      <c r="B451" s="1101" t="s">
        <v>140</v>
      </c>
      <c r="C451" s="1102"/>
      <c r="D451" s="1102"/>
      <c r="E451" s="1103"/>
      <c r="F451" s="274"/>
      <c r="G451" s="165" t="str">
        <f>"Nog af te bouwen regulatoir saldo einde "&amp;F449-1</f>
        <v>Nog af te bouwen regulatoir saldo einde 2021</v>
      </c>
      <c r="H451" s="165" t="str">
        <f>"50% van het oorspronkelijk regulatoir saldo door te rekenen volgens de tariefmethodologie in het boekjaar "&amp;F449</f>
        <v>50% van het oorspronkelijk regulatoir saldo door te rekenen volgens de tariefmethodologie in het boekjaar 2022</v>
      </c>
      <c r="I451" s="165" t="str">
        <f>"Nog af te bouwen regulatoir saldo einde "&amp;F449</f>
        <v>Nog af te bouwen regulatoir saldo einde 2022</v>
      </c>
      <c r="J451" s="206"/>
      <c r="O451" s="166"/>
    </row>
    <row r="452" spans="2:15" x14ac:dyDescent="0.2">
      <c r="B452" s="1104">
        <v>2017</v>
      </c>
      <c r="C452" s="1105"/>
      <c r="D452" s="1105">
        <v>2016</v>
      </c>
      <c r="E452" s="1106"/>
      <c r="F452" s="275"/>
      <c r="G452" s="521">
        <f>+I443</f>
        <v>0</v>
      </c>
      <c r="H452" s="521">
        <f>-G443*0.5</f>
        <v>0</v>
      </c>
      <c r="I452" s="521">
        <f t="shared" ref="I452:I455" si="61">+G452+H452</f>
        <v>0</v>
      </c>
      <c r="J452" s="206"/>
      <c r="O452" s="166"/>
    </row>
    <row r="453" spans="2:15" x14ac:dyDescent="0.2">
      <c r="B453" s="1104">
        <v>2018</v>
      </c>
      <c r="C453" s="1105"/>
      <c r="D453" s="1105"/>
      <c r="E453" s="1106"/>
      <c r="F453" s="275"/>
      <c r="G453" s="521">
        <f t="shared" ref="G453:G455" si="62">+I444</f>
        <v>0</v>
      </c>
      <c r="H453" s="521">
        <f t="shared" ref="H453:H455" si="63">-G444*0.5</f>
        <v>0</v>
      </c>
      <c r="I453" s="521">
        <f t="shared" si="61"/>
        <v>0</v>
      </c>
      <c r="J453" s="206"/>
      <c r="O453" s="166"/>
    </row>
    <row r="454" spans="2:15" x14ac:dyDescent="0.2">
      <c r="B454" s="1104">
        <v>2019</v>
      </c>
      <c r="C454" s="1105"/>
      <c r="D454" s="1105"/>
      <c r="E454" s="1106"/>
      <c r="F454" s="275"/>
      <c r="G454" s="521">
        <f t="shared" si="62"/>
        <v>0</v>
      </c>
      <c r="H454" s="521">
        <f t="shared" si="63"/>
        <v>0</v>
      </c>
      <c r="I454" s="521">
        <f t="shared" si="61"/>
        <v>0</v>
      </c>
      <c r="J454" s="206"/>
      <c r="O454" s="166"/>
    </row>
    <row r="455" spans="2:15" x14ac:dyDescent="0.2">
      <c r="B455" s="1104">
        <v>2020</v>
      </c>
      <c r="C455" s="1105"/>
      <c r="D455" s="1105"/>
      <c r="E455" s="1106"/>
      <c r="F455" s="275"/>
      <c r="G455" s="521">
        <f t="shared" si="62"/>
        <v>0</v>
      </c>
      <c r="H455" s="521">
        <f t="shared" si="63"/>
        <v>0</v>
      </c>
      <c r="I455" s="521">
        <f t="shared" si="61"/>
        <v>0</v>
      </c>
      <c r="J455" s="206"/>
      <c r="O455" s="166"/>
    </row>
    <row r="456" spans="2:15" s="273" customFormat="1" x14ac:dyDescent="0.2">
      <c r="G456" s="168">
        <f>SUM(G452:G455)</f>
        <v>0</v>
      </c>
      <c r="H456" s="168">
        <f>SUM(H452:H455)</f>
        <v>0</v>
      </c>
      <c r="I456" s="168">
        <f>SUM(I452:I455)</f>
        <v>0</v>
      </c>
    </row>
    <row r="457" spans="2:15" x14ac:dyDescent="0.2">
      <c r="B457" s="273" t="s">
        <v>169</v>
      </c>
      <c r="O457" s="166"/>
    </row>
    <row r="458" spans="2:15" x14ac:dyDescent="0.2">
      <c r="B458" s="273" t="s">
        <v>141</v>
      </c>
      <c r="C458" s="216"/>
      <c r="D458" s="216"/>
      <c r="E458" s="216"/>
      <c r="O458" s="166"/>
    </row>
    <row r="459" spans="2:15" x14ac:dyDescent="0.2">
      <c r="B459" s="273"/>
      <c r="C459" s="216"/>
      <c r="D459" s="216"/>
      <c r="E459" s="216"/>
      <c r="O459" s="166"/>
    </row>
    <row r="460" spans="2:15" x14ac:dyDescent="0.2">
      <c r="B460" s="275">
        <f>F440</f>
        <v>2021</v>
      </c>
      <c r="C460" s="279">
        <f>+H447</f>
        <v>0</v>
      </c>
      <c r="D460" s="216"/>
      <c r="E460" s="216"/>
      <c r="O460" s="166"/>
    </row>
    <row r="461" spans="2:15" x14ac:dyDescent="0.2">
      <c r="B461" s="275">
        <v>2022</v>
      </c>
      <c r="C461" s="279">
        <f>+H456</f>
        <v>0</v>
      </c>
      <c r="D461" s="216"/>
      <c r="E461" s="216"/>
      <c r="O461" s="166"/>
    </row>
    <row r="462" spans="2:15" x14ac:dyDescent="0.2">
      <c r="B462" s="336">
        <v>2023</v>
      </c>
      <c r="C462" s="337">
        <v>0</v>
      </c>
      <c r="D462" s="216"/>
      <c r="E462" s="216"/>
      <c r="O462" s="166"/>
    </row>
    <row r="463" spans="2:15" x14ac:dyDescent="0.2">
      <c r="B463" s="336">
        <v>2024</v>
      </c>
      <c r="C463" s="337">
        <v>0</v>
      </c>
      <c r="D463" s="216"/>
      <c r="E463" s="216"/>
      <c r="O463" s="166"/>
    </row>
    <row r="464" spans="2:15" x14ac:dyDescent="0.2">
      <c r="O464" s="166"/>
    </row>
    <row r="465" spans="2:16" x14ac:dyDescent="0.2">
      <c r="O465" s="166"/>
    </row>
    <row r="466" spans="2:16" x14ac:dyDescent="0.2">
      <c r="B466" s="321" t="s">
        <v>67</v>
      </c>
      <c r="C466" s="322"/>
      <c r="D466" s="322"/>
      <c r="E466" s="322"/>
      <c r="F466" s="323"/>
      <c r="G466" s="323"/>
      <c r="H466" s="323"/>
      <c r="I466" s="323"/>
      <c r="J466" s="323"/>
      <c r="K466" s="323"/>
      <c r="L466" s="323"/>
      <c r="M466" s="323"/>
      <c r="N466" s="323"/>
      <c r="O466" s="324"/>
      <c r="P466" s="323"/>
    </row>
    <row r="467" spans="2:16" x14ac:dyDescent="0.2">
      <c r="O467" s="206"/>
    </row>
    <row r="468" spans="2:16" x14ac:dyDescent="0.2">
      <c r="B468" s="273" t="s">
        <v>139</v>
      </c>
      <c r="F468" s="810">
        <v>2018</v>
      </c>
      <c r="O468" s="206"/>
    </row>
    <row r="469" spans="2:16" x14ac:dyDescent="0.2">
      <c r="O469" s="166"/>
    </row>
    <row r="470" spans="2:16" ht="102" customHeight="1" x14ac:dyDescent="0.2">
      <c r="B470" s="1101" t="s">
        <v>140</v>
      </c>
      <c r="C470" s="1102"/>
      <c r="D470" s="1102"/>
      <c r="E470" s="1103"/>
      <c r="F470" s="274"/>
      <c r="G470" s="165" t="str">
        <f>"Nog af te bouwen regulatoir saldo einde "&amp;F468-1</f>
        <v>Nog af te bouwen regulatoir saldo einde 2017</v>
      </c>
      <c r="H470" s="165" t="str">
        <f>"Afbouw oudste openstaande regulatoir saldo vanaf boekjaar "&amp;F468-2&amp;" en vroeger, door aanwending van compensatie met regulatoir saldo ontstaan over boekjaar "&amp;F468-1</f>
        <v>Afbouw oudste openstaande regulatoir saldo vanaf boekjaar 2016 en vroeger, door aanwending van compensatie met regulatoir saldo ontstaan over boekjaar 2017</v>
      </c>
      <c r="I470" s="165" t="str">
        <f>"Nog af te bouwen regulatoir saldo na compensatie einde "&amp;F468-1</f>
        <v>Nog af te bouwen regulatoir saldo na compensatie einde 2017</v>
      </c>
      <c r="J470" s="165" t="str">
        <f>"Aanwending van 50% van het geaccumuleerd regulatoir saldo door te rekenen volgens de tariefmethodologie in het boekjaar "&amp;F468</f>
        <v>Aanwending van 50% van het geaccumuleerd regulatoir saldo door te rekenen volgens de tariefmethodologie in het boekjaar 2018</v>
      </c>
      <c r="K470" s="165" t="str">
        <f>"Nog af te bouwen regulatoir saldo einde "&amp;F468</f>
        <v>Nog af te bouwen regulatoir saldo einde 2018</v>
      </c>
      <c r="L470" s="220"/>
      <c r="M470" s="220"/>
      <c r="N470" s="220"/>
      <c r="O470" s="166"/>
    </row>
    <row r="471" spans="2:16" x14ac:dyDescent="0.2">
      <c r="B471" s="1104">
        <v>2017</v>
      </c>
      <c r="C471" s="1105"/>
      <c r="D471" s="1105"/>
      <c r="E471" s="1106"/>
      <c r="F471" s="275"/>
      <c r="G471" s="521">
        <f>+G167</f>
        <v>0</v>
      </c>
      <c r="H471" s="521">
        <v>0</v>
      </c>
      <c r="I471" s="521">
        <f>+G471+H471</f>
        <v>0</v>
      </c>
      <c r="J471" s="821">
        <f>-I471*0.5</f>
        <v>0</v>
      </c>
      <c r="K471" s="851">
        <f>+J471+G471</f>
        <v>0</v>
      </c>
      <c r="L471" s="812"/>
      <c r="M471" s="812"/>
      <c r="N471" s="812"/>
      <c r="O471" s="166"/>
    </row>
    <row r="472" spans="2:16" x14ac:dyDescent="0.2">
      <c r="O472" s="166"/>
    </row>
    <row r="473" spans="2:16" x14ac:dyDescent="0.2">
      <c r="B473" s="273" t="s">
        <v>139</v>
      </c>
      <c r="F473" s="810">
        <v>2019</v>
      </c>
      <c r="O473" s="206"/>
    </row>
    <row r="474" spans="2:16" x14ac:dyDescent="0.2">
      <c r="O474" s="206"/>
    </row>
    <row r="475" spans="2:16" ht="102" customHeight="1" x14ac:dyDescent="0.2">
      <c r="B475" s="1101" t="s">
        <v>140</v>
      </c>
      <c r="C475" s="1102"/>
      <c r="D475" s="1102"/>
      <c r="E475" s="1103"/>
      <c r="F475" s="274"/>
      <c r="G475" s="165" t="str">
        <f>"Nog af te bouwen regulatoir saldo einde "&amp;F473-1</f>
        <v>Nog af te bouwen regulatoir saldo einde 2018</v>
      </c>
      <c r="H475" s="165" t="str">
        <f>"Afbouw oudste openstaande regulatoir saldo vanaf boekjaar "&amp;F473-2&amp;" en vroeger, door aanwending van compensatie met regulatoir saldo ontstaan over boekjaar "&amp;F473-1</f>
        <v>Afbouw oudste openstaande regulatoir saldo vanaf boekjaar 2017 en vroeger, door aanwending van compensatie met regulatoir saldo ontstaan over boekjaar 2018</v>
      </c>
      <c r="I475" s="165" t="str">
        <f>"Nog af te bouwen regulatoir saldo na compensatie einde "&amp;F473-1</f>
        <v>Nog af te bouwen regulatoir saldo na compensatie einde 2018</v>
      </c>
      <c r="J475" s="213" t="str">
        <f>"Aanwending van 50% van het geaccumuleerd regulatoir saldo door te rekenen volgens de tariefmethodologie in het boekjaar "&amp;F473</f>
        <v>Aanwending van 50% van het geaccumuleerd regulatoir saldo door te rekenen volgens de tariefmethodologie in het boekjaar 2019</v>
      </c>
      <c r="K475" s="213" t="str">
        <f>"Aanwending van 50% van het geaccumuleerd regulatoir saldo door te rekenen volgens de tariefmethodologie in het boekjaar "&amp;F473</f>
        <v>Aanwending van 50% van het geaccumuleerd regulatoir saldo door te rekenen volgens de tariefmethodologie in het boekjaar 2019</v>
      </c>
      <c r="L475" s="165" t="str">
        <f>"Totale afbouw over "&amp;F473</f>
        <v>Totale afbouw over 2019</v>
      </c>
      <c r="M475" s="165" t="str">
        <f>"Nog af te bouwen regulatoir saldo einde "&amp;F473</f>
        <v>Nog af te bouwen regulatoir saldo einde 2019</v>
      </c>
      <c r="N475" s="206"/>
      <c r="O475" s="166"/>
    </row>
    <row r="476" spans="2:16" x14ac:dyDescent="0.2">
      <c r="B476" s="1104">
        <v>2017</v>
      </c>
      <c r="C476" s="1105"/>
      <c r="D476" s="1105"/>
      <c r="E476" s="1106"/>
      <c r="F476" s="275"/>
      <c r="G476" s="521">
        <f>K471</f>
        <v>0</v>
      </c>
      <c r="H476" s="521">
        <f>IF(SIGN(G477*K471)&lt;0,IF(G476&lt;&gt;0,-SIGN(G476)*MIN(ABS(G477),ABS(G476)),0),0)</f>
        <v>0</v>
      </c>
      <c r="I476" s="521">
        <f>+G476+H476</f>
        <v>0</v>
      </c>
      <c r="J476" s="852"/>
      <c r="K476" s="821">
        <f>-MIN(ABS(I476),ABS(J478))*SIGN(I476)</f>
        <v>0</v>
      </c>
      <c r="L476" s="813">
        <f>+K476+H476</f>
        <v>0</v>
      </c>
      <c r="M476" s="521">
        <f>+I476+K476</f>
        <v>0</v>
      </c>
      <c r="N476" s="206"/>
      <c r="O476" s="166"/>
    </row>
    <row r="477" spans="2:16" x14ac:dyDescent="0.2">
      <c r="B477" s="1104">
        <v>2018</v>
      </c>
      <c r="C477" s="1105"/>
      <c r="D477" s="1105"/>
      <c r="E477" s="1106"/>
      <c r="F477" s="275"/>
      <c r="G477" s="521">
        <f>+H168</f>
        <v>0</v>
      </c>
      <c r="H477" s="813">
        <f>IF(SIGN(G477*K471)&lt;0,-H476,0)</f>
        <v>0</v>
      </c>
      <c r="I477" s="521">
        <f>+G477+H477</f>
        <v>0</v>
      </c>
      <c r="J477" s="852"/>
      <c r="K477" s="821">
        <f>-MIN(ABS(I477),ABS(J478-K476))*SIGN(I477)</f>
        <v>0</v>
      </c>
      <c r="L477" s="813">
        <f>+K477+H477</f>
        <v>0</v>
      </c>
      <c r="M477" s="521">
        <f>+I477+K477</f>
        <v>0</v>
      </c>
      <c r="N477" s="206"/>
      <c r="O477" s="166"/>
    </row>
    <row r="478" spans="2:16" s="273" customFormat="1" x14ac:dyDescent="0.2">
      <c r="G478" s="168">
        <f>SUM(G476:G477)</f>
        <v>0</v>
      </c>
      <c r="H478" s="168">
        <f>SUM(H476:H477)</f>
        <v>0</v>
      </c>
      <c r="I478" s="168">
        <f>SUM(I476:I477)</f>
        <v>0</v>
      </c>
      <c r="J478" s="286">
        <f>-I478*0.5</f>
        <v>0</v>
      </c>
      <c r="K478" s="286">
        <f>SUM(K476:K477)</f>
        <v>0</v>
      </c>
      <c r="L478" s="528"/>
      <c r="M478" s="168">
        <f>SUM(M476:M477)</f>
        <v>0</v>
      </c>
    </row>
    <row r="479" spans="2:16" x14ac:dyDescent="0.2">
      <c r="O479" s="166"/>
    </row>
    <row r="480" spans="2:16" x14ac:dyDescent="0.2">
      <c r="B480" s="273" t="s">
        <v>139</v>
      </c>
      <c r="F480" s="810">
        <v>2020</v>
      </c>
      <c r="O480" s="166"/>
    </row>
    <row r="481" spans="2:15" x14ac:dyDescent="0.2">
      <c r="O481" s="166"/>
    </row>
    <row r="482" spans="2:15" ht="102" customHeight="1" x14ac:dyDescent="0.2">
      <c r="B482" s="1101" t="s">
        <v>140</v>
      </c>
      <c r="C482" s="1102"/>
      <c r="D482" s="1102"/>
      <c r="E482" s="1103"/>
      <c r="F482" s="274"/>
      <c r="G482" s="165" t="str">
        <f>"Nog af te bouwen regulatoir saldo einde "&amp;F480-1</f>
        <v>Nog af te bouwen regulatoir saldo einde 2019</v>
      </c>
      <c r="H482" s="165" t="str">
        <f>"Afbouw oudste openstaande regulatoir saldo vanaf boekjaar "&amp;F480-2&amp;" en vroeger, door aanwending van compensatie met regulatoir saldo ontstaan over boekjaar "&amp;F480-1</f>
        <v>Afbouw oudste openstaande regulatoir saldo vanaf boekjaar 2018 en vroeger, door aanwending van compensatie met regulatoir saldo ontstaan over boekjaar 2019</v>
      </c>
      <c r="I482" s="165" t="str">
        <f>"Nog af te bouwen regulatoir saldo na compensatie einde "&amp;F480-1</f>
        <v>Nog af te bouwen regulatoir saldo na compensatie einde 2019</v>
      </c>
      <c r="J482" s="213" t="str">
        <f>"Aanwending van 50% van het geaccumuleerd regulatoir saldo door te rekenen volgens de tariefmethodologie in het boekjaar "&amp;F480</f>
        <v>Aanwending van 50% van het geaccumuleerd regulatoir saldo door te rekenen volgens de tariefmethodologie in het boekjaar 2020</v>
      </c>
      <c r="K482" s="213" t="str">
        <f>"Aanwending van 50% van het geaccumuleerd regulatoir saldo door te rekenen volgens de tariefmethodologie in het boekjaar "&amp;F480</f>
        <v>Aanwending van 50% van het geaccumuleerd regulatoir saldo door te rekenen volgens de tariefmethodologie in het boekjaar 2020</v>
      </c>
      <c r="L482" s="165" t="str">
        <f>"Totale afbouw over "&amp;F480</f>
        <v>Totale afbouw over 2020</v>
      </c>
      <c r="M482" s="165" t="str">
        <f>"Nog af te bouwen regulatoir saldo einde "&amp;F480</f>
        <v>Nog af te bouwen regulatoir saldo einde 2020</v>
      </c>
      <c r="N482" s="206"/>
      <c r="O482" s="166"/>
    </row>
    <row r="483" spans="2:15" x14ac:dyDescent="0.2">
      <c r="B483" s="1104">
        <v>2017</v>
      </c>
      <c r="C483" s="1105"/>
      <c r="D483" s="1105"/>
      <c r="E483" s="1106"/>
      <c r="F483" s="275"/>
      <c r="G483" s="521">
        <f>+M476</f>
        <v>0</v>
      </c>
      <c r="H483" s="813">
        <f>IF(SIGN(G485*M478)&lt;0,IF(G483&lt;&gt;0,-SIGN(G483)*MIN(ABS(G485),ABS(G483)),0),0)</f>
        <v>0</v>
      </c>
      <c r="I483" s="521">
        <f>+G483+H483</f>
        <v>0</v>
      </c>
      <c r="J483" s="852"/>
      <c r="K483" s="821">
        <f>-MIN(ABS(I483),ABS(J486))*SIGN(I483)</f>
        <v>0</v>
      </c>
      <c r="L483" s="813">
        <f>+K483+H483</f>
        <v>0</v>
      </c>
      <c r="M483" s="521">
        <f>+I483+K483</f>
        <v>0</v>
      </c>
      <c r="N483" s="206"/>
      <c r="O483" s="166"/>
    </row>
    <row r="484" spans="2:15" x14ac:dyDescent="0.2">
      <c r="B484" s="1104">
        <v>2018</v>
      </c>
      <c r="C484" s="1105"/>
      <c r="D484" s="1105">
        <v>2016</v>
      </c>
      <c r="E484" s="1106"/>
      <c r="F484" s="275"/>
      <c r="G484" s="521">
        <f>+M477</f>
        <v>0</v>
      </c>
      <c r="H484" s="813">
        <f>IF(SIGN(G485*M478)&lt;0,IF(G484&lt;&gt;0,-SIGN(G484)*MIN(ABS(G485-H483),ABS(G484)),0),0)</f>
        <v>0</v>
      </c>
      <c r="I484" s="521">
        <f>+G484+H484</f>
        <v>0</v>
      </c>
      <c r="J484" s="852"/>
      <c r="K484" s="821">
        <f>-MIN(ABS(I484),ABS(J486-K483))*SIGN(I484)</f>
        <v>0</v>
      </c>
      <c r="L484" s="813">
        <f>+K484+H484</f>
        <v>0</v>
      </c>
      <c r="M484" s="521">
        <f>+I484+K484</f>
        <v>0</v>
      </c>
      <c r="N484" s="206"/>
      <c r="O484" s="166"/>
    </row>
    <row r="485" spans="2:15" x14ac:dyDescent="0.2">
      <c r="B485" s="1104">
        <v>2019</v>
      </c>
      <c r="C485" s="1105"/>
      <c r="D485" s="1105"/>
      <c r="E485" s="1106"/>
      <c r="F485" s="275"/>
      <c r="G485" s="521">
        <f>I169</f>
        <v>0</v>
      </c>
      <c r="H485" s="813">
        <f>IF(SIGN(G485*M478)&lt;0,-SUM(H483:H484),0)</f>
        <v>0</v>
      </c>
      <c r="I485" s="521">
        <f>+G485+H485</f>
        <v>0</v>
      </c>
      <c r="J485" s="852"/>
      <c r="K485" s="821">
        <f>-MIN(ABS(I485),ABS(J486-K483-K484))*SIGN(I485)</f>
        <v>0</v>
      </c>
      <c r="L485" s="813">
        <f>+K485+H485</f>
        <v>0</v>
      </c>
      <c r="M485" s="521">
        <f>+I485+K485</f>
        <v>0</v>
      </c>
      <c r="N485" s="206"/>
      <c r="O485" s="166"/>
    </row>
    <row r="486" spans="2:15" s="273" customFormat="1" x14ac:dyDescent="0.2">
      <c r="G486" s="168">
        <f>SUM(G483:G485)</f>
        <v>0</v>
      </c>
      <c r="H486" s="168">
        <f>SUM(H483:H485)</f>
        <v>0</v>
      </c>
      <c r="I486" s="168">
        <f>SUM(I483:I485)</f>
        <v>0</v>
      </c>
      <c r="J486" s="286">
        <f>-I486*0.5</f>
        <v>0</v>
      </c>
      <c r="K486" s="286">
        <f>SUM(K483:K485)</f>
        <v>0</v>
      </c>
      <c r="L486" s="528"/>
      <c r="M486" s="168">
        <f>SUM(M483:M485)</f>
        <v>0</v>
      </c>
    </row>
    <row r="487" spans="2:15" x14ac:dyDescent="0.2">
      <c r="O487" s="166"/>
    </row>
    <row r="488" spans="2:15" x14ac:dyDescent="0.2">
      <c r="B488" s="273" t="s">
        <v>139</v>
      </c>
      <c r="F488" s="810">
        <v>2021</v>
      </c>
      <c r="O488" s="166"/>
    </row>
    <row r="489" spans="2:15" x14ac:dyDescent="0.2">
      <c r="O489" s="166"/>
    </row>
    <row r="490" spans="2:15" ht="78" customHeight="1" x14ac:dyDescent="0.2">
      <c r="B490" s="1101" t="s">
        <v>140</v>
      </c>
      <c r="C490" s="1102"/>
      <c r="D490" s="1102"/>
      <c r="E490" s="1103"/>
      <c r="F490" s="274"/>
      <c r="G490" s="165" t="str">
        <f>"Nog af te bouwen regulatoir saldo einde "&amp;F488-1</f>
        <v>Nog af te bouwen regulatoir saldo einde 2020</v>
      </c>
      <c r="H490" s="165" t="str">
        <f>"50% van het oorspronkelijk regulatoir saldo door te rekenen volgens de tariefmethodologie in het boekjaar "&amp;F488</f>
        <v>50% van het oorspronkelijk regulatoir saldo door te rekenen volgens de tariefmethodologie in het boekjaar 2021</v>
      </c>
      <c r="I490" s="165" t="str">
        <f>"Nog af te bouwen regulatoir saldo einde "&amp;F488</f>
        <v>Nog af te bouwen regulatoir saldo einde 2021</v>
      </c>
      <c r="J490" s="206"/>
      <c r="O490" s="166"/>
    </row>
    <row r="491" spans="2:15" x14ac:dyDescent="0.2">
      <c r="B491" s="1104">
        <v>2017</v>
      </c>
      <c r="C491" s="1105"/>
      <c r="D491" s="1105"/>
      <c r="E491" s="1106"/>
      <c r="F491" s="275"/>
      <c r="G491" s="521">
        <f>+M483</f>
        <v>0</v>
      </c>
      <c r="H491" s="521">
        <f>-G491*0.5</f>
        <v>0</v>
      </c>
      <c r="I491" s="521">
        <f>+G491+H491</f>
        <v>0</v>
      </c>
      <c r="J491" s="206"/>
      <c r="O491" s="166"/>
    </row>
    <row r="492" spans="2:15" x14ac:dyDescent="0.2">
      <c r="B492" s="1104">
        <v>2018</v>
      </c>
      <c r="C492" s="1105"/>
      <c r="D492" s="1105"/>
      <c r="E492" s="1106"/>
      <c r="F492" s="275"/>
      <c r="G492" s="521">
        <f t="shared" ref="G492:G493" si="64">+M484</f>
        <v>0</v>
      </c>
      <c r="H492" s="521">
        <f t="shared" ref="H492:H494" si="65">-G492*0.5</f>
        <v>0</v>
      </c>
      <c r="I492" s="521">
        <f t="shared" ref="I492:I494" si="66">+G492+H492</f>
        <v>0</v>
      </c>
      <c r="J492" s="206"/>
      <c r="O492" s="166"/>
    </row>
    <row r="493" spans="2:15" x14ac:dyDescent="0.2">
      <c r="B493" s="1104">
        <v>2019</v>
      </c>
      <c r="C493" s="1105"/>
      <c r="D493" s="1105">
        <v>2016</v>
      </c>
      <c r="E493" s="1106"/>
      <c r="F493" s="275"/>
      <c r="G493" s="521">
        <f t="shared" si="64"/>
        <v>0</v>
      </c>
      <c r="H493" s="521">
        <f t="shared" si="65"/>
        <v>0</v>
      </c>
      <c r="I493" s="521">
        <f t="shared" si="66"/>
        <v>0</v>
      </c>
      <c r="J493" s="206"/>
      <c r="O493" s="166"/>
    </row>
    <row r="494" spans="2:15" x14ac:dyDescent="0.2">
      <c r="B494" s="1104">
        <v>2020</v>
      </c>
      <c r="C494" s="1105"/>
      <c r="D494" s="1105"/>
      <c r="E494" s="1106"/>
      <c r="F494" s="275"/>
      <c r="G494" s="521">
        <f>J170</f>
        <v>0</v>
      </c>
      <c r="H494" s="521">
        <f t="shared" si="65"/>
        <v>0</v>
      </c>
      <c r="I494" s="521">
        <f t="shared" si="66"/>
        <v>0</v>
      </c>
      <c r="J494" s="206"/>
      <c r="O494" s="166"/>
    </row>
    <row r="495" spans="2:15" s="273" customFormat="1" x14ac:dyDescent="0.2">
      <c r="G495" s="168">
        <f>SUM(G491:G494)</f>
        <v>0</v>
      </c>
      <c r="H495" s="168">
        <f>SUM(H491:H494)</f>
        <v>0</v>
      </c>
      <c r="I495" s="168">
        <f>SUM(I491:I494)</f>
        <v>0</v>
      </c>
    </row>
    <row r="496" spans="2:15" x14ac:dyDescent="0.2">
      <c r="G496" s="214"/>
      <c r="H496" s="214"/>
      <c r="I496" s="214"/>
      <c r="O496" s="166"/>
    </row>
    <row r="497" spans="2:15" x14ac:dyDescent="0.2">
      <c r="B497" s="273" t="s">
        <v>139</v>
      </c>
      <c r="F497" s="810">
        <v>2022</v>
      </c>
      <c r="O497" s="166"/>
    </row>
    <row r="498" spans="2:15" x14ac:dyDescent="0.2">
      <c r="O498" s="166"/>
    </row>
    <row r="499" spans="2:15" ht="78" customHeight="1" x14ac:dyDescent="0.2">
      <c r="B499" s="1101" t="s">
        <v>140</v>
      </c>
      <c r="C499" s="1102"/>
      <c r="D499" s="1102"/>
      <c r="E499" s="1103"/>
      <c r="F499" s="274"/>
      <c r="G499" s="165" t="str">
        <f>"Nog af te bouwen regulatoir saldo einde "&amp;F497-1</f>
        <v>Nog af te bouwen regulatoir saldo einde 2021</v>
      </c>
      <c r="H499" s="165" t="str">
        <f>"50% van het oorspronkelijk regulatoir saldo door te rekenen volgens de tariefmethodologie in het boekjaar "&amp;F497</f>
        <v>50% van het oorspronkelijk regulatoir saldo door te rekenen volgens de tariefmethodologie in het boekjaar 2022</v>
      </c>
      <c r="I499" s="165" t="str">
        <f>"Nog af te bouwen regulatoir saldo einde "&amp;F497</f>
        <v>Nog af te bouwen regulatoir saldo einde 2022</v>
      </c>
      <c r="J499" s="206"/>
      <c r="O499" s="166"/>
    </row>
    <row r="500" spans="2:15" x14ac:dyDescent="0.2">
      <c r="B500" s="1104">
        <v>2017</v>
      </c>
      <c r="C500" s="1105"/>
      <c r="D500" s="1105">
        <v>2016</v>
      </c>
      <c r="E500" s="1106"/>
      <c r="F500" s="275"/>
      <c r="G500" s="521">
        <f>+I491</f>
        <v>0</v>
      </c>
      <c r="H500" s="521">
        <f>-G491*0.5</f>
        <v>0</v>
      </c>
      <c r="I500" s="521">
        <f t="shared" ref="I500:I504" si="67">+G500+H500</f>
        <v>0</v>
      </c>
      <c r="J500" s="206"/>
      <c r="O500" s="166"/>
    </row>
    <row r="501" spans="2:15" x14ac:dyDescent="0.2">
      <c r="B501" s="1104">
        <v>2018</v>
      </c>
      <c r="C501" s="1105"/>
      <c r="D501" s="1105"/>
      <c r="E501" s="1106"/>
      <c r="F501" s="275"/>
      <c r="G501" s="521">
        <f t="shared" ref="G501:G503" si="68">+I492</f>
        <v>0</v>
      </c>
      <c r="H501" s="521">
        <f t="shared" ref="H501:H503" si="69">-G492*0.5</f>
        <v>0</v>
      </c>
      <c r="I501" s="521">
        <f t="shared" si="67"/>
        <v>0</v>
      </c>
      <c r="J501" s="206"/>
      <c r="O501" s="166"/>
    </row>
    <row r="502" spans="2:15" x14ac:dyDescent="0.2">
      <c r="B502" s="1104">
        <v>2019</v>
      </c>
      <c r="C502" s="1105"/>
      <c r="D502" s="1105"/>
      <c r="E502" s="1106"/>
      <c r="F502" s="275"/>
      <c r="G502" s="521">
        <f t="shared" si="68"/>
        <v>0</v>
      </c>
      <c r="H502" s="521">
        <f t="shared" si="69"/>
        <v>0</v>
      </c>
      <c r="I502" s="521">
        <f t="shared" si="67"/>
        <v>0</v>
      </c>
      <c r="J502" s="206"/>
      <c r="O502" s="166"/>
    </row>
    <row r="503" spans="2:15" x14ac:dyDescent="0.2">
      <c r="B503" s="1104">
        <v>2020</v>
      </c>
      <c r="C503" s="1105"/>
      <c r="D503" s="1105"/>
      <c r="E503" s="1106"/>
      <c r="F503" s="275"/>
      <c r="G503" s="521">
        <f t="shared" si="68"/>
        <v>0</v>
      </c>
      <c r="H503" s="521">
        <f t="shared" si="69"/>
        <v>0</v>
      </c>
      <c r="I503" s="521">
        <f t="shared" si="67"/>
        <v>0</v>
      </c>
      <c r="J503" s="206"/>
      <c r="O503" s="166"/>
    </row>
    <row r="504" spans="2:15" x14ac:dyDescent="0.2">
      <c r="B504" s="1104">
        <v>2021</v>
      </c>
      <c r="C504" s="1105"/>
      <c r="D504" s="1105"/>
      <c r="E504" s="1106"/>
      <c r="F504" s="275"/>
      <c r="G504" s="521">
        <f>K171</f>
        <v>0</v>
      </c>
      <c r="H504" s="521">
        <f t="shared" ref="H504" si="70">-G504*0.5</f>
        <v>0</v>
      </c>
      <c r="I504" s="521">
        <f t="shared" si="67"/>
        <v>0</v>
      </c>
      <c r="J504" s="206"/>
      <c r="O504" s="166"/>
    </row>
    <row r="505" spans="2:15" s="273" customFormat="1" x14ac:dyDescent="0.2">
      <c r="G505" s="168">
        <f>SUM(G500:G504)</f>
        <v>0</v>
      </c>
      <c r="H505" s="168">
        <f>SUM(H500:H504)</f>
        <v>0</v>
      </c>
      <c r="I505" s="168">
        <f>SUM(I500:I504)</f>
        <v>0</v>
      </c>
    </row>
    <row r="506" spans="2:15" x14ac:dyDescent="0.2">
      <c r="O506" s="166"/>
    </row>
    <row r="507" spans="2:15" x14ac:dyDescent="0.2">
      <c r="B507" s="273" t="s">
        <v>139</v>
      </c>
      <c r="F507" s="810">
        <v>2023</v>
      </c>
      <c r="O507" s="166"/>
    </row>
    <row r="508" spans="2:15" x14ac:dyDescent="0.2">
      <c r="O508" s="166"/>
    </row>
    <row r="509" spans="2:15" ht="78" customHeight="1" x14ac:dyDescent="0.2">
      <c r="B509" s="1101" t="s">
        <v>140</v>
      </c>
      <c r="C509" s="1102"/>
      <c r="D509" s="1102"/>
      <c r="E509" s="1103"/>
      <c r="F509" s="274"/>
      <c r="G509" s="165" t="str">
        <f>"Nog af te bouwen regulatoir saldo einde "&amp;F507-1</f>
        <v>Nog af te bouwen regulatoir saldo einde 2022</v>
      </c>
      <c r="H509" s="165" t="str">
        <f>"50% van het oorspronkelijk regulatoir saldo door te rekenen volgens de tariefmethodologie in het boekjaar "&amp;F507</f>
        <v>50% van het oorspronkelijk regulatoir saldo door te rekenen volgens de tariefmethodologie in het boekjaar 2023</v>
      </c>
      <c r="I509" s="165" t="str">
        <f>"Nog af te bouwen regulatoir saldo einde "&amp;F507</f>
        <v>Nog af te bouwen regulatoir saldo einde 2023</v>
      </c>
      <c r="J509" s="206"/>
      <c r="O509" s="166"/>
    </row>
    <row r="510" spans="2:15" x14ac:dyDescent="0.2">
      <c r="B510" s="1104">
        <v>2021</v>
      </c>
      <c r="C510" s="1105"/>
      <c r="D510" s="1105"/>
      <c r="E510" s="1106"/>
      <c r="F510" s="275"/>
      <c r="G510" s="521">
        <f>+I504</f>
        <v>0</v>
      </c>
      <c r="H510" s="521">
        <f>-G504*0.5</f>
        <v>0</v>
      </c>
      <c r="I510" s="521">
        <f t="shared" ref="I510:I511" si="71">+G510+H510</f>
        <v>0</v>
      </c>
      <c r="J510" s="206"/>
      <c r="O510" s="166"/>
    </row>
    <row r="511" spans="2:15" x14ac:dyDescent="0.2">
      <c r="B511" s="1104">
        <v>2022</v>
      </c>
      <c r="C511" s="1105"/>
      <c r="D511" s="1105"/>
      <c r="E511" s="1106"/>
      <c r="F511" s="275"/>
      <c r="G511" s="521">
        <f>L172</f>
        <v>0</v>
      </c>
      <c r="H511" s="521">
        <f t="shared" ref="H511" si="72">-G511*0.5</f>
        <v>0</v>
      </c>
      <c r="I511" s="521">
        <f t="shared" si="71"/>
        <v>0</v>
      </c>
      <c r="J511" s="206"/>
      <c r="O511" s="166"/>
    </row>
    <row r="512" spans="2:15" s="273" customFormat="1" x14ac:dyDescent="0.2">
      <c r="G512" s="168">
        <f>SUM(G510:G511)</f>
        <v>0</v>
      </c>
      <c r="H512" s="168">
        <f>SUM(H510:H511)</f>
        <v>0</v>
      </c>
      <c r="I512" s="168">
        <f>SUM(I510:I511)</f>
        <v>0</v>
      </c>
    </row>
    <row r="513" spans="2:15" x14ac:dyDescent="0.2">
      <c r="O513" s="166"/>
    </row>
    <row r="514" spans="2:15" x14ac:dyDescent="0.2">
      <c r="B514" s="273" t="s">
        <v>139</v>
      </c>
      <c r="F514" s="810">
        <v>2024</v>
      </c>
      <c r="O514" s="166"/>
    </row>
    <row r="515" spans="2:15" x14ac:dyDescent="0.2">
      <c r="O515" s="166"/>
    </row>
    <row r="516" spans="2:15" ht="78" customHeight="1" x14ac:dyDescent="0.2">
      <c r="B516" s="1101" t="s">
        <v>140</v>
      </c>
      <c r="C516" s="1102"/>
      <c r="D516" s="1102"/>
      <c r="E516" s="1103"/>
      <c r="F516" s="274"/>
      <c r="G516" s="165" t="str">
        <f>"Nog af te bouwen regulatoir saldo einde "&amp;F514-1</f>
        <v>Nog af te bouwen regulatoir saldo einde 2023</v>
      </c>
      <c r="H516" s="165" t="str">
        <f>"50% van het oorspronkelijk regulatoir saldo door te rekenen volgens de tariefmethodologie in het boekjaar "&amp;F514</f>
        <v>50% van het oorspronkelijk regulatoir saldo door te rekenen volgens de tariefmethodologie in het boekjaar 2024</v>
      </c>
      <c r="I516" s="165" t="str">
        <f>"Nog af te bouwen regulatoir saldo einde "&amp;F514</f>
        <v>Nog af te bouwen regulatoir saldo einde 2024</v>
      </c>
      <c r="J516" s="206"/>
      <c r="O516" s="166"/>
    </row>
    <row r="517" spans="2:15" x14ac:dyDescent="0.2">
      <c r="B517" s="1104">
        <v>2022</v>
      </c>
      <c r="C517" s="1105"/>
      <c r="D517" s="1105"/>
      <c r="E517" s="1106"/>
      <c r="F517" s="275"/>
      <c r="G517" s="521">
        <f>+I511</f>
        <v>0</v>
      </c>
      <c r="H517" s="521">
        <f>-G511*0.5</f>
        <v>0</v>
      </c>
      <c r="I517" s="521">
        <f t="shared" ref="I517:I518" si="73">+G517+H517</f>
        <v>0</v>
      </c>
      <c r="J517" s="206"/>
      <c r="O517" s="166"/>
    </row>
    <row r="518" spans="2:15" x14ac:dyDescent="0.2">
      <c r="B518" s="1104">
        <v>2023</v>
      </c>
      <c r="C518" s="1105"/>
      <c r="D518" s="1105"/>
      <c r="E518" s="1106"/>
      <c r="F518" s="275"/>
      <c r="G518" s="521">
        <f>+M173</f>
        <v>0</v>
      </c>
      <c r="H518" s="521">
        <f t="shared" ref="H518" si="74">-G518*0.5</f>
        <v>0</v>
      </c>
      <c r="I518" s="521">
        <f t="shared" si="73"/>
        <v>0</v>
      </c>
      <c r="J518" s="206"/>
      <c r="O518" s="166"/>
    </row>
    <row r="519" spans="2:15" s="273" customFormat="1" x14ac:dyDescent="0.2">
      <c r="G519" s="168">
        <f>SUM(G517:G518)</f>
        <v>0</v>
      </c>
      <c r="H519" s="168">
        <f>SUM(H517:H518)</f>
        <v>0</v>
      </c>
      <c r="I519" s="168">
        <f>SUM(I517:I518)</f>
        <v>0</v>
      </c>
    </row>
    <row r="520" spans="2:15" x14ac:dyDescent="0.2">
      <c r="B520" s="273" t="s">
        <v>67</v>
      </c>
      <c r="O520" s="166"/>
    </row>
    <row r="521" spans="2:15" x14ac:dyDescent="0.2">
      <c r="B521" s="273" t="s">
        <v>141</v>
      </c>
      <c r="C521" s="216"/>
      <c r="D521" s="216"/>
      <c r="E521" s="216"/>
      <c r="O521" s="166"/>
    </row>
    <row r="522" spans="2:15" x14ac:dyDescent="0.2">
      <c r="B522" s="273"/>
      <c r="C522" s="216"/>
      <c r="D522" s="216"/>
      <c r="E522" s="216"/>
      <c r="O522" s="166"/>
    </row>
    <row r="523" spans="2:15" x14ac:dyDescent="0.2">
      <c r="B523" s="275">
        <f>F488</f>
        <v>2021</v>
      </c>
      <c r="C523" s="279">
        <f>+H495</f>
        <v>0</v>
      </c>
      <c r="D523" s="216"/>
      <c r="E523" s="216"/>
      <c r="O523" s="166"/>
    </row>
    <row r="524" spans="2:15" x14ac:dyDescent="0.2">
      <c r="B524" s="275">
        <v>2022</v>
      </c>
      <c r="C524" s="279">
        <f>+H505</f>
        <v>0</v>
      </c>
      <c r="D524" s="216"/>
      <c r="E524" s="216"/>
      <c r="O524" s="166"/>
    </row>
    <row r="525" spans="2:15" x14ac:dyDescent="0.2">
      <c r="B525" s="275">
        <v>2023</v>
      </c>
      <c r="C525" s="279">
        <f>+H512</f>
        <v>0</v>
      </c>
      <c r="D525" s="216"/>
      <c r="E525" s="216"/>
      <c r="O525" s="166"/>
    </row>
    <row r="526" spans="2:15" x14ac:dyDescent="0.2">
      <c r="B526" s="275">
        <v>2024</v>
      </c>
      <c r="C526" s="279">
        <f>+H519</f>
        <v>0</v>
      </c>
      <c r="D526" s="216"/>
      <c r="E526" s="216"/>
      <c r="O526" s="166"/>
    </row>
    <row r="527" spans="2:15" x14ac:dyDescent="0.2">
      <c r="O527" s="166"/>
    </row>
    <row r="528" spans="2:15" x14ac:dyDescent="0.2">
      <c r="O528" s="166"/>
    </row>
    <row r="529" spans="2:16" x14ac:dyDescent="0.2">
      <c r="B529" s="321" t="s">
        <v>96</v>
      </c>
      <c r="C529" s="322"/>
      <c r="D529" s="322"/>
      <c r="E529" s="322"/>
      <c r="F529" s="323"/>
      <c r="G529" s="323"/>
      <c r="H529" s="323"/>
      <c r="I529" s="323"/>
      <c r="J529" s="323"/>
      <c r="K529" s="323"/>
      <c r="L529" s="323"/>
      <c r="M529" s="323"/>
      <c r="N529" s="323"/>
      <c r="O529" s="324"/>
      <c r="P529" s="323"/>
    </row>
    <row r="530" spans="2:16" x14ac:dyDescent="0.2">
      <c r="O530" s="206"/>
    </row>
    <row r="531" spans="2:16" x14ac:dyDescent="0.2">
      <c r="B531" s="273" t="s">
        <v>139</v>
      </c>
      <c r="F531" s="810">
        <v>2018</v>
      </c>
      <c r="O531" s="206"/>
    </row>
    <row r="532" spans="2:16" x14ac:dyDescent="0.2">
      <c r="O532" s="166"/>
    </row>
    <row r="533" spans="2:16" ht="102" customHeight="1" x14ac:dyDescent="0.2">
      <c r="B533" s="1101" t="s">
        <v>140</v>
      </c>
      <c r="C533" s="1102"/>
      <c r="D533" s="1102"/>
      <c r="E533" s="1103"/>
      <c r="F533" s="274"/>
      <c r="G533" s="165" t="str">
        <f>"Nog af te bouwen regulatoir saldo einde "&amp;F531-1</f>
        <v>Nog af te bouwen regulatoir saldo einde 2017</v>
      </c>
      <c r="H533" s="165" t="str">
        <f>"Afbouw oudste openstaande regulatoir saldo vanaf boekjaar "&amp;F531-2&amp;" en vroeger, door aanwending van compensatie met regulatoir saldo ontstaan over boekjaar "&amp;F531-1</f>
        <v>Afbouw oudste openstaande regulatoir saldo vanaf boekjaar 2016 en vroeger, door aanwending van compensatie met regulatoir saldo ontstaan over boekjaar 2017</v>
      </c>
      <c r="I533" s="165" t="str">
        <f>"Nog af te bouwen regulatoir saldo na compensatie einde "&amp;F531-1</f>
        <v>Nog af te bouwen regulatoir saldo na compensatie einde 2017</v>
      </c>
      <c r="J533" s="165" t="str">
        <f>"Aanwending van 50% van het geaccumuleerd regulatoir saldo door te rekenen volgens de tariefmethodologie in het boekjaar "&amp;F531</f>
        <v>Aanwending van 50% van het geaccumuleerd regulatoir saldo door te rekenen volgens de tariefmethodologie in het boekjaar 2018</v>
      </c>
      <c r="K533" s="165" t="str">
        <f>"Nog af te bouwen regulatoir saldo einde "&amp;F531</f>
        <v>Nog af te bouwen regulatoir saldo einde 2018</v>
      </c>
      <c r="L533" s="220"/>
      <c r="M533" s="220"/>
      <c r="N533" s="220"/>
      <c r="O533" s="166"/>
    </row>
    <row r="534" spans="2:16" x14ac:dyDescent="0.2">
      <c r="B534" s="1104">
        <v>2017</v>
      </c>
      <c r="C534" s="1105"/>
      <c r="D534" s="1105"/>
      <c r="E534" s="1106"/>
      <c r="F534" s="275"/>
      <c r="G534" s="521">
        <f>+G176</f>
        <v>0</v>
      </c>
      <c r="H534" s="521">
        <v>0</v>
      </c>
      <c r="I534" s="521">
        <f>+G534+H534</f>
        <v>0</v>
      </c>
      <c r="J534" s="821">
        <f>-I534*0.5</f>
        <v>0</v>
      </c>
      <c r="K534" s="851">
        <f>+J534+G534</f>
        <v>0</v>
      </c>
      <c r="L534" s="812"/>
      <c r="M534" s="812"/>
      <c r="N534" s="812"/>
      <c r="O534" s="166"/>
    </row>
    <row r="535" spans="2:16" x14ac:dyDescent="0.2">
      <c r="O535" s="166"/>
    </row>
    <row r="536" spans="2:16" x14ac:dyDescent="0.2">
      <c r="B536" s="273" t="s">
        <v>139</v>
      </c>
      <c r="F536" s="810">
        <v>2019</v>
      </c>
      <c r="O536" s="206"/>
    </row>
    <row r="537" spans="2:16" x14ac:dyDescent="0.2">
      <c r="O537" s="206"/>
    </row>
    <row r="538" spans="2:16" ht="102" customHeight="1" x14ac:dyDescent="0.2">
      <c r="B538" s="1101" t="s">
        <v>140</v>
      </c>
      <c r="C538" s="1102"/>
      <c r="D538" s="1102"/>
      <c r="E538" s="1103"/>
      <c r="F538" s="274"/>
      <c r="G538" s="165" t="str">
        <f>"Nog af te bouwen regulatoir saldo einde "&amp;F536-1</f>
        <v>Nog af te bouwen regulatoir saldo einde 2018</v>
      </c>
      <c r="H538" s="165" t="str">
        <f>"Afbouw oudste openstaande regulatoir saldo vanaf boekjaar "&amp;F536-2&amp;" en vroeger, door aanwending van compensatie met regulatoir saldo ontstaan over boekjaar "&amp;F536-1</f>
        <v>Afbouw oudste openstaande regulatoir saldo vanaf boekjaar 2017 en vroeger, door aanwending van compensatie met regulatoir saldo ontstaan over boekjaar 2018</v>
      </c>
      <c r="I538" s="165" t="str">
        <f>"Nog af te bouwen regulatoir saldo na compensatie einde "&amp;F536-1</f>
        <v>Nog af te bouwen regulatoir saldo na compensatie einde 2018</v>
      </c>
      <c r="J538" s="213" t="str">
        <f>"Aanwending van 50% van het geaccumuleerd regulatoir saldo door te rekenen volgens de tariefmethodologie in het boekjaar "&amp;F536</f>
        <v>Aanwending van 50% van het geaccumuleerd regulatoir saldo door te rekenen volgens de tariefmethodologie in het boekjaar 2019</v>
      </c>
      <c r="K538" s="213" t="str">
        <f>"Aanwending van 50% van het geaccumuleerd regulatoir saldo door te rekenen volgens de tariefmethodologie in het boekjaar "&amp;F536</f>
        <v>Aanwending van 50% van het geaccumuleerd regulatoir saldo door te rekenen volgens de tariefmethodologie in het boekjaar 2019</v>
      </c>
      <c r="L538" s="165" t="str">
        <f>"Totale afbouw over "&amp;F536</f>
        <v>Totale afbouw over 2019</v>
      </c>
      <c r="M538" s="165" t="str">
        <f>"Nog af te bouwen regulatoir saldo einde "&amp;F536</f>
        <v>Nog af te bouwen regulatoir saldo einde 2019</v>
      </c>
      <c r="N538" s="206"/>
      <c r="O538" s="166"/>
    </row>
    <row r="539" spans="2:16" x14ac:dyDescent="0.2">
      <c r="B539" s="1104">
        <v>2017</v>
      </c>
      <c r="C539" s="1105"/>
      <c r="D539" s="1105"/>
      <c r="E539" s="1106"/>
      <c r="F539" s="275"/>
      <c r="G539" s="521">
        <f>K534</f>
        <v>0</v>
      </c>
      <c r="H539" s="521">
        <f>IF(SIGN(G540*K534)&lt;0,IF(G539&lt;&gt;0,-SIGN(G539)*MIN(ABS(G540),ABS(G539)),0),0)</f>
        <v>0</v>
      </c>
      <c r="I539" s="521">
        <f>+G539+H539</f>
        <v>0</v>
      </c>
      <c r="J539" s="852"/>
      <c r="K539" s="821">
        <f>-MIN(ABS(I539),ABS(J541))*SIGN(I539)</f>
        <v>0</v>
      </c>
      <c r="L539" s="813">
        <f>+K539+H539</f>
        <v>0</v>
      </c>
      <c r="M539" s="521">
        <f>+I539+K539</f>
        <v>0</v>
      </c>
      <c r="N539" s="206"/>
      <c r="O539" s="166"/>
    </row>
    <row r="540" spans="2:16" x14ac:dyDescent="0.2">
      <c r="B540" s="1104">
        <v>2018</v>
      </c>
      <c r="C540" s="1105"/>
      <c r="D540" s="1105"/>
      <c r="E540" s="1106"/>
      <c r="F540" s="275"/>
      <c r="G540" s="521">
        <f>+H177</f>
        <v>0</v>
      </c>
      <c r="H540" s="813">
        <f>IF(SIGN(G540*K534)&lt;0,-H539,0)</f>
        <v>0</v>
      </c>
      <c r="I540" s="521">
        <f>+G540+H540</f>
        <v>0</v>
      </c>
      <c r="J540" s="852"/>
      <c r="K540" s="821">
        <f>-MIN(ABS(I540),ABS(J541-K539))*SIGN(I540)</f>
        <v>0</v>
      </c>
      <c r="L540" s="813">
        <f>+K540+H540</f>
        <v>0</v>
      </c>
      <c r="M540" s="521">
        <f>+I540+K540</f>
        <v>0</v>
      </c>
      <c r="N540" s="206"/>
      <c r="O540" s="166"/>
    </row>
    <row r="541" spans="2:16" s="273" customFormat="1" x14ac:dyDescent="0.2">
      <c r="G541" s="168">
        <f>SUM(G539:G540)</f>
        <v>0</v>
      </c>
      <c r="H541" s="168">
        <f>SUM(H539:H540)</f>
        <v>0</v>
      </c>
      <c r="I541" s="168">
        <f>SUM(I539:I540)</f>
        <v>0</v>
      </c>
      <c r="J541" s="286">
        <f>-I541*0.5</f>
        <v>0</v>
      </c>
      <c r="K541" s="286">
        <f>SUM(K539:K540)</f>
        <v>0</v>
      </c>
      <c r="L541" s="528"/>
      <c r="M541" s="168">
        <f>SUM(M539:M540)</f>
        <v>0</v>
      </c>
    </row>
    <row r="542" spans="2:16" x14ac:dyDescent="0.2">
      <c r="O542" s="166"/>
    </row>
    <row r="543" spans="2:16" x14ac:dyDescent="0.2">
      <c r="B543" s="273" t="s">
        <v>139</v>
      </c>
      <c r="F543" s="810">
        <v>2020</v>
      </c>
      <c r="O543" s="166"/>
    </row>
    <row r="544" spans="2:16" x14ac:dyDescent="0.2">
      <c r="O544" s="166"/>
    </row>
    <row r="545" spans="2:15" ht="102" customHeight="1" x14ac:dyDescent="0.2">
      <c r="B545" s="1101" t="s">
        <v>140</v>
      </c>
      <c r="C545" s="1102"/>
      <c r="D545" s="1102"/>
      <c r="E545" s="1103"/>
      <c r="F545" s="274"/>
      <c r="G545" s="165" t="str">
        <f>"Nog af te bouwen regulatoir saldo einde "&amp;F543-1</f>
        <v>Nog af te bouwen regulatoir saldo einde 2019</v>
      </c>
      <c r="H545" s="165" t="str">
        <f>"Afbouw oudste openstaande regulatoir saldo vanaf boekjaar "&amp;F543-2&amp;" en vroeger, door aanwending van compensatie met regulatoir saldo ontstaan over boekjaar "&amp;F543-1</f>
        <v>Afbouw oudste openstaande regulatoir saldo vanaf boekjaar 2018 en vroeger, door aanwending van compensatie met regulatoir saldo ontstaan over boekjaar 2019</v>
      </c>
      <c r="I545" s="165" t="str">
        <f>"Nog af te bouwen regulatoir saldo na compensatie einde "&amp;F543-1</f>
        <v>Nog af te bouwen regulatoir saldo na compensatie einde 2019</v>
      </c>
      <c r="J545" s="213" t="str">
        <f>"Aanwending van 50% van het geaccumuleerd regulatoir saldo door te rekenen volgens de tariefmethodologie in het boekjaar "&amp;F543</f>
        <v>Aanwending van 50% van het geaccumuleerd regulatoir saldo door te rekenen volgens de tariefmethodologie in het boekjaar 2020</v>
      </c>
      <c r="K545" s="213" t="str">
        <f>"Aanwending van 50% van het geaccumuleerd regulatoir saldo door te rekenen volgens de tariefmethodologie in het boekjaar "&amp;F543</f>
        <v>Aanwending van 50% van het geaccumuleerd regulatoir saldo door te rekenen volgens de tariefmethodologie in het boekjaar 2020</v>
      </c>
      <c r="L545" s="165" t="str">
        <f>"Totale afbouw over "&amp;F543</f>
        <v>Totale afbouw over 2020</v>
      </c>
      <c r="M545" s="165" t="str">
        <f>"Nog af te bouwen regulatoir saldo einde "&amp;F543</f>
        <v>Nog af te bouwen regulatoir saldo einde 2020</v>
      </c>
      <c r="N545" s="206"/>
      <c r="O545" s="166"/>
    </row>
    <row r="546" spans="2:15" x14ac:dyDescent="0.2">
      <c r="B546" s="1104">
        <v>2017</v>
      </c>
      <c r="C546" s="1105"/>
      <c r="D546" s="1105"/>
      <c r="E546" s="1106"/>
      <c r="F546" s="275"/>
      <c r="G546" s="521">
        <f>+M539</f>
        <v>0</v>
      </c>
      <c r="H546" s="813">
        <f>IF(SIGN(G548*M541)&lt;0,IF(G546&lt;&gt;0,-SIGN(G546)*MIN(ABS(G548),ABS(G546)),0),0)</f>
        <v>0</v>
      </c>
      <c r="I546" s="521">
        <f>+G546+H546</f>
        <v>0</v>
      </c>
      <c r="J546" s="852"/>
      <c r="K546" s="821">
        <f>-MIN(ABS(I546),ABS(J549))*SIGN(I546)</f>
        <v>0</v>
      </c>
      <c r="L546" s="813">
        <f>+K546+H546</f>
        <v>0</v>
      </c>
      <c r="M546" s="521">
        <f>+I546+K546</f>
        <v>0</v>
      </c>
      <c r="N546" s="206"/>
      <c r="O546" s="166"/>
    </row>
    <row r="547" spans="2:15" x14ac:dyDescent="0.2">
      <c r="B547" s="1104">
        <v>2018</v>
      </c>
      <c r="C547" s="1105"/>
      <c r="D547" s="1105">
        <v>2016</v>
      </c>
      <c r="E547" s="1106"/>
      <c r="F547" s="275"/>
      <c r="G547" s="521">
        <f>+M540</f>
        <v>0</v>
      </c>
      <c r="H547" s="813">
        <f>IF(SIGN(G548*M541)&lt;0,IF(G547&lt;&gt;0,-SIGN(G547)*MIN(ABS(G548-H546),ABS(G547)),0),0)</f>
        <v>0</v>
      </c>
      <c r="I547" s="521">
        <f>+G547+H547</f>
        <v>0</v>
      </c>
      <c r="J547" s="852"/>
      <c r="K547" s="821">
        <f>-MIN(ABS(I547),ABS(J549-K546))*SIGN(I547)</f>
        <v>0</v>
      </c>
      <c r="L547" s="813">
        <f>+K547+H547</f>
        <v>0</v>
      </c>
      <c r="M547" s="521">
        <f>+I547+K547</f>
        <v>0</v>
      </c>
      <c r="N547" s="206"/>
      <c r="O547" s="166"/>
    </row>
    <row r="548" spans="2:15" x14ac:dyDescent="0.2">
      <c r="B548" s="1104">
        <v>2019</v>
      </c>
      <c r="C548" s="1105"/>
      <c r="D548" s="1105"/>
      <c r="E548" s="1106"/>
      <c r="F548" s="275"/>
      <c r="G548" s="521">
        <f>I178</f>
        <v>0</v>
      </c>
      <c r="H548" s="813">
        <f>IF(SIGN(G548*M541)&lt;0,-SUM(H546:H547),0)</f>
        <v>0</v>
      </c>
      <c r="I548" s="521">
        <f>+G548+H548</f>
        <v>0</v>
      </c>
      <c r="J548" s="852"/>
      <c r="K548" s="821">
        <f>-MIN(ABS(I548),ABS(J549-K546-K547))*SIGN(I548)</f>
        <v>0</v>
      </c>
      <c r="L548" s="813">
        <f>+K548+H548</f>
        <v>0</v>
      </c>
      <c r="M548" s="521">
        <f>+I548+K548</f>
        <v>0</v>
      </c>
      <c r="N548" s="206"/>
      <c r="O548" s="166"/>
    </row>
    <row r="549" spans="2:15" s="273" customFormat="1" x14ac:dyDescent="0.2">
      <c r="G549" s="168">
        <f>SUM(G546:G548)</f>
        <v>0</v>
      </c>
      <c r="H549" s="168">
        <f>SUM(H546:H548)</f>
        <v>0</v>
      </c>
      <c r="I549" s="168">
        <f>SUM(I546:I548)</f>
        <v>0</v>
      </c>
      <c r="J549" s="286">
        <f>-I549*0.5</f>
        <v>0</v>
      </c>
      <c r="K549" s="286">
        <f>SUM(K546:K548)</f>
        <v>0</v>
      </c>
      <c r="L549" s="528"/>
      <c r="M549" s="168">
        <f>SUM(M546:M548)</f>
        <v>0</v>
      </c>
    </row>
    <row r="550" spans="2:15" x14ac:dyDescent="0.2">
      <c r="O550" s="166"/>
    </row>
    <row r="551" spans="2:15" x14ac:dyDescent="0.2">
      <c r="B551" s="273" t="s">
        <v>139</v>
      </c>
      <c r="F551" s="810">
        <v>2021</v>
      </c>
      <c r="O551" s="166"/>
    </row>
    <row r="552" spans="2:15" x14ac:dyDescent="0.2">
      <c r="O552" s="166"/>
    </row>
    <row r="553" spans="2:15" ht="78" customHeight="1" x14ac:dyDescent="0.2">
      <c r="B553" s="1101" t="s">
        <v>140</v>
      </c>
      <c r="C553" s="1102"/>
      <c r="D553" s="1102"/>
      <c r="E553" s="1103"/>
      <c r="F553" s="274"/>
      <c r="G553" s="165" t="str">
        <f>"Nog af te bouwen regulatoir saldo einde "&amp;F551-1</f>
        <v>Nog af te bouwen regulatoir saldo einde 2020</v>
      </c>
      <c r="H553" s="165" t="str">
        <f>"50% van het oorspronkelijk regulatoir saldo door te rekenen volgens de tariefmethodologie in het boekjaar "&amp;F551</f>
        <v>50% van het oorspronkelijk regulatoir saldo door te rekenen volgens de tariefmethodologie in het boekjaar 2021</v>
      </c>
      <c r="I553" s="165" t="str">
        <f>"Nog af te bouwen regulatoir saldo einde "&amp;F551</f>
        <v>Nog af te bouwen regulatoir saldo einde 2021</v>
      </c>
      <c r="J553" s="206"/>
      <c r="O553" s="166"/>
    </row>
    <row r="554" spans="2:15" x14ac:dyDescent="0.2">
      <c r="B554" s="1104">
        <v>2017</v>
      </c>
      <c r="C554" s="1105"/>
      <c r="D554" s="1105"/>
      <c r="E554" s="1106"/>
      <c r="F554" s="275"/>
      <c r="G554" s="521">
        <f>+M546</f>
        <v>0</v>
      </c>
      <c r="H554" s="521">
        <f>-G554*0.5</f>
        <v>0</v>
      </c>
      <c r="I554" s="521">
        <f>+G554+H554</f>
        <v>0</v>
      </c>
      <c r="J554" s="206"/>
      <c r="O554" s="166"/>
    </row>
    <row r="555" spans="2:15" x14ac:dyDescent="0.2">
      <c r="B555" s="1104">
        <v>2018</v>
      </c>
      <c r="C555" s="1105"/>
      <c r="D555" s="1105"/>
      <c r="E555" s="1106"/>
      <c r="F555" s="275"/>
      <c r="G555" s="521">
        <f t="shared" ref="G555:G556" si="75">+M547</f>
        <v>0</v>
      </c>
      <c r="H555" s="521">
        <f t="shared" ref="H555:H557" si="76">-G555*0.5</f>
        <v>0</v>
      </c>
      <c r="I555" s="521">
        <f t="shared" ref="I555:I557" si="77">+G555+H555</f>
        <v>0</v>
      </c>
      <c r="J555" s="206"/>
      <c r="O555" s="166"/>
    </row>
    <row r="556" spans="2:15" x14ac:dyDescent="0.2">
      <c r="B556" s="1104">
        <v>2019</v>
      </c>
      <c r="C556" s="1105"/>
      <c r="D556" s="1105">
        <v>2016</v>
      </c>
      <c r="E556" s="1106"/>
      <c r="F556" s="275"/>
      <c r="G556" s="521">
        <f t="shared" si="75"/>
        <v>0</v>
      </c>
      <c r="H556" s="521">
        <f t="shared" si="76"/>
        <v>0</v>
      </c>
      <c r="I556" s="521">
        <f t="shared" si="77"/>
        <v>0</v>
      </c>
      <c r="J556" s="206"/>
      <c r="O556" s="166"/>
    </row>
    <row r="557" spans="2:15" x14ac:dyDescent="0.2">
      <c r="B557" s="1104">
        <v>2020</v>
      </c>
      <c r="C557" s="1105"/>
      <c r="D557" s="1105"/>
      <c r="E557" s="1106"/>
      <c r="F557" s="275"/>
      <c r="G557" s="521">
        <f>J179</f>
        <v>0</v>
      </c>
      <c r="H557" s="521">
        <f t="shared" si="76"/>
        <v>0</v>
      </c>
      <c r="I557" s="521">
        <f t="shared" si="77"/>
        <v>0</v>
      </c>
      <c r="J557" s="206"/>
      <c r="O557" s="166"/>
    </row>
    <row r="558" spans="2:15" s="273" customFormat="1" x14ac:dyDescent="0.2">
      <c r="G558" s="168">
        <f>SUM(G554:G557)</f>
        <v>0</v>
      </c>
      <c r="H558" s="168">
        <f>SUM(H554:H557)</f>
        <v>0</v>
      </c>
      <c r="I558" s="168">
        <f>SUM(I554:I557)</f>
        <v>0</v>
      </c>
    </row>
    <row r="559" spans="2:15" x14ac:dyDescent="0.2">
      <c r="G559" s="214"/>
      <c r="H559" s="214"/>
      <c r="I559" s="214"/>
      <c r="O559" s="166"/>
    </row>
    <row r="560" spans="2:15" x14ac:dyDescent="0.2">
      <c r="B560" s="273" t="s">
        <v>139</v>
      </c>
      <c r="F560" s="810">
        <v>2022</v>
      </c>
      <c r="O560" s="166"/>
    </row>
    <row r="561" spans="2:15" x14ac:dyDescent="0.2">
      <c r="O561" s="166"/>
    </row>
    <row r="562" spans="2:15" ht="78" customHeight="1" x14ac:dyDescent="0.2">
      <c r="B562" s="1101" t="s">
        <v>140</v>
      </c>
      <c r="C562" s="1102"/>
      <c r="D562" s="1102"/>
      <c r="E562" s="1103"/>
      <c r="F562" s="274"/>
      <c r="G562" s="165" t="str">
        <f>"Nog af te bouwen regulatoir saldo einde "&amp;F560-1</f>
        <v>Nog af te bouwen regulatoir saldo einde 2021</v>
      </c>
      <c r="H562" s="165" t="str">
        <f>"50% van het oorspronkelijk regulatoir saldo door te rekenen volgens de tariefmethodologie in het boekjaar "&amp;F560</f>
        <v>50% van het oorspronkelijk regulatoir saldo door te rekenen volgens de tariefmethodologie in het boekjaar 2022</v>
      </c>
      <c r="I562" s="165" t="str">
        <f>"Nog af te bouwen regulatoir saldo einde "&amp;F560</f>
        <v>Nog af te bouwen regulatoir saldo einde 2022</v>
      </c>
      <c r="J562" s="206"/>
      <c r="O562" s="166"/>
    </row>
    <row r="563" spans="2:15" x14ac:dyDescent="0.2">
      <c r="B563" s="1104">
        <v>2017</v>
      </c>
      <c r="C563" s="1105"/>
      <c r="D563" s="1105">
        <v>2016</v>
      </c>
      <c r="E563" s="1106"/>
      <c r="F563" s="275"/>
      <c r="G563" s="521">
        <f>+I554</f>
        <v>0</v>
      </c>
      <c r="H563" s="521">
        <f>-G554*0.5</f>
        <v>0</v>
      </c>
      <c r="I563" s="521">
        <f t="shared" ref="I563:I567" si="78">+G563+H563</f>
        <v>0</v>
      </c>
      <c r="J563" s="206"/>
      <c r="O563" s="166"/>
    </row>
    <row r="564" spans="2:15" x14ac:dyDescent="0.2">
      <c r="B564" s="1104">
        <v>2018</v>
      </c>
      <c r="C564" s="1105"/>
      <c r="D564" s="1105"/>
      <c r="E564" s="1106"/>
      <c r="F564" s="275"/>
      <c r="G564" s="521">
        <f t="shared" ref="G564:G566" si="79">+I555</f>
        <v>0</v>
      </c>
      <c r="H564" s="521">
        <f t="shared" ref="H564:H566" si="80">-G555*0.5</f>
        <v>0</v>
      </c>
      <c r="I564" s="521">
        <f t="shared" si="78"/>
        <v>0</v>
      </c>
      <c r="J564" s="206"/>
      <c r="O564" s="166"/>
    </row>
    <row r="565" spans="2:15" x14ac:dyDescent="0.2">
      <c r="B565" s="1104">
        <v>2019</v>
      </c>
      <c r="C565" s="1105"/>
      <c r="D565" s="1105"/>
      <c r="E565" s="1106"/>
      <c r="F565" s="275"/>
      <c r="G565" s="521">
        <f t="shared" si="79"/>
        <v>0</v>
      </c>
      <c r="H565" s="521">
        <f t="shared" si="80"/>
        <v>0</v>
      </c>
      <c r="I565" s="521">
        <f t="shared" si="78"/>
        <v>0</v>
      </c>
      <c r="J565" s="206"/>
      <c r="O565" s="166"/>
    </row>
    <row r="566" spans="2:15" x14ac:dyDescent="0.2">
      <c r="B566" s="1104">
        <v>2020</v>
      </c>
      <c r="C566" s="1105"/>
      <c r="D566" s="1105"/>
      <c r="E566" s="1106"/>
      <c r="F566" s="275"/>
      <c r="G566" s="521">
        <f t="shared" si="79"/>
        <v>0</v>
      </c>
      <c r="H566" s="521">
        <f t="shared" si="80"/>
        <v>0</v>
      </c>
      <c r="I566" s="521">
        <f t="shared" si="78"/>
        <v>0</v>
      </c>
      <c r="J566" s="206"/>
      <c r="O566" s="166"/>
    </row>
    <row r="567" spans="2:15" x14ac:dyDescent="0.2">
      <c r="B567" s="1104">
        <v>2021</v>
      </c>
      <c r="C567" s="1105"/>
      <c r="D567" s="1105"/>
      <c r="E567" s="1106"/>
      <c r="F567" s="275"/>
      <c r="G567" s="521">
        <f>K180</f>
        <v>0</v>
      </c>
      <c r="H567" s="521">
        <f t="shared" ref="H567" si="81">-G567*0.5</f>
        <v>0</v>
      </c>
      <c r="I567" s="521">
        <f t="shared" si="78"/>
        <v>0</v>
      </c>
      <c r="J567" s="206"/>
      <c r="O567" s="166"/>
    </row>
    <row r="568" spans="2:15" s="273" customFormat="1" x14ac:dyDescent="0.2">
      <c r="G568" s="168">
        <f>SUM(G563:G567)</f>
        <v>0</v>
      </c>
      <c r="H568" s="168">
        <f>SUM(H563:H567)</f>
        <v>0</v>
      </c>
      <c r="I568" s="168">
        <f>SUM(I563:I567)</f>
        <v>0</v>
      </c>
    </row>
    <row r="569" spans="2:15" x14ac:dyDescent="0.2">
      <c r="O569" s="166"/>
    </row>
    <row r="570" spans="2:15" x14ac:dyDescent="0.2">
      <c r="B570" s="273" t="s">
        <v>139</v>
      </c>
      <c r="F570" s="810">
        <v>2023</v>
      </c>
      <c r="O570" s="166"/>
    </row>
    <row r="571" spans="2:15" x14ac:dyDescent="0.2">
      <c r="O571" s="166"/>
    </row>
    <row r="572" spans="2:15" ht="78" customHeight="1" x14ac:dyDescent="0.2">
      <c r="B572" s="1101" t="s">
        <v>140</v>
      </c>
      <c r="C572" s="1102"/>
      <c r="D572" s="1102"/>
      <c r="E572" s="1103"/>
      <c r="F572" s="274"/>
      <c r="G572" s="165" t="str">
        <f>"Nog af te bouwen regulatoir saldo einde "&amp;F570-1</f>
        <v>Nog af te bouwen regulatoir saldo einde 2022</v>
      </c>
      <c r="H572" s="165" t="str">
        <f>"50% van het oorspronkelijk regulatoir saldo door te rekenen volgens de tariefmethodologie in het boekjaar "&amp;F570</f>
        <v>50% van het oorspronkelijk regulatoir saldo door te rekenen volgens de tariefmethodologie in het boekjaar 2023</v>
      </c>
      <c r="I572" s="165" t="str">
        <f>"Nog af te bouwen regulatoir saldo einde "&amp;F570</f>
        <v>Nog af te bouwen regulatoir saldo einde 2023</v>
      </c>
      <c r="J572" s="206"/>
      <c r="O572" s="166"/>
    </row>
    <row r="573" spans="2:15" x14ac:dyDescent="0.2">
      <c r="B573" s="1104">
        <v>2021</v>
      </c>
      <c r="C573" s="1105"/>
      <c r="D573" s="1105"/>
      <c r="E573" s="1106"/>
      <c r="F573" s="275"/>
      <c r="G573" s="521">
        <f>+I567</f>
        <v>0</v>
      </c>
      <c r="H573" s="521">
        <f>-G567*0.5</f>
        <v>0</v>
      </c>
      <c r="I573" s="521">
        <f t="shared" ref="I573" si="82">+G573+H573</f>
        <v>0</v>
      </c>
      <c r="J573" s="206"/>
      <c r="O573" s="166"/>
    </row>
    <row r="574" spans="2:15" s="273" customFormat="1" x14ac:dyDescent="0.2">
      <c r="G574" s="168">
        <f>SUM(G573:G573)</f>
        <v>0</v>
      </c>
      <c r="H574" s="168">
        <f>SUM(H573:H573)</f>
        <v>0</v>
      </c>
      <c r="I574" s="168">
        <f>SUM(I573:I573)</f>
        <v>0</v>
      </c>
    </row>
    <row r="575" spans="2:15" x14ac:dyDescent="0.2">
      <c r="O575" s="166"/>
    </row>
    <row r="576" spans="2:15" x14ac:dyDescent="0.2">
      <c r="B576" s="273" t="s">
        <v>96</v>
      </c>
      <c r="C576" s="216"/>
      <c r="D576" s="216"/>
      <c r="E576" s="216"/>
      <c r="O576" s="166"/>
    </row>
    <row r="577" spans="2:16" x14ac:dyDescent="0.2">
      <c r="B577" s="273" t="s">
        <v>141</v>
      </c>
      <c r="C577" s="216"/>
      <c r="D577" s="216"/>
      <c r="E577" s="216"/>
      <c r="O577" s="166"/>
    </row>
    <row r="578" spans="2:16" x14ac:dyDescent="0.2">
      <c r="B578" s="273"/>
      <c r="C578" s="216"/>
      <c r="D578" s="216"/>
      <c r="E578" s="216"/>
      <c r="O578" s="166"/>
    </row>
    <row r="579" spans="2:16" x14ac:dyDescent="0.2">
      <c r="B579" s="275">
        <f>F551</f>
        <v>2021</v>
      </c>
      <c r="C579" s="279">
        <f>+H558</f>
        <v>0</v>
      </c>
      <c r="D579" s="216"/>
      <c r="E579" s="216"/>
      <c r="O579" s="166"/>
    </row>
    <row r="580" spans="2:16" x14ac:dyDescent="0.2">
      <c r="B580" s="275">
        <v>2022</v>
      </c>
      <c r="C580" s="279">
        <f>+H568</f>
        <v>0</v>
      </c>
      <c r="D580" s="216"/>
      <c r="E580" s="216"/>
      <c r="O580" s="166"/>
    </row>
    <row r="581" spans="2:16" x14ac:dyDescent="0.2">
      <c r="B581" s="275">
        <v>2023</v>
      </c>
      <c r="C581" s="279">
        <f>+H574</f>
        <v>0</v>
      </c>
      <c r="D581" s="216"/>
      <c r="E581" s="216"/>
      <c r="O581" s="166"/>
    </row>
    <row r="582" spans="2:16" x14ac:dyDescent="0.2">
      <c r="B582" s="336">
        <v>2024</v>
      </c>
      <c r="C582" s="337">
        <v>0</v>
      </c>
      <c r="D582" s="216"/>
      <c r="E582" s="216"/>
      <c r="O582" s="166"/>
    </row>
    <row r="583" spans="2:16" x14ac:dyDescent="0.2">
      <c r="O583" s="166"/>
    </row>
    <row r="584" spans="2:16" x14ac:dyDescent="0.2">
      <c r="O584" s="166"/>
    </row>
    <row r="585" spans="2:16" x14ac:dyDescent="0.2">
      <c r="B585" s="321" t="s">
        <v>357</v>
      </c>
      <c r="C585" s="322"/>
      <c r="D585" s="322"/>
      <c r="E585" s="322"/>
      <c r="F585" s="323"/>
      <c r="G585" s="323"/>
      <c r="H585" s="323"/>
      <c r="I585" s="323"/>
      <c r="J585" s="323"/>
      <c r="K585" s="323"/>
      <c r="L585" s="323"/>
      <c r="M585" s="323"/>
      <c r="N585" s="323"/>
      <c r="O585" s="324"/>
      <c r="P585" s="323"/>
    </row>
    <row r="586" spans="2:16" x14ac:dyDescent="0.2">
      <c r="O586" s="206"/>
    </row>
    <row r="587" spans="2:16" x14ac:dyDescent="0.2">
      <c r="B587" s="273" t="s">
        <v>139</v>
      </c>
      <c r="F587" s="810">
        <v>2018</v>
      </c>
      <c r="O587" s="206"/>
    </row>
    <row r="588" spans="2:16" x14ac:dyDescent="0.2">
      <c r="O588" s="166"/>
    </row>
    <row r="589" spans="2:16" ht="102" customHeight="1" x14ac:dyDescent="0.2">
      <c r="B589" s="1101" t="s">
        <v>140</v>
      </c>
      <c r="C589" s="1102"/>
      <c r="D589" s="1102"/>
      <c r="E589" s="1103"/>
      <c r="F589" s="274"/>
      <c r="G589" s="165" t="str">
        <f>"Nog af te bouwen regulatoir saldo einde "&amp;F587-1</f>
        <v>Nog af te bouwen regulatoir saldo einde 2017</v>
      </c>
      <c r="H589" s="165" t="str">
        <f>"Afbouw oudste openstaande regulatoir saldo vanaf boekjaar "&amp;F587-2&amp;" en vroeger, door aanwending van compensatie met regulatoir saldo ontstaan over boekjaar "&amp;F587-1</f>
        <v>Afbouw oudste openstaande regulatoir saldo vanaf boekjaar 2016 en vroeger, door aanwending van compensatie met regulatoir saldo ontstaan over boekjaar 2017</v>
      </c>
      <c r="I589" s="165" t="str">
        <f>"Nog af te bouwen regulatoir saldo na compensatie einde "&amp;F587-1</f>
        <v>Nog af te bouwen regulatoir saldo na compensatie einde 2017</v>
      </c>
      <c r="J589" s="165" t="str">
        <f>"Aanwending van 50% van het geaccumuleerd regulatoir saldo door te rekenen volgens de tariefmethodologie in het boekjaar "&amp;F587</f>
        <v>Aanwending van 50% van het geaccumuleerd regulatoir saldo door te rekenen volgens de tariefmethodologie in het boekjaar 2018</v>
      </c>
      <c r="K589" s="165" t="str">
        <f>"Nog af te bouwen regulatoir saldo einde "&amp;F587</f>
        <v>Nog af te bouwen regulatoir saldo einde 2018</v>
      </c>
      <c r="L589" s="220"/>
      <c r="M589" s="220"/>
      <c r="N589" s="220"/>
      <c r="O589" s="166"/>
    </row>
    <row r="590" spans="2:16" x14ac:dyDescent="0.2">
      <c r="B590" s="1104">
        <v>2017</v>
      </c>
      <c r="C590" s="1105"/>
      <c r="D590" s="1105"/>
      <c r="E590" s="1106"/>
      <c r="F590" s="275"/>
      <c r="G590" s="521">
        <f>+G185</f>
        <v>0</v>
      </c>
      <c r="H590" s="521">
        <v>0</v>
      </c>
      <c r="I590" s="521">
        <f>+G590+H590</f>
        <v>0</v>
      </c>
      <c r="J590" s="821">
        <f>-I590*0.5</f>
        <v>0</v>
      </c>
      <c r="K590" s="851">
        <f>+J590+G590</f>
        <v>0</v>
      </c>
      <c r="L590" s="812"/>
      <c r="M590" s="812"/>
      <c r="N590" s="812"/>
      <c r="O590" s="166"/>
    </row>
    <row r="591" spans="2:16" x14ac:dyDescent="0.2">
      <c r="O591" s="166"/>
    </row>
    <row r="592" spans="2:16" x14ac:dyDescent="0.2">
      <c r="B592" s="273" t="s">
        <v>139</v>
      </c>
      <c r="F592" s="810">
        <v>2019</v>
      </c>
      <c r="O592" s="206"/>
    </row>
    <row r="593" spans="2:15" x14ac:dyDescent="0.2">
      <c r="O593" s="206"/>
    </row>
    <row r="594" spans="2:15" ht="102" customHeight="1" x14ac:dyDescent="0.2">
      <c r="B594" s="1101" t="s">
        <v>140</v>
      </c>
      <c r="C594" s="1102"/>
      <c r="D594" s="1102"/>
      <c r="E594" s="1103"/>
      <c r="F594" s="274"/>
      <c r="G594" s="165" t="str">
        <f>"Nog af te bouwen regulatoir saldo einde "&amp;F592-1</f>
        <v>Nog af te bouwen regulatoir saldo einde 2018</v>
      </c>
      <c r="H594" s="165" t="str">
        <f>"Afbouw oudste openstaande regulatoir saldo vanaf boekjaar "&amp;F592-2&amp;" en vroeger, door aanwending van compensatie met regulatoir saldo ontstaan over boekjaar "&amp;F592-1</f>
        <v>Afbouw oudste openstaande regulatoir saldo vanaf boekjaar 2017 en vroeger, door aanwending van compensatie met regulatoir saldo ontstaan over boekjaar 2018</v>
      </c>
      <c r="I594" s="165" t="str">
        <f>"Nog af te bouwen regulatoir saldo na compensatie einde "&amp;F592-1</f>
        <v>Nog af te bouwen regulatoir saldo na compensatie einde 2018</v>
      </c>
      <c r="J594" s="213" t="str">
        <f>"Aanwending van 50% van het geaccumuleerd regulatoir saldo door te rekenen volgens de tariefmethodologie in het boekjaar "&amp;F592</f>
        <v>Aanwending van 50% van het geaccumuleerd regulatoir saldo door te rekenen volgens de tariefmethodologie in het boekjaar 2019</v>
      </c>
      <c r="K594" s="213" t="str">
        <f>"Aanwending van 50% van het geaccumuleerd regulatoir saldo door te rekenen volgens de tariefmethodologie in het boekjaar "&amp;F592</f>
        <v>Aanwending van 50% van het geaccumuleerd regulatoir saldo door te rekenen volgens de tariefmethodologie in het boekjaar 2019</v>
      </c>
      <c r="L594" s="165" t="str">
        <f>"Totale afbouw over "&amp;F592</f>
        <v>Totale afbouw over 2019</v>
      </c>
      <c r="M594" s="165" t="str">
        <f>"Nog af te bouwen regulatoir saldo einde "&amp;F592</f>
        <v>Nog af te bouwen regulatoir saldo einde 2019</v>
      </c>
      <c r="N594" s="206"/>
      <c r="O594" s="166"/>
    </row>
    <row r="595" spans="2:15" x14ac:dyDescent="0.2">
      <c r="B595" s="1104">
        <v>2017</v>
      </c>
      <c r="C595" s="1105"/>
      <c r="D595" s="1105"/>
      <c r="E595" s="1106"/>
      <c r="F595" s="275"/>
      <c r="G595" s="521">
        <f>K590</f>
        <v>0</v>
      </c>
      <c r="H595" s="521">
        <f>IF(SIGN(G596*K590)&lt;0,IF(G595&lt;&gt;0,-SIGN(G595)*MIN(ABS(G596),ABS(G595)),0),0)</f>
        <v>0</v>
      </c>
      <c r="I595" s="521">
        <f>+G595+H595</f>
        <v>0</v>
      </c>
      <c r="J595" s="852"/>
      <c r="K595" s="821">
        <f>-MIN(ABS(I595),ABS(J597))*SIGN(I595)</f>
        <v>0</v>
      </c>
      <c r="L595" s="813">
        <f>+K595+H595</f>
        <v>0</v>
      </c>
      <c r="M595" s="521">
        <f>+I595+K595</f>
        <v>0</v>
      </c>
      <c r="N595" s="206"/>
      <c r="O595" s="166"/>
    </row>
    <row r="596" spans="2:15" x14ac:dyDescent="0.2">
      <c r="B596" s="1104">
        <v>2018</v>
      </c>
      <c r="C596" s="1105"/>
      <c r="D596" s="1105"/>
      <c r="E596" s="1106"/>
      <c r="F596" s="275"/>
      <c r="G596" s="521">
        <f>+H186</f>
        <v>0</v>
      </c>
      <c r="H596" s="813">
        <f>IF(SIGN(G596*K590)&lt;0,-H595,0)</f>
        <v>0</v>
      </c>
      <c r="I596" s="521">
        <f>+G596+H596</f>
        <v>0</v>
      </c>
      <c r="J596" s="852"/>
      <c r="K596" s="821">
        <f>-MIN(ABS(I596),ABS(J597-K595))*SIGN(I596)</f>
        <v>0</v>
      </c>
      <c r="L596" s="813">
        <f>+K596+H596</f>
        <v>0</v>
      </c>
      <c r="M596" s="521">
        <f>+I596+K596</f>
        <v>0</v>
      </c>
      <c r="N596" s="206"/>
      <c r="O596" s="166"/>
    </row>
    <row r="597" spans="2:15" s="273" customFormat="1" x14ac:dyDescent="0.2">
      <c r="G597" s="168">
        <f>SUM(G595:G596)</f>
        <v>0</v>
      </c>
      <c r="H597" s="168">
        <f>SUM(H595:H596)</f>
        <v>0</v>
      </c>
      <c r="I597" s="168">
        <f>SUM(I595:I596)</f>
        <v>0</v>
      </c>
      <c r="J597" s="286">
        <f>-I597*0.5</f>
        <v>0</v>
      </c>
      <c r="K597" s="286">
        <f>SUM(K595:K596)</f>
        <v>0</v>
      </c>
      <c r="L597" s="528"/>
      <c r="M597" s="168">
        <f>SUM(M595:M596)</f>
        <v>0</v>
      </c>
    </row>
    <row r="598" spans="2:15" x14ac:dyDescent="0.2">
      <c r="O598" s="166"/>
    </row>
    <row r="599" spans="2:15" x14ac:dyDescent="0.2">
      <c r="B599" s="273" t="s">
        <v>139</v>
      </c>
      <c r="F599" s="810">
        <v>2020</v>
      </c>
      <c r="O599" s="166"/>
    </row>
    <row r="600" spans="2:15" x14ac:dyDescent="0.2">
      <c r="O600" s="166"/>
    </row>
    <row r="601" spans="2:15" ht="102" customHeight="1" x14ac:dyDescent="0.2">
      <c r="B601" s="1101" t="s">
        <v>140</v>
      </c>
      <c r="C601" s="1102"/>
      <c r="D601" s="1102"/>
      <c r="E601" s="1103"/>
      <c r="F601" s="274"/>
      <c r="G601" s="165" t="str">
        <f>"Nog af te bouwen regulatoir saldo einde "&amp;F599-1</f>
        <v>Nog af te bouwen regulatoir saldo einde 2019</v>
      </c>
      <c r="H601" s="165" t="str">
        <f>"Afbouw oudste openstaande regulatoir saldo vanaf boekjaar "&amp;F599-2&amp;" en vroeger, door aanwending van compensatie met regulatoir saldo ontstaan over boekjaar "&amp;F599-1</f>
        <v>Afbouw oudste openstaande regulatoir saldo vanaf boekjaar 2018 en vroeger, door aanwending van compensatie met regulatoir saldo ontstaan over boekjaar 2019</v>
      </c>
      <c r="I601" s="165" t="str">
        <f>"Nog af te bouwen regulatoir saldo na compensatie einde "&amp;F599-1</f>
        <v>Nog af te bouwen regulatoir saldo na compensatie einde 2019</v>
      </c>
      <c r="J601" s="213" t="str">
        <f>"Aanwending van 50% van het geaccumuleerd regulatoir saldo door te rekenen volgens de tariefmethodologie in het boekjaar "&amp;F599</f>
        <v>Aanwending van 50% van het geaccumuleerd regulatoir saldo door te rekenen volgens de tariefmethodologie in het boekjaar 2020</v>
      </c>
      <c r="K601" s="213" t="str">
        <f>"Aanwending van 50% van het geaccumuleerd regulatoir saldo door te rekenen volgens de tariefmethodologie in het boekjaar "&amp;F599</f>
        <v>Aanwending van 50% van het geaccumuleerd regulatoir saldo door te rekenen volgens de tariefmethodologie in het boekjaar 2020</v>
      </c>
      <c r="L601" s="165" t="str">
        <f>"Totale afbouw over "&amp;F599</f>
        <v>Totale afbouw over 2020</v>
      </c>
      <c r="M601" s="165" t="str">
        <f>"Nog af te bouwen regulatoir saldo einde "&amp;F599</f>
        <v>Nog af te bouwen regulatoir saldo einde 2020</v>
      </c>
      <c r="N601" s="206"/>
      <c r="O601" s="166"/>
    </row>
    <row r="602" spans="2:15" x14ac:dyDescent="0.2">
      <c r="B602" s="1104">
        <v>2017</v>
      </c>
      <c r="C602" s="1105"/>
      <c r="D602" s="1105"/>
      <c r="E602" s="1106"/>
      <c r="F602" s="275"/>
      <c r="G602" s="521">
        <f>+M595</f>
        <v>0</v>
      </c>
      <c r="H602" s="813">
        <f>IF(SIGN(G604*M597)&lt;0,IF(G602&lt;&gt;0,-SIGN(G602)*MIN(ABS(G604),ABS(G602)),0),0)</f>
        <v>0</v>
      </c>
      <c r="I602" s="521">
        <f>+G602+H602</f>
        <v>0</v>
      </c>
      <c r="J602" s="852"/>
      <c r="K602" s="821">
        <f>-MIN(ABS(I602),ABS(J605))*SIGN(I602)</f>
        <v>0</v>
      </c>
      <c r="L602" s="813">
        <f>+K602+H602</f>
        <v>0</v>
      </c>
      <c r="M602" s="521">
        <f>+I602+K602</f>
        <v>0</v>
      </c>
      <c r="N602" s="206"/>
      <c r="O602" s="166"/>
    </row>
    <row r="603" spans="2:15" x14ac:dyDescent="0.2">
      <c r="B603" s="1104">
        <v>2018</v>
      </c>
      <c r="C603" s="1105"/>
      <c r="D603" s="1105">
        <v>2016</v>
      </c>
      <c r="E603" s="1106"/>
      <c r="F603" s="275"/>
      <c r="G603" s="521">
        <f>+M596</f>
        <v>0</v>
      </c>
      <c r="H603" s="813">
        <f>IF(SIGN(G604*M597)&lt;0,IF(G603&lt;&gt;0,-SIGN(G603)*MIN(ABS(G604-H602),ABS(G603)),0),0)</f>
        <v>0</v>
      </c>
      <c r="I603" s="521">
        <f>+G603+H603</f>
        <v>0</v>
      </c>
      <c r="J603" s="852"/>
      <c r="K603" s="821">
        <f>-MIN(ABS(I603),ABS(J605-K602))*SIGN(I603)</f>
        <v>0</v>
      </c>
      <c r="L603" s="813">
        <f>+K603+H603</f>
        <v>0</v>
      </c>
      <c r="M603" s="521">
        <f>+I603+K603</f>
        <v>0</v>
      </c>
      <c r="N603" s="206"/>
      <c r="O603" s="166"/>
    </row>
    <row r="604" spans="2:15" x14ac:dyDescent="0.2">
      <c r="B604" s="1104">
        <v>2019</v>
      </c>
      <c r="C604" s="1105"/>
      <c r="D604" s="1105"/>
      <c r="E604" s="1106"/>
      <c r="F604" s="275"/>
      <c r="G604" s="521">
        <f>I187</f>
        <v>0</v>
      </c>
      <c r="H604" s="813">
        <f>IF(SIGN(G604*M597)&lt;0,-SUM(H602:H603),0)</f>
        <v>0</v>
      </c>
      <c r="I604" s="521">
        <f>+G604+H604</f>
        <v>0</v>
      </c>
      <c r="J604" s="852"/>
      <c r="K604" s="821">
        <f>-MIN(ABS(I604),ABS(J605-K602-K603))*SIGN(I604)</f>
        <v>0</v>
      </c>
      <c r="L604" s="813">
        <f>+K604+H604</f>
        <v>0</v>
      </c>
      <c r="M604" s="521">
        <f>+I604+K604</f>
        <v>0</v>
      </c>
      <c r="N604" s="206"/>
      <c r="O604" s="166"/>
    </row>
    <row r="605" spans="2:15" s="273" customFormat="1" x14ac:dyDescent="0.2">
      <c r="G605" s="168">
        <f>SUM(G602:G604)</f>
        <v>0</v>
      </c>
      <c r="H605" s="168">
        <f>SUM(H602:H604)</f>
        <v>0</v>
      </c>
      <c r="I605" s="168">
        <f>SUM(I602:I604)</f>
        <v>0</v>
      </c>
      <c r="J605" s="286">
        <f>-I605*0.5</f>
        <v>0</v>
      </c>
      <c r="K605" s="286">
        <f>SUM(K602:K604)</f>
        <v>0</v>
      </c>
      <c r="L605" s="528"/>
      <c r="M605" s="168">
        <f>SUM(M602:M604)</f>
        <v>0</v>
      </c>
    </row>
    <row r="606" spans="2:15" x14ac:dyDescent="0.2">
      <c r="O606" s="166"/>
    </row>
    <row r="607" spans="2:15" x14ac:dyDescent="0.2">
      <c r="B607" s="273" t="s">
        <v>139</v>
      </c>
      <c r="F607" s="810">
        <v>2021</v>
      </c>
      <c r="O607" s="166"/>
    </row>
    <row r="608" spans="2:15" x14ac:dyDescent="0.2">
      <c r="O608" s="166"/>
    </row>
    <row r="609" spans="2:15" ht="78" customHeight="1" x14ac:dyDescent="0.2">
      <c r="B609" s="1101" t="s">
        <v>140</v>
      </c>
      <c r="C609" s="1102"/>
      <c r="D609" s="1102"/>
      <c r="E609" s="1103"/>
      <c r="F609" s="274"/>
      <c r="G609" s="165" t="str">
        <f>"Nog af te bouwen regulatoir saldo einde "&amp;F607-1</f>
        <v>Nog af te bouwen regulatoir saldo einde 2020</v>
      </c>
      <c r="H609" s="165" t="str">
        <f>"50% van het oorspronkelijk regulatoir saldo door te rekenen volgens de tariefmethodologie in het boekjaar "&amp;F607</f>
        <v>50% van het oorspronkelijk regulatoir saldo door te rekenen volgens de tariefmethodologie in het boekjaar 2021</v>
      </c>
      <c r="I609" s="165" t="str">
        <f>"Nog af te bouwen regulatoir saldo einde "&amp;F607</f>
        <v>Nog af te bouwen regulatoir saldo einde 2021</v>
      </c>
      <c r="J609" s="206"/>
      <c r="O609" s="166"/>
    </row>
    <row r="610" spans="2:15" x14ac:dyDescent="0.2">
      <c r="B610" s="1104">
        <v>2017</v>
      </c>
      <c r="C610" s="1105"/>
      <c r="D610" s="1105"/>
      <c r="E610" s="1106"/>
      <c r="F610" s="275"/>
      <c r="G610" s="521">
        <f>+M602</f>
        <v>0</v>
      </c>
      <c r="H610" s="521">
        <f>-G610*0.5</f>
        <v>0</v>
      </c>
      <c r="I610" s="521">
        <f>+G610+H610</f>
        <v>0</v>
      </c>
      <c r="J610" s="206"/>
      <c r="O610" s="166"/>
    </row>
    <row r="611" spans="2:15" x14ac:dyDescent="0.2">
      <c r="B611" s="1104">
        <v>2018</v>
      </c>
      <c r="C611" s="1105"/>
      <c r="D611" s="1105"/>
      <c r="E611" s="1106"/>
      <c r="F611" s="275"/>
      <c r="G611" s="521">
        <f t="shared" ref="G611:G612" si="83">+M603</f>
        <v>0</v>
      </c>
      <c r="H611" s="521">
        <f t="shared" ref="H611:H613" si="84">-G611*0.5</f>
        <v>0</v>
      </c>
      <c r="I611" s="521">
        <f t="shared" ref="I611:I613" si="85">+G611+H611</f>
        <v>0</v>
      </c>
      <c r="J611" s="206"/>
      <c r="O611" s="166"/>
    </row>
    <row r="612" spans="2:15" x14ac:dyDescent="0.2">
      <c r="B612" s="1104">
        <v>2019</v>
      </c>
      <c r="C612" s="1105"/>
      <c r="D612" s="1105">
        <v>2016</v>
      </c>
      <c r="E612" s="1106"/>
      <c r="F612" s="275"/>
      <c r="G612" s="521">
        <f t="shared" si="83"/>
        <v>0</v>
      </c>
      <c r="H612" s="521">
        <f t="shared" si="84"/>
        <v>0</v>
      </c>
      <c r="I612" s="521">
        <f t="shared" si="85"/>
        <v>0</v>
      </c>
      <c r="J612" s="206"/>
      <c r="O612" s="166"/>
    </row>
    <row r="613" spans="2:15" x14ac:dyDescent="0.2">
      <c r="B613" s="1104">
        <v>2020</v>
      </c>
      <c r="C613" s="1105"/>
      <c r="D613" s="1105"/>
      <c r="E613" s="1106"/>
      <c r="F613" s="275"/>
      <c r="G613" s="521">
        <f>J188</f>
        <v>0</v>
      </c>
      <c r="H613" s="521">
        <f t="shared" si="84"/>
        <v>0</v>
      </c>
      <c r="I613" s="521">
        <f t="shared" si="85"/>
        <v>0</v>
      </c>
      <c r="J613" s="206"/>
      <c r="O613" s="166"/>
    </row>
    <row r="614" spans="2:15" s="273" customFormat="1" x14ac:dyDescent="0.2">
      <c r="G614" s="168">
        <f>SUM(G610:G613)</f>
        <v>0</v>
      </c>
      <c r="H614" s="168">
        <f>SUM(H610:H613)</f>
        <v>0</v>
      </c>
      <c r="I614" s="168">
        <f>SUM(I610:I613)</f>
        <v>0</v>
      </c>
    </row>
    <row r="615" spans="2:15" x14ac:dyDescent="0.2">
      <c r="G615" s="214"/>
      <c r="H615" s="214"/>
      <c r="I615" s="214"/>
      <c r="O615" s="166"/>
    </row>
    <row r="616" spans="2:15" x14ac:dyDescent="0.2">
      <c r="B616" s="273" t="s">
        <v>139</v>
      </c>
      <c r="F616" s="810">
        <v>2022</v>
      </c>
      <c r="O616" s="166"/>
    </row>
    <row r="617" spans="2:15" x14ac:dyDescent="0.2">
      <c r="O617" s="166"/>
    </row>
    <row r="618" spans="2:15" ht="78" customHeight="1" x14ac:dyDescent="0.2">
      <c r="B618" s="1101" t="s">
        <v>140</v>
      </c>
      <c r="C618" s="1102"/>
      <c r="D618" s="1102"/>
      <c r="E618" s="1103"/>
      <c r="F618" s="274"/>
      <c r="G618" s="165" t="str">
        <f>"Nog af te bouwen regulatoir saldo einde "&amp;F616-1</f>
        <v>Nog af te bouwen regulatoir saldo einde 2021</v>
      </c>
      <c r="H618" s="165" t="str">
        <f>"50% van het oorspronkelijk regulatoir saldo door te rekenen volgens de tariefmethodologie in het boekjaar "&amp;F616</f>
        <v>50% van het oorspronkelijk regulatoir saldo door te rekenen volgens de tariefmethodologie in het boekjaar 2022</v>
      </c>
      <c r="I618" s="165" t="str">
        <f>"Nog af te bouwen regulatoir saldo einde "&amp;F616</f>
        <v>Nog af te bouwen regulatoir saldo einde 2022</v>
      </c>
      <c r="J618" s="206"/>
      <c r="O618" s="166"/>
    </row>
    <row r="619" spans="2:15" x14ac:dyDescent="0.2">
      <c r="B619" s="1104">
        <v>2017</v>
      </c>
      <c r="C619" s="1105"/>
      <c r="D619" s="1105">
        <v>2016</v>
      </c>
      <c r="E619" s="1106"/>
      <c r="F619" s="275"/>
      <c r="G619" s="521">
        <f>+I610</f>
        <v>0</v>
      </c>
      <c r="H619" s="521">
        <f>-G610*0.5</f>
        <v>0</v>
      </c>
      <c r="I619" s="521">
        <f t="shared" ref="I619:I623" si="86">+G619+H619</f>
        <v>0</v>
      </c>
      <c r="J619" s="206"/>
      <c r="O619" s="166"/>
    </row>
    <row r="620" spans="2:15" x14ac:dyDescent="0.2">
      <c r="B620" s="1104">
        <v>2018</v>
      </c>
      <c r="C620" s="1105"/>
      <c r="D620" s="1105"/>
      <c r="E620" s="1106"/>
      <c r="F620" s="275"/>
      <c r="G620" s="521">
        <f t="shared" ref="G620:G622" si="87">+I611</f>
        <v>0</v>
      </c>
      <c r="H620" s="521">
        <f t="shared" ref="H620:H622" si="88">-G611*0.5</f>
        <v>0</v>
      </c>
      <c r="I620" s="521">
        <f t="shared" si="86"/>
        <v>0</v>
      </c>
      <c r="J620" s="206"/>
      <c r="O620" s="166"/>
    </row>
    <row r="621" spans="2:15" x14ac:dyDescent="0.2">
      <c r="B621" s="1104">
        <v>2019</v>
      </c>
      <c r="C621" s="1105"/>
      <c r="D621" s="1105"/>
      <c r="E621" s="1106"/>
      <c r="F621" s="275"/>
      <c r="G621" s="521">
        <f t="shared" si="87"/>
        <v>0</v>
      </c>
      <c r="H621" s="521">
        <f t="shared" si="88"/>
        <v>0</v>
      </c>
      <c r="I621" s="521">
        <f t="shared" si="86"/>
        <v>0</v>
      </c>
      <c r="J621" s="206"/>
      <c r="O621" s="166"/>
    </row>
    <row r="622" spans="2:15" x14ac:dyDescent="0.2">
      <c r="B622" s="1104">
        <v>2020</v>
      </c>
      <c r="C622" s="1105"/>
      <c r="D622" s="1105"/>
      <c r="E622" s="1106"/>
      <c r="F622" s="275"/>
      <c r="G622" s="521">
        <f t="shared" si="87"/>
        <v>0</v>
      </c>
      <c r="H622" s="521">
        <f t="shared" si="88"/>
        <v>0</v>
      </c>
      <c r="I622" s="521">
        <f t="shared" si="86"/>
        <v>0</v>
      </c>
      <c r="J622" s="206"/>
      <c r="O622" s="166"/>
    </row>
    <row r="623" spans="2:15" x14ac:dyDescent="0.2">
      <c r="B623" s="1104">
        <v>2021</v>
      </c>
      <c r="C623" s="1105"/>
      <c r="D623" s="1105"/>
      <c r="E623" s="1106"/>
      <c r="F623" s="275"/>
      <c r="G623" s="521">
        <f>K189</f>
        <v>0</v>
      </c>
      <c r="H623" s="521">
        <f t="shared" ref="H623" si="89">-G623*0.5</f>
        <v>0</v>
      </c>
      <c r="I623" s="521">
        <f t="shared" si="86"/>
        <v>0</v>
      </c>
      <c r="J623" s="206"/>
      <c r="O623" s="166"/>
    </row>
    <row r="624" spans="2:15" s="273" customFormat="1" x14ac:dyDescent="0.2">
      <c r="G624" s="168">
        <f>SUM(G619:G623)</f>
        <v>0</v>
      </c>
      <c r="H624" s="168">
        <f>SUM(H619:H623)</f>
        <v>0</v>
      </c>
      <c r="I624" s="168">
        <f>SUM(I619:I623)</f>
        <v>0</v>
      </c>
    </row>
    <row r="625" spans="2:15" x14ac:dyDescent="0.2">
      <c r="O625" s="166"/>
    </row>
    <row r="626" spans="2:15" x14ac:dyDescent="0.2">
      <c r="B626" s="273" t="s">
        <v>139</v>
      </c>
      <c r="F626" s="810">
        <v>2023</v>
      </c>
      <c r="O626" s="166"/>
    </row>
    <row r="627" spans="2:15" x14ac:dyDescent="0.2">
      <c r="O627" s="166"/>
    </row>
    <row r="628" spans="2:15" ht="78" customHeight="1" x14ac:dyDescent="0.2">
      <c r="B628" s="1101" t="s">
        <v>140</v>
      </c>
      <c r="C628" s="1102"/>
      <c r="D628" s="1102"/>
      <c r="E628" s="1103"/>
      <c r="F628" s="274"/>
      <c r="G628" s="165" t="str">
        <f>"Nog af te bouwen regulatoir saldo einde "&amp;F626-1</f>
        <v>Nog af te bouwen regulatoir saldo einde 2022</v>
      </c>
      <c r="H628" s="165" t="str">
        <f>"50% van het oorspronkelijk regulatoir saldo door te rekenen volgens de tariefmethodologie in het boekjaar "&amp;F626</f>
        <v>50% van het oorspronkelijk regulatoir saldo door te rekenen volgens de tariefmethodologie in het boekjaar 2023</v>
      </c>
      <c r="I628" s="165" t="str">
        <f>"Nog af te bouwen regulatoir saldo einde "&amp;F626</f>
        <v>Nog af te bouwen regulatoir saldo einde 2023</v>
      </c>
      <c r="J628" s="206"/>
      <c r="O628" s="166"/>
    </row>
    <row r="629" spans="2:15" x14ac:dyDescent="0.2">
      <c r="B629" s="1104">
        <v>2021</v>
      </c>
      <c r="C629" s="1105"/>
      <c r="D629" s="1105"/>
      <c r="E629" s="1106"/>
      <c r="F629" s="275"/>
      <c r="G629" s="521">
        <f>+I623</f>
        <v>0</v>
      </c>
      <c r="H629" s="521">
        <f>-G623*0.5</f>
        <v>0</v>
      </c>
      <c r="I629" s="521">
        <f t="shared" ref="I629:I630" si="90">+G629+H629</f>
        <v>0</v>
      </c>
      <c r="J629" s="206"/>
      <c r="O629" s="166"/>
    </row>
    <row r="630" spans="2:15" x14ac:dyDescent="0.2">
      <c r="B630" s="1104">
        <v>2022</v>
      </c>
      <c r="C630" s="1105"/>
      <c r="D630" s="1105"/>
      <c r="E630" s="1106"/>
      <c r="F630" s="275"/>
      <c r="G630" s="521">
        <f>L190</f>
        <v>0</v>
      </c>
      <c r="H630" s="521">
        <f t="shared" ref="H630" si="91">-G630*0.5</f>
        <v>0</v>
      </c>
      <c r="I630" s="521">
        <f t="shared" si="90"/>
        <v>0</v>
      </c>
      <c r="J630" s="206"/>
      <c r="O630" s="166"/>
    </row>
    <row r="631" spans="2:15" s="273" customFormat="1" x14ac:dyDescent="0.2">
      <c r="G631" s="168">
        <f>SUM(G629:G630)</f>
        <v>0</v>
      </c>
      <c r="H631" s="168">
        <f>SUM(H629:H630)</f>
        <v>0</v>
      </c>
      <c r="I631" s="168">
        <f>SUM(I629:I630)</f>
        <v>0</v>
      </c>
    </row>
    <row r="632" spans="2:15" x14ac:dyDescent="0.2">
      <c r="O632" s="166"/>
    </row>
    <row r="633" spans="2:15" x14ac:dyDescent="0.2">
      <c r="B633" s="273" t="s">
        <v>139</v>
      </c>
      <c r="F633" s="810">
        <v>2024</v>
      </c>
      <c r="O633" s="166"/>
    </row>
    <row r="634" spans="2:15" x14ac:dyDescent="0.2">
      <c r="O634" s="166"/>
    </row>
    <row r="635" spans="2:15" ht="78" customHeight="1" x14ac:dyDescent="0.2">
      <c r="B635" s="1101" t="s">
        <v>140</v>
      </c>
      <c r="C635" s="1102"/>
      <c r="D635" s="1102"/>
      <c r="E635" s="1103"/>
      <c r="F635" s="274"/>
      <c r="G635" s="165" t="str">
        <f>"Nog af te bouwen regulatoir saldo einde "&amp;F633-1</f>
        <v>Nog af te bouwen regulatoir saldo einde 2023</v>
      </c>
      <c r="H635" s="165" t="str">
        <f>"50% van het oorspronkelijk regulatoir saldo door te rekenen volgens de tariefmethodologie in het boekjaar "&amp;F633</f>
        <v>50% van het oorspronkelijk regulatoir saldo door te rekenen volgens de tariefmethodologie in het boekjaar 2024</v>
      </c>
      <c r="I635" s="165" t="str">
        <f>"Nog af te bouwen regulatoir saldo einde "&amp;F633</f>
        <v>Nog af te bouwen regulatoir saldo einde 2024</v>
      </c>
      <c r="J635" s="206"/>
      <c r="O635" s="166"/>
    </row>
    <row r="636" spans="2:15" x14ac:dyDescent="0.2">
      <c r="B636" s="1104">
        <v>2022</v>
      </c>
      <c r="C636" s="1105"/>
      <c r="D636" s="1105"/>
      <c r="E636" s="1106"/>
      <c r="F636" s="275"/>
      <c r="G636" s="521">
        <f>+I630</f>
        <v>0</v>
      </c>
      <c r="H636" s="521">
        <f>-G630*0.5</f>
        <v>0</v>
      </c>
      <c r="I636" s="521">
        <f t="shared" ref="I636:I637" si="92">+G636+H636</f>
        <v>0</v>
      </c>
      <c r="J636" s="206"/>
      <c r="O636" s="166"/>
    </row>
    <row r="637" spans="2:15" x14ac:dyDescent="0.2">
      <c r="B637" s="1104">
        <v>2023</v>
      </c>
      <c r="C637" s="1105"/>
      <c r="D637" s="1105"/>
      <c r="E637" s="1106"/>
      <c r="F637" s="275"/>
      <c r="G637" s="521">
        <f>+M191</f>
        <v>0</v>
      </c>
      <c r="H637" s="521">
        <f t="shared" ref="H637" si="93">-G637*0.5</f>
        <v>0</v>
      </c>
      <c r="I637" s="521">
        <f t="shared" si="92"/>
        <v>0</v>
      </c>
      <c r="J637" s="206"/>
      <c r="O637" s="166"/>
    </row>
    <row r="638" spans="2:15" s="273" customFormat="1" x14ac:dyDescent="0.2">
      <c r="G638" s="168">
        <f>SUM(G636:G637)</f>
        <v>0</v>
      </c>
      <c r="H638" s="168">
        <f>SUM(H636:H637)</f>
        <v>0</v>
      </c>
      <c r="I638" s="168">
        <f>SUM(I636:I637)</f>
        <v>0</v>
      </c>
    </row>
    <row r="639" spans="2:15" x14ac:dyDescent="0.2">
      <c r="B639" s="273" t="s">
        <v>357</v>
      </c>
      <c r="O639" s="166"/>
    </row>
    <row r="640" spans="2:15" x14ac:dyDescent="0.2">
      <c r="B640" s="273" t="s">
        <v>141</v>
      </c>
      <c r="C640" s="216"/>
      <c r="D640" s="216"/>
      <c r="E640" s="216"/>
      <c r="O640" s="166"/>
    </row>
    <row r="641" spans="2:15" x14ac:dyDescent="0.2">
      <c r="B641" s="273"/>
      <c r="C641" s="216"/>
      <c r="D641" s="216"/>
      <c r="E641" s="216"/>
      <c r="O641" s="166"/>
    </row>
    <row r="642" spans="2:15" x14ac:dyDescent="0.2">
      <c r="B642" s="275">
        <f>F607</f>
        <v>2021</v>
      </c>
      <c r="C642" s="279">
        <f>+H614</f>
        <v>0</v>
      </c>
      <c r="D642" s="216"/>
      <c r="E642" s="216"/>
      <c r="O642" s="166"/>
    </row>
    <row r="643" spans="2:15" x14ac:dyDescent="0.2">
      <c r="B643" s="275">
        <v>2022</v>
      </c>
      <c r="C643" s="279">
        <f>+H624</f>
        <v>0</v>
      </c>
      <c r="D643" s="216"/>
      <c r="E643" s="216"/>
      <c r="O643" s="166"/>
    </row>
    <row r="644" spans="2:15" x14ac:dyDescent="0.2">
      <c r="B644" s="275">
        <v>2023</v>
      </c>
      <c r="C644" s="279">
        <f>+H631</f>
        <v>0</v>
      </c>
      <c r="D644" s="216"/>
      <c r="E644" s="216"/>
      <c r="O644" s="166"/>
    </row>
    <row r="645" spans="2:15" x14ac:dyDescent="0.2">
      <c r="B645" s="275">
        <v>2024</v>
      </c>
      <c r="C645" s="279">
        <f>+H638</f>
        <v>0</v>
      </c>
      <c r="D645" s="216"/>
      <c r="E645" s="216"/>
      <c r="O645" s="166"/>
    </row>
    <row r="646" spans="2:15" x14ac:dyDescent="0.2">
      <c r="O646" s="166"/>
    </row>
    <row r="647" spans="2:15" x14ac:dyDescent="0.2">
      <c r="O647" s="166"/>
    </row>
  </sheetData>
  <sheetProtection algorithmName="SHA-512" hashValue="CS314D0bH5AqcK/SP8UXhvC6Me9NlMNq2SDkKoftVm46Rk02uR6ZXQG6q70rmEjikwQY6PcNnEOkIxhpjSCJHg==" saltValue="rx9ac01UArz5FouyaxbM/A==" spinCount="100000" sheet="1" objects="1" scenarios="1"/>
  <mergeCells count="356">
    <mergeCell ref="B19:E19"/>
    <mergeCell ref="B20:E20"/>
    <mergeCell ref="B18:E18"/>
    <mergeCell ref="B21:E21"/>
    <mergeCell ref="B22:E22"/>
    <mergeCell ref="A1:J1"/>
    <mergeCell ref="B4:E4"/>
    <mergeCell ref="B7:E7"/>
    <mergeCell ref="B13:E13"/>
    <mergeCell ref="B15:E15"/>
    <mergeCell ref="B17:E17"/>
    <mergeCell ref="B16:E16"/>
    <mergeCell ref="B34:E34"/>
    <mergeCell ref="B35:E35"/>
    <mergeCell ref="B36:E36"/>
    <mergeCell ref="B37:E37"/>
    <mergeCell ref="B38:E38"/>
    <mergeCell ref="B39:E39"/>
    <mergeCell ref="B24:E24"/>
    <mergeCell ref="B25:E25"/>
    <mergeCell ref="B29:E29"/>
    <mergeCell ref="B31:E31"/>
    <mergeCell ref="B32:E32"/>
    <mergeCell ref="B33:E33"/>
    <mergeCell ref="B53:E53"/>
    <mergeCell ref="B54:E54"/>
    <mergeCell ref="B55:E55"/>
    <mergeCell ref="B56:E56"/>
    <mergeCell ref="B57:E57"/>
    <mergeCell ref="B49:E49"/>
    <mergeCell ref="B50:E50"/>
    <mergeCell ref="B51:E51"/>
    <mergeCell ref="B52:E52"/>
    <mergeCell ref="B58:E58"/>
    <mergeCell ref="B76:E76"/>
    <mergeCell ref="B77:E77"/>
    <mergeCell ref="B78:E78"/>
    <mergeCell ref="B79:E79"/>
    <mergeCell ref="B80:E80"/>
    <mergeCell ref="B81:E81"/>
    <mergeCell ref="B72:E72"/>
    <mergeCell ref="B73:E73"/>
    <mergeCell ref="B74:E74"/>
    <mergeCell ref="B75:E75"/>
    <mergeCell ref="B67:E67"/>
    <mergeCell ref="B68:E68"/>
    <mergeCell ref="B69:E69"/>
    <mergeCell ref="B70:E70"/>
    <mergeCell ref="B71:E71"/>
    <mergeCell ref="B59:E59"/>
    <mergeCell ref="B60:E60"/>
    <mergeCell ref="B61:E61"/>
    <mergeCell ref="B62:E62"/>
    <mergeCell ref="B63:E63"/>
    <mergeCell ref="B64:E64"/>
    <mergeCell ref="B65:E65"/>
    <mergeCell ref="B66:E66"/>
    <mergeCell ref="B82:E82"/>
    <mergeCell ref="B83:E83"/>
    <mergeCell ref="B84:E84"/>
    <mergeCell ref="B93:E93"/>
    <mergeCell ref="B87:E87"/>
    <mergeCell ref="B88:E88"/>
    <mergeCell ref="B89:E89"/>
    <mergeCell ref="B90:E90"/>
    <mergeCell ref="B91:E91"/>
    <mergeCell ref="B92:E92"/>
    <mergeCell ref="B85:E85"/>
    <mergeCell ref="B86:E86"/>
    <mergeCell ref="B98:E98"/>
    <mergeCell ref="B99:E99"/>
    <mergeCell ref="B100:E100"/>
    <mergeCell ref="B101:E101"/>
    <mergeCell ref="B102:E102"/>
    <mergeCell ref="B94:E94"/>
    <mergeCell ref="B95:E95"/>
    <mergeCell ref="B96:E96"/>
    <mergeCell ref="B97:E97"/>
    <mergeCell ref="B110:E110"/>
    <mergeCell ref="B111:E111"/>
    <mergeCell ref="B112:E112"/>
    <mergeCell ref="B113:E113"/>
    <mergeCell ref="B114:E114"/>
    <mergeCell ref="B104:E104"/>
    <mergeCell ref="B106:E106"/>
    <mergeCell ref="B107:E107"/>
    <mergeCell ref="B108:E108"/>
    <mergeCell ref="B109:E109"/>
    <mergeCell ref="B133:E133"/>
    <mergeCell ref="B134:E134"/>
    <mergeCell ref="B135:E135"/>
    <mergeCell ref="B136:E136"/>
    <mergeCell ref="B137:E137"/>
    <mergeCell ref="B138:E138"/>
    <mergeCell ref="B115:E115"/>
    <mergeCell ref="B119:E119"/>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43:E143"/>
    <mergeCell ref="B144:E144"/>
    <mergeCell ref="B145:E145"/>
    <mergeCell ref="B146:E146"/>
    <mergeCell ref="B147:E147"/>
    <mergeCell ref="B139:E139"/>
    <mergeCell ref="B140:E140"/>
    <mergeCell ref="B141:E141"/>
    <mergeCell ref="B142:E142"/>
    <mergeCell ref="B148:E148"/>
    <mergeCell ref="B166:E166"/>
    <mergeCell ref="B167:E167"/>
    <mergeCell ref="B168:E168"/>
    <mergeCell ref="B169:E169"/>
    <mergeCell ref="B170:E170"/>
    <mergeCell ref="B171:E171"/>
    <mergeCell ref="B162:E162"/>
    <mergeCell ref="B163:E163"/>
    <mergeCell ref="B164:E164"/>
    <mergeCell ref="B165:E165"/>
    <mergeCell ref="B157:E157"/>
    <mergeCell ref="B158:E158"/>
    <mergeCell ref="B159:E159"/>
    <mergeCell ref="B160:E160"/>
    <mergeCell ref="B161:E161"/>
    <mergeCell ref="B149:E149"/>
    <mergeCell ref="B150:E150"/>
    <mergeCell ref="B151:E151"/>
    <mergeCell ref="B152:E152"/>
    <mergeCell ref="B153:E153"/>
    <mergeCell ref="B154:E154"/>
    <mergeCell ref="B155:E155"/>
    <mergeCell ref="B156:E156"/>
    <mergeCell ref="B184:E184"/>
    <mergeCell ref="B185:E185"/>
    <mergeCell ref="B186:E186"/>
    <mergeCell ref="B187:E187"/>
    <mergeCell ref="B172:E172"/>
    <mergeCell ref="B173:E173"/>
    <mergeCell ref="B174:E174"/>
    <mergeCell ref="B183:E183"/>
    <mergeCell ref="B177:E177"/>
    <mergeCell ref="B178:E178"/>
    <mergeCell ref="B179:E179"/>
    <mergeCell ref="B180:E180"/>
    <mergeCell ref="B181:E181"/>
    <mergeCell ref="B182:E182"/>
    <mergeCell ref="B175:E175"/>
    <mergeCell ref="B176:E176"/>
    <mergeCell ref="B195:E195"/>
    <mergeCell ref="B196:E196"/>
    <mergeCell ref="B197:E197"/>
    <mergeCell ref="B198:E198"/>
    <mergeCell ref="B199:E199"/>
    <mergeCell ref="B188:E188"/>
    <mergeCell ref="B189:E189"/>
    <mergeCell ref="B190:E190"/>
    <mergeCell ref="B191:E191"/>
    <mergeCell ref="B192:E192"/>
    <mergeCell ref="B213:E213"/>
    <mergeCell ref="B214:E214"/>
    <mergeCell ref="B216:E216"/>
    <mergeCell ref="B223:E223"/>
    <mergeCell ref="B204:E204"/>
    <mergeCell ref="B209:E209"/>
    <mergeCell ref="B211:E211"/>
    <mergeCell ref="B212:E212"/>
    <mergeCell ref="B200:E200"/>
    <mergeCell ref="B201:E201"/>
    <mergeCell ref="B202:E202"/>
    <mergeCell ref="B203:E203"/>
    <mergeCell ref="B243:E243"/>
    <mergeCell ref="B244:E244"/>
    <mergeCell ref="B245:E245"/>
    <mergeCell ref="B246:E246"/>
    <mergeCell ref="B255:E255"/>
    <mergeCell ref="B237:E237"/>
    <mergeCell ref="B238:E238"/>
    <mergeCell ref="B224:E224"/>
    <mergeCell ref="B228:E228"/>
    <mergeCell ref="B229:E229"/>
    <mergeCell ref="B230:E230"/>
    <mergeCell ref="B235:E235"/>
    <mergeCell ref="B236:E236"/>
    <mergeCell ref="B334:E334"/>
    <mergeCell ref="B339:E339"/>
    <mergeCell ref="B340:E340"/>
    <mergeCell ref="B317:E317"/>
    <mergeCell ref="B322:E322"/>
    <mergeCell ref="B323:E323"/>
    <mergeCell ref="B324:E324"/>
    <mergeCell ref="B325:E325"/>
    <mergeCell ref="B330:E330"/>
    <mergeCell ref="B270:E270"/>
    <mergeCell ref="B271:E271"/>
    <mergeCell ref="B310:E310"/>
    <mergeCell ref="B311:E311"/>
    <mergeCell ref="B315:E315"/>
    <mergeCell ref="B316:E316"/>
    <mergeCell ref="B331:E331"/>
    <mergeCell ref="B332:E332"/>
    <mergeCell ref="B333:E333"/>
    <mergeCell ref="B287:E287"/>
    <mergeCell ref="B288:E288"/>
    <mergeCell ref="B293:E293"/>
    <mergeCell ref="B294:E294"/>
    <mergeCell ref="B295:E295"/>
    <mergeCell ref="B386:E386"/>
    <mergeCell ref="B387:E387"/>
    <mergeCell ref="B388:E388"/>
    <mergeCell ref="B403:E403"/>
    <mergeCell ref="B596:E596"/>
    <mergeCell ref="B601:E601"/>
    <mergeCell ref="B602:E602"/>
    <mergeCell ref="B603:E603"/>
    <mergeCell ref="B604:E604"/>
    <mergeCell ref="B589:E589"/>
    <mergeCell ref="B590:E590"/>
    <mergeCell ref="B594:E594"/>
    <mergeCell ref="B572:E572"/>
    <mergeCell ref="B562:E562"/>
    <mergeCell ref="B563:E563"/>
    <mergeCell ref="B548:E548"/>
    <mergeCell ref="B553:E553"/>
    <mergeCell ref="B554:E554"/>
    <mergeCell ref="B555:E555"/>
    <mergeCell ref="B395:E395"/>
    <mergeCell ref="B396:E396"/>
    <mergeCell ref="B397:E397"/>
    <mergeCell ref="B398:E398"/>
    <mergeCell ref="B471:E471"/>
    <mergeCell ref="B341:E341"/>
    <mergeCell ref="B342:E342"/>
    <mergeCell ref="B343:E343"/>
    <mergeCell ref="B344:E344"/>
    <mergeCell ref="B349:E349"/>
    <mergeCell ref="B350:E350"/>
    <mergeCell ref="B379:E379"/>
    <mergeCell ref="B380:E380"/>
    <mergeCell ref="B381:E381"/>
    <mergeCell ref="B374:E374"/>
    <mergeCell ref="B375:E375"/>
    <mergeCell ref="B351:E351"/>
    <mergeCell ref="B356:E356"/>
    <mergeCell ref="B357:E357"/>
    <mergeCell ref="B358:E358"/>
    <mergeCell ref="B404:E404"/>
    <mergeCell ref="B405:E405"/>
    <mergeCell ref="B406:E406"/>
    <mergeCell ref="B407:E407"/>
    <mergeCell ref="B389:E389"/>
    <mergeCell ref="B394:E394"/>
    <mergeCell ref="B444:E444"/>
    <mergeCell ref="B445:E445"/>
    <mergeCell ref="B446:E446"/>
    <mergeCell ref="B435:E435"/>
    <mergeCell ref="B442:E442"/>
    <mergeCell ref="B443:E443"/>
    <mergeCell ref="B422:E422"/>
    <mergeCell ref="B423:E423"/>
    <mergeCell ref="B428:E428"/>
    <mergeCell ref="B429:E429"/>
    <mergeCell ref="B436:E436"/>
    <mergeCell ref="B437:E437"/>
    <mergeCell ref="B427:E427"/>
    <mergeCell ref="B434:E434"/>
    <mergeCell ref="B451:E451"/>
    <mergeCell ref="B452:E452"/>
    <mergeCell ref="B453:E453"/>
    <mergeCell ref="B454:E454"/>
    <mergeCell ref="B455:E455"/>
    <mergeCell ref="B501:E501"/>
    <mergeCell ref="B502:E502"/>
    <mergeCell ref="B503:E503"/>
    <mergeCell ref="B504:E504"/>
    <mergeCell ref="B485:E485"/>
    <mergeCell ref="B490:E490"/>
    <mergeCell ref="B491:E491"/>
    <mergeCell ref="B492:E492"/>
    <mergeCell ref="B493:E493"/>
    <mergeCell ref="B494:E494"/>
    <mergeCell ref="B499:E499"/>
    <mergeCell ref="B500:E500"/>
    <mergeCell ref="B476:E476"/>
    <mergeCell ref="B477:E477"/>
    <mergeCell ref="B475:E475"/>
    <mergeCell ref="B482:E482"/>
    <mergeCell ref="B483:E483"/>
    <mergeCell ref="B484:E484"/>
    <mergeCell ref="B470:E470"/>
    <mergeCell ref="B547:E547"/>
    <mergeCell ref="B556:E556"/>
    <mergeCell ref="B509:E509"/>
    <mergeCell ref="B510:E510"/>
    <mergeCell ref="B511:E511"/>
    <mergeCell ref="B516:E516"/>
    <mergeCell ref="B517:E517"/>
    <mergeCell ref="B518:E518"/>
    <mergeCell ref="B533:E533"/>
    <mergeCell ref="B534:E534"/>
    <mergeCell ref="B538:E538"/>
    <mergeCell ref="B539:E539"/>
    <mergeCell ref="B540:E540"/>
    <mergeCell ref="B545:E545"/>
    <mergeCell ref="B546:E546"/>
    <mergeCell ref="B636:E636"/>
    <mergeCell ref="B637:E637"/>
    <mergeCell ref="B635:E635"/>
    <mergeCell ref="B557:E557"/>
    <mergeCell ref="B564:E564"/>
    <mergeCell ref="B565:E565"/>
    <mergeCell ref="B566:E566"/>
    <mergeCell ref="B567:E567"/>
    <mergeCell ref="B573:E573"/>
    <mergeCell ref="B629:E629"/>
    <mergeCell ref="B630:E630"/>
    <mergeCell ref="B619:E619"/>
    <mergeCell ref="B620:E620"/>
    <mergeCell ref="B621:E621"/>
    <mergeCell ref="B622:E622"/>
    <mergeCell ref="B623:E623"/>
    <mergeCell ref="B628:E628"/>
    <mergeCell ref="B609:E609"/>
    <mergeCell ref="B610:E610"/>
    <mergeCell ref="B611:E611"/>
    <mergeCell ref="B612:E612"/>
    <mergeCell ref="B613:E613"/>
    <mergeCell ref="B618:E618"/>
    <mergeCell ref="B595:E595"/>
    <mergeCell ref="B40:E40"/>
    <mergeCell ref="B41:E41"/>
    <mergeCell ref="B42:E42"/>
    <mergeCell ref="B43:E43"/>
    <mergeCell ref="B44:E44"/>
    <mergeCell ref="B45:E45"/>
    <mergeCell ref="B46:E46"/>
    <mergeCell ref="B47:E47"/>
    <mergeCell ref="B48:E48"/>
    <mergeCell ref="B256:E256"/>
    <mergeCell ref="B257:E257"/>
    <mergeCell ref="B262:E262"/>
    <mergeCell ref="B263:E263"/>
    <mergeCell ref="B264:E264"/>
    <mergeCell ref="B269:E269"/>
    <mergeCell ref="B247:E247"/>
    <mergeCell ref="B252:E252"/>
    <mergeCell ref="B253:E253"/>
    <mergeCell ref="B254:E254"/>
  </mergeCells>
  <conditionalFormatting sqref="L15:N15 L17:N17 L38:L39 M39 L56:L57 M57 L127:L129 M128:M129 N129 L145:L147 M146:M147 N147 B212:G212 B264:I264 B267:F267 B269:I272 B280:C280 B351:I351 B354:F354 B356:I359 B367:C367">
    <cfRule type="expression" dxfId="22" priority="5">
      <formula>$B$7="elektriciteit"</formula>
    </cfRule>
  </conditionalFormatting>
  <conditionalFormatting sqref="B16:N16 P16 P18 B18:N18 B21:N21 P21 B40:N48 P40:P48 B58:N66 P58:P66 B85:N93 P85:P93 B130:N138 P130:P138 B148:N156 P148:P156 B175:N183 P175:P183 B283:C283 B285:F285 B287:I289 B291:F291 B293:I296 B298:F298 B300:C303 B370:D370 B372:F372 B374:K375 B377:F377 B379:M382 B386:M390 B384:F384 B392:F392 B394:I399 B401:F401 B403:I408 B410:F410 B412:C415 B529:E529 B531:F531 B533:K534 B536:F536 B538:M541 B545:M549 B543:F543 B551:F551 B553:I558 B560:F560 B562:I568 B570:F570 B572:I574 B577:F577 B579:C582">
    <cfRule type="expression" dxfId="21" priority="4">
      <formula>$B$7="gas"</formula>
    </cfRule>
  </conditionalFormatting>
  <conditionalFormatting sqref="B297:F297">
    <cfRule type="expression" dxfId="20" priority="3">
      <formula>$B$7="gas"</formula>
    </cfRule>
  </conditionalFormatting>
  <conditionalFormatting sqref="B409:F409">
    <cfRule type="expression" dxfId="19" priority="2">
      <formula>$B$7="gas"</formula>
    </cfRule>
  </conditionalFormatting>
  <conditionalFormatting sqref="B576:F576">
    <cfRule type="expression" dxfId="18"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15"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8">
    <pageSetUpPr fitToPage="1"/>
  </sheetPr>
  <dimension ref="A1:AG112"/>
  <sheetViews>
    <sheetView zoomScale="80" zoomScaleNormal="80" zoomScaleSheetLayoutView="80" workbookViewId="0">
      <selection activeCell="B110" sqref="B110"/>
    </sheetView>
  </sheetViews>
  <sheetFormatPr defaultColWidth="11.42578125" defaultRowHeight="12.75" x14ac:dyDescent="0.2"/>
  <cols>
    <col min="1" max="1" width="25.42578125" style="177" customWidth="1"/>
    <col min="2" max="2" width="14.28515625" style="177" customWidth="1"/>
    <col min="3" max="12" width="20.7109375" style="177" customWidth="1"/>
    <col min="13" max="13" width="5.140625" style="177" customWidth="1"/>
    <col min="14" max="14" width="20.7109375" style="177" customWidth="1"/>
    <col min="15" max="15" width="28.7109375" style="177" bestFit="1" customWidth="1"/>
    <col min="16" max="16" width="14" style="177" customWidth="1"/>
    <col min="17" max="17" width="29.140625" style="177" customWidth="1"/>
    <col min="18" max="18" width="12.28515625" style="177" bestFit="1" customWidth="1"/>
    <col min="19" max="16384" width="11.42578125" style="177"/>
  </cols>
  <sheetData>
    <row r="1" spans="1:31" ht="21.75" customHeight="1" thickBot="1" x14ac:dyDescent="0.25">
      <c r="A1" s="1151" t="s">
        <v>111</v>
      </c>
      <c r="B1" s="1152"/>
      <c r="C1" s="1152"/>
      <c r="D1" s="1152"/>
      <c r="E1" s="1152"/>
      <c r="F1" s="1152"/>
      <c r="G1" s="1152"/>
      <c r="H1" s="1152"/>
      <c r="I1" s="1152"/>
      <c r="J1" s="1152"/>
      <c r="K1" s="1152"/>
      <c r="L1" s="1153"/>
      <c r="M1" s="212"/>
      <c r="N1" s="166"/>
      <c r="O1" s="221"/>
    </row>
    <row r="2" spans="1:31" x14ac:dyDescent="0.2">
      <c r="A2" s="225"/>
      <c r="B2" s="225"/>
      <c r="C2" s="225"/>
      <c r="D2" s="225"/>
      <c r="E2" s="225"/>
      <c r="F2" s="225"/>
      <c r="G2" s="225"/>
      <c r="H2" s="225"/>
      <c r="I2" s="225"/>
      <c r="J2" s="225"/>
      <c r="K2" s="225"/>
      <c r="L2" s="225"/>
      <c r="M2" s="212"/>
      <c r="N2" s="166"/>
      <c r="O2" s="225"/>
    </row>
    <row r="3" spans="1:31" ht="13.5" thickBot="1" x14ac:dyDescent="0.25">
      <c r="A3" s="225"/>
      <c r="B3" s="225"/>
      <c r="C3" s="225"/>
      <c r="D3" s="225"/>
      <c r="E3" s="225"/>
      <c r="F3" s="225"/>
      <c r="G3" s="225"/>
      <c r="H3" s="225"/>
      <c r="I3" s="225"/>
      <c r="J3" s="225"/>
      <c r="K3" s="225"/>
      <c r="L3" s="225"/>
      <c r="M3" s="212"/>
      <c r="N3" s="166"/>
      <c r="O3" s="225"/>
    </row>
    <row r="4" spans="1:31" s="178" customFormat="1" ht="20.100000000000001" customHeight="1" thickBot="1" x14ac:dyDescent="0.25">
      <c r="A4" s="1077" t="s">
        <v>315</v>
      </c>
      <c r="B4" s="1078"/>
      <c r="C4" s="1078"/>
      <c r="D4" s="1078"/>
      <c r="E4" s="1078"/>
      <c r="F4" s="1078"/>
      <c r="G4" s="1078"/>
      <c r="H4" s="1078"/>
      <c r="I4" s="1078"/>
      <c r="J4" s="1078"/>
      <c r="K4" s="1078"/>
      <c r="L4" s="1078"/>
      <c r="M4" s="1078"/>
      <c r="N4" s="1079"/>
      <c r="O4" s="177"/>
      <c r="P4" s="177"/>
      <c r="Q4" s="177"/>
      <c r="R4" s="177"/>
      <c r="S4" s="177"/>
      <c r="T4" s="177"/>
      <c r="U4" s="177"/>
      <c r="V4" s="177"/>
      <c r="W4" s="177"/>
      <c r="X4" s="177"/>
      <c r="Y4" s="177"/>
      <c r="Z4" s="177"/>
      <c r="AA4" s="177"/>
      <c r="AB4" s="177"/>
      <c r="AC4" s="177"/>
      <c r="AD4" s="177"/>
      <c r="AE4" s="177"/>
    </row>
    <row r="5" spans="1:31" ht="13.5" thickBot="1" x14ac:dyDescent="0.25"/>
    <row r="6" spans="1:31" s="178" customFormat="1" ht="17.25" thickBot="1" x14ac:dyDescent="0.25">
      <c r="A6" s="177"/>
      <c r="B6" s="177"/>
      <c r="C6" s="1080" t="s">
        <v>31</v>
      </c>
      <c r="D6" s="1081"/>
      <c r="E6" s="1081"/>
      <c r="F6" s="1081"/>
      <c r="G6" s="1081"/>
      <c r="H6" s="1081"/>
      <c r="I6" s="1081"/>
      <c r="J6" s="1082"/>
      <c r="K6" s="177"/>
      <c r="L6" s="177"/>
      <c r="M6" s="177"/>
      <c r="N6" s="177"/>
      <c r="O6" s="177"/>
      <c r="P6" s="177"/>
      <c r="Q6" s="177"/>
      <c r="R6" s="177"/>
      <c r="S6" s="177"/>
      <c r="T6" s="177"/>
      <c r="U6" s="177"/>
      <c r="V6" s="177"/>
      <c r="W6" s="177"/>
      <c r="X6" s="177"/>
      <c r="Y6" s="177"/>
      <c r="Z6" s="177"/>
      <c r="AA6" s="177"/>
      <c r="AB6" s="177"/>
      <c r="AC6" s="177"/>
      <c r="AD6" s="177"/>
      <c r="AE6" s="177"/>
    </row>
    <row r="7" spans="1:31" s="178" customFormat="1" ht="13.5" thickBot="1" x14ac:dyDescent="0.25">
      <c r="A7" s="177"/>
      <c r="B7" s="177"/>
      <c r="C7" s="329">
        <v>2017</v>
      </c>
      <c r="D7" s="330">
        <f>+C7+1</f>
        <v>2018</v>
      </c>
      <c r="E7" s="330">
        <f>+D7+1</f>
        <v>2019</v>
      </c>
      <c r="F7" s="330">
        <f t="shared" ref="F7:J7" si="0">+E7+1</f>
        <v>2020</v>
      </c>
      <c r="G7" s="330">
        <f t="shared" si="0"/>
        <v>2021</v>
      </c>
      <c r="H7" s="330">
        <f t="shared" si="0"/>
        <v>2022</v>
      </c>
      <c r="I7" s="330">
        <f t="shared" si="0"/>
        <v>2023</v>
      </c>
      <c r="J7" s="330">
        <f t="shared" si="0"/>
        <v>2024</v>
      </c>
      <c r="K7" s="177"/>
      <c r="L7" s="177"/>
      <c r="M7" s="177"/>
      <c r="N7" s="177"/>
      <c r="O7" s="177"/>
      <c r="P7" s="177"/>
      <c r="Q7" s="177"/>
      <c r="R7" s="177"/>
      <c r="S7" s="177"/>
      <c r="T7" s="177"/>
      <c r="U7" s="177"/>
      <c r="V7" s="177"/>
      <c r="W7" s="177"/>
      <c r="X7" s="177"/>
      <c r="Y7" s="177"/>
      <c r="Z7" s="177"/>
      <c r="AA7" s="177"/>
      <c r="AB7" s="177"/>
      <c r="AC7" s="177"/>
      <c r="AD7" s="177"/>
      <c r="AE7" s="177"/>
    </row>
    <row r="8" spans="1:31" s="178" customFormat="1" x14ac:dyDescent="0.2">
      <c r="A8" s="177"/>
      <c r="B8" s="177"/>
      <c r="C8" s="800">
        <v>0</v>
      </c>
      <c r="D8" s="800">
        <v>0</v>
      </c>
      <c r="E8" s="800">
        <v>0</v>
      </c>
      <c r="F8" s="800">
        <v>0</v>
      </c>
      <c r="G8" s="800">
        <v>0</v>
      </c>
      <c r="H8" s="800">
        <v>0</v>
      </c>
      <c r="I8" s="800">
        <v>0</v>
      </c>
      <c r="J8" s="800">
        <v>0</v>
      </c>
      <c r="K8" s="177"/>
      <c r="L8" s="177"/>
      <c r="M8" s="177"/>
      <c r="N8" s="177"/>
      <c r="O8" s="177"/>
      <c r="P8" s="177"/>
      <c r="Q8" s="177"/>
      <c r="R8" s="177"/>
      <c r="S8" s="177"/>
      <c r="T8" s="177"/>
      <c r="U8" s="177"/>
      <c r="V8" s="177"/>
      <c r="W8" s="177"/>
      <c r="X8" s="177"/>
      <c r="Y8" s="177"/>
      <c r="Z8" s="177"/>
      <c r="AA8" s="177"/>
      <c r="AB8" s="177"/>
      <c r="AC8" s="177"/>
      <c r="AD8" s="177"/>
      <c r="AE8" s="177"/>
    </row>
    <row r="9" spans="1:31" x14ac:dyDescent="0.2">
      <c r="C9" s="233" t="s">
        <v>128</v>
      </c>
      <c r="J9" s="234"/>
    </row>
    <row r="10" spans="1:31" x14ac:dyDescent="0.2">
      <c r="C10" s="233" t="s">
        <v>69</v>
      </c>
      <c r="I10" s="769" t="str">
        <f>+'T9 - Overzicht'!C19&amp;":"</f>
        <v>2022:</v>
      </c>
      <c r="J10" s="770">
        <f>+IF('T9 - Overzicht'!C6="ex-ante",0,IF('T9 - Overzicht'!C6="ex-post",'T9 - Overzicht'!C26,"FOUT"))</f>
        <v>0</v>
      </c>
    </row>
    <row r="11" spans="1:31" x14ac:dyDescent="0.2">
      <c r="C11" s="236"/>
    </row>
    <row r="12" spans="1:31" ht="13.5" thickBot="1" x14ac:dyDescent="0.25">
      <c r="C12" s="236"/>
    </row>
    <row r="13" spans="1:31" ht="20.25" customHeight="1" thickBot="1" x14ac:dyDescent="0.25">
      <c r="A13" s="1077" t="s">
        <v>18</v>
      </c>
      <c r="B13" s="1078"/>
      <c r="C13" s="1078"/>
      <c r="D13" s="1078"/>
      <c r="E13" s="1078"/>
      <c r="F13" s="1078"/>
      <c r="G13" s="1078"/>
      <c r="H13" s="1078"/>
      <c r="I13" s="1078"/>
      <c r="J13" s="1078"/>
      <c r="K13" s="1078"/>
      <c r="L13" s="1078"/>
      <c r="M13" s="1078"/>
      <c r="N13" s="1079"/>
    </row>
    <row r="15" spans="1:31" x14ac:dyDescent="0.2">
      <c r="C15" s="233" t="s">
        <v>68</v>
      </c>
    </row>
    <row r="16" spans="1:31" x14ac:dyDescent="0.2">
      <c r="C16" s="233" t="s">
        <v>69</v>
      </c>
    </row>
    <row r="17" spans="1:31" ht="16.5" x14ac:dyDescent="0.2">
      <c r="C17" s="1094" t="s">
        <v>19</v>
      </c>
      <c r="D17" s="1095"/>
      <c r="E17" s="1095"/>
      <c r="F17" s="1095"/>
      <c r="G17" s="1095"/>
      <c r="H17" s="1095"/>
      <c r="I17" s="1095"/>
      <c r="J17" s="1096"/>
      <c r="L17" s="237" t="s">
        <v>20</v>
      </c>
    </row>
    <row r="18" spans="1:31" ht="13.5" thickBot="1" x14ac:dyDescent="0.25">
      <c r="A18" s="1097"/>
      <c r="B18" s="1097"/>
      <c r="C18" s="238">
        <f>C7</f>
        <v>2017</v>
      </c>
      <c r="D18" s="239">
        <f>D7</f>
        <v>2018</v>
      </c>
      <c r="E18" s="239">
        <f>E7</f>
        <v>2019</v>
      </c>
      <c r="F18" s="239">
        <f t="shared" ref="F18:I18" si="1">F7</f>
        <v>2020</v>
      </c>
      <c r="G18" s="239">
        <f t="shared" si="1"/>
        <v>2021</v>
      </c>
      <c r="H18" s="239">
        <f t="shared" si="1"/>
        <v>2022</v>
      </c>
      <c r="I18" s="239">
        <f t="shared" si="1"/>
        <v>2023</v>
      </c>
      <c r="J18" s="239">
        <f>J7</f>
        <v>2024</v>
      </c>
      <c r="L18" s="240"/>
    </row>
    <row r="19" spans="1:31" s="178" customFormat="1" ht="13.5" thickBot="1" x14ac:dyDescent="0.25">
      <c r="A19" s="1088" t="s">
        <v>21</v>
      </c>
      <c r="B19" s="241">
        <f>C7</f>
        <v>2017</v>
      </c>
      <c r="C19" s="845">
        <v>0</v>
      </c>
      <c r="D19" s="242"/>
      <c r="E19" s="242"/>
      <c r="F19" s="242"/>
      <c r="G19" s="242"/>
      <c r="H19" s="242"/>
      <c r="I19" s="242"/>
      <c r="J19" s="243"/>
      <c r="K19" s="244"/>
      <c r="L19" s="245">
        <f>SUM(C19:J19)</f>
        <v>0</v>
      </c>
      <c r="M19" s="177"/>
      <c r="N19" s="177"/>
      <c r="O19" s="177"/>
      <c r="P19" s="177"/>
      <c r="Q19" s="177"/>
      <c r="R19" s="177"/>
      <c r="S19" s="177"/>
      <c r="T19" s="177"/>
      <c r="U19" s="177"/>
      <c r="V19" s="177"/>
      <c r="W19" s="177"/>
      <c r="X19" s="177"/>
      <c r="Y19" s="177"/>
      <c r="Z19" s="177"/>
      <c r="AA19" s="177"/>
      <c r="AB19" s="177"/>
      <c r="AC19" s="177"/>
      <c r="AD19" s="177"/>
      <c r="AE19" s="177"/>
    </row>
    <row r="20" spans="1:31" s="178" customFormat="1" ht="13.5" thickBot="1" x14ac:dyDescent="0.25">
      <c r="A20" s="1135"/>
      <c r="B20" s="246">
        <f>D7</f>
        <v>2018</v>
      </c>
      <c r="C20" s="331">
        <f>+C$8-C19</f>
        <v>0</v>
      </c>
      <c r="D20" s="802">
        <v>0</v>
      </c>
      <c r="E20" s="248"/>
      <c r="F20" s="251"/>
      <c r="G20" s="251"/>
      <c r="H20" s="251"/>
      <c r="I20" s="251"/>
      <c r="J20" s="249"/>
      <c r="K20" s="244"/>
      <c r="L20" s="245">
        <f t="shared" ref="L20:L26" si="2">SUM(C20:J20)</f>
        <v>0</v>
      </c>
      <c r="M20" s="177"/>
      <c r="N20" s="177"/>
      <c r="O20" s="177"/>
      <c r="P20" s="177"/>
      <c r="Q20" s="177"/>
      <c r="R20" s="177"/>
      <c r="S20" s="177"/>
      <c r="T20" s="177"/>
      <c r="U20" s="177"/>
      <c r="V20" s="177"/>
      <c r="W20" s="177"/>
      <c r="X20" s="177"/>
      <c r="Y20" s="177"/>
      <c r="Z20" s="177"/>
      <c r="AA20" s="177"/>
      <c r="AB20" s="177"/>
      <c r="AC20" s="177"/>
      <c r="AD20" s="177"/>
      <c r="AE20" s="177"/>
    </row>
    <row r="21" spans="1:31" s="178" customFormat="1" ht="13.5" thickBot="1" x14ac:dyDescent="0.25">
      <c r="A21" s="1135"/>
      <c r="B21" s="246">
        <f>E7</f>
        <v>2019</v>
      </c>
      <c r="C21" s="250"/>
      <c r="D21" s="331">
        <f>+D$8-D20</f>
        <v>0</v>
      </c>
      <c r="E21" s="845">
        <v>0</v>
      </c>
      <c r="F21" s="251"/>
      <c r="G21" s="251"/>
      <c r="H21" s="251"/>
      <c r="I21" s="251"/>
      <c r="J21" s="249"/>
      <c r="K21" s="244"/>
      <c r="L21" s="245">
        <f t="shared" si="2"/>
        <v>0</v>
      </c>
      <c r="M21" s="177"/>
      <c r="N21" s="177"/>
      <c r="O21" s="177"/>
      <c r="P21" s="177"/>
      <c r="Q21" s="177"/>
      <c r="R21" s="177"/>
      <c r="S21" s="177"/>
      <c r="T21" s="177"/>
      <c r="U21" s="177"/>
      <c r="V21" s="177"/>
      <c r="W21" s="177"/>
      <c r="X21" s="177"/>
      <c r="Y21" s="177"/>
      <c r="Z21" s="177"/>
      <c r="AA21" s="177"/>
      <c r="AB21" s="177"/>
      <c r="AC21" s="177"/>
      <c r="AD21" s="177"/>
      <c r="AE21" s="177"/>
    </row>
    <row r="22" spans="1:31" s="178" customFormat="1" ht="13.5" thickBot="1" x14ac:dyDescent="0.25">
      <c r="A22" s="1135"/>
      <c r="B22" s="246">
        <f>+F7</f>
        <v>2020</v>
      </c>
      <c r="C22" s="250"/>
      <c r="D22" s="251"/>
      <c r="E22" s="331">
        <f>+E$8-E21</f>
        <v>0</v>
      </c>
      <c r="F22" s="845">
        <v>0</v>
      </c>
      <c r="G22" s="251"/>
      <c r="H22" s="251"/>
      <c r="I22" s="251"/>
      <c r="J22" s="249"/>
      <c r="K22" s="244"/>
      <c r="L22" s="245">
        <f t="shared" si="2"/>
        <v>0</v>
      </c>
      <c r="M22" s="177"/>
      <c r="N22" s="177"/>
      <c r="O22" s="177"/>
      <c r="P22" s="177"/>
      <c r="Q22" s="177"/>
      <c r="R22" s="177"/>
      <c r="S22" s="177"/>
      <c r="T22" s="177"/>
      <c r="U22" s="177"/>
      <c r="V22" s="177"/>
      <c r="W22" s="177"/>
      <c r="X22" s="177"/>
      <c r="Y22" s="177"/>
      <c r="Z22" s="177"/>
      <c r="AA22" s="177"/>
      <c r="AB22" s="177"/>
      <c r="AC22" s="177"/>
      <c r="AD22" s="177"/>
      <c r="AE22" s="177"/>
    </row>
    <row r="23" spans="1:31" s="178" customFormat="1" ht="13.5" thickBot="1" x14ac:dyDescent="0.25">
      <c r="A23" s="1135"/>
      <c r="B23" s="246">
        <f>+G7</f>
        <v>2021</v>
      </c>
      <c r="C23" s="250"/>
      <c r="D23" s="251"/>
      <c r="E23" s="251"/>
      <c r="F23" s="331">
        <f>+F$8-F22</f>
        <v>0</v>
      </c>
      <c r="G23" s="845">
        <v>0</v>
      </c>
      <c r="H23" s="251"/>
      <c r="I23" s="251"/>
      <c r="J23" s="249"/>
      <c r="K23" s="244"/>
      <c r="L23" s="245">
        <f t="shared" si="2"/>
        <v>0</v>
      </c>
      <c r="M23" s="177"/>
      <c r="N23" s="177"/>
      <c r="O23" s="177"/>
      <c r="P23" s="177"/>
      <c r="Q23" s="177"/>
      <c r="R23" s="177"/>
      <c r="S23" s="177"/>
      <c r="T23" s="177"/>
      <c r="U23" s="177"/>
      <c r="V23" s="177"/>
      <c r="W23" s="177"/>
      <c r="X23" s="177"/>
      <c r="Y23" s="177"/>
      <c r="Z23" s="177"/>
      <c r="AA23" s="177"/>
      <c r="AB23" s="177"/>
      <c r="AC23" s="177"/>
      <c r="AD23" s="177"/>
      <c r="AE23" s="177"/>
    </row>
    <row r="24" spans="1:31" s="178" customFormat="1" ht="13.5" thickBot="1" x14ac:dyDescent="0.25">
      <c r="A24" s="1135"/>
      <c r="B24" s="246">
        <f>+H7</f>
        <v>2022</v>
      </c>
      <c r="C24" s="250"/>
      <c r="D24" s="251"/>
      <c r="E24" s="251"/>
      <c r="F24" s="251"/>
      <c r="G24" s="331">
        <f>+G$8-G23</f>
        <v>0</v>
      </c>
      <c r="H24" s="845">
        <v>0</v>
      </c>
      <c r="I24" s="251"/>
      <c r="J24" s="249"/>
      <c r="K24" s="244"/>
      <c r="L24" s="245">
        <f t="shared" si="2"/>
        <v>0</v>
      </c>
      <c r="M24" s="177"/>
      <c r="N24" s="177"/>
      <c r="O24" s="177"/>
      <c r="P24" s="177"/>
      <c r="Q24" s="177"/>
      <c r="R24" s="177"/>
      <c r="S24" s="177"/>
      <c r="T24" s="177"/>
      <c r="U24" s="177"/>
      <c r="V24" s="177"/>
      <c r="W24" s="177"/>
      <c r="X24" s="177"/>
      <c r="Y24" s="177"/>
      <c r="Z24" s="177"/>
      <c r="AA24" s="177"/>
      <c r="AB24" s="177"/>
      <c r="AC24" s="177"/>
      <c r="AD24" s="177"/>
      <c r="AE24" s="177"/>
    </row>
    <row r="25" spans="1:31" s="178" customFormat="1" ht="13.5" thickBot="1" x14ac:dyDescent="0.25">
      <c r="A25" s="1135"/>
      <c r="B25" s="246">
        <f>+I7</f>
        <v>2023</v>
      </c>
      <c r="C25" s="250"/>
      <c r="D25" s="251"/>
      <c r="E25" s="251"/>
      <c r="F25" s="251"/>
      <c r="G25" s="251"/>
      <c r="H25" s="331">
        <f>+H$8-H24</f>
        <v>0</v>
      </c>
      <c r="I25" s="845">
        <v>0</v>
      </c>
      <c r="J25" s="249"/>
      <c r="K25" s="244"/>
      <c r="L25" s="245">
        <f t="shared" si="2"/>
        <v>0</v>
      </c>
      <c r="M25" s="177"/>
      <c r="N25" s="177"/>
      <c r="O25" s="177"/>
      <c r="P25" s="177"/>
      <c r="Q25" s="177"/>
      <c r="R25" s="177"/>
      <c r="S25" s="177"/>
      <c r="T25" s="177"/>
      <c r="U25" s="177"/>
      <c r="V25" s="177"/>
      <c r="W25" s="177"/>
      <c r="X25" s="177"/>
      <c r="Y25" s="177"/>
      <c r="Z25" s="177"/>
      <c r="AA25" s="177"/>
      <c r="AB25" s="177"/>
      <c r="AC25" s="177"/>
      <c r="AD25" s="177"/>
      <c r="AE25" s="177"/>
    </row>
    <row r="26" spans="1:31" s="178" customFormat="1" ht="13.5" thickBot="1" x14ac:dyDescent="0.25">
      <c r="A26" s="1135"/>
      <c r="B26" s="246">
        <f>J7</f>
        <v>2024</v>
      </c>
      <c r="C26" s="250"/>
      <c r="D26" s="248"/>
      <c r="E26" s="251"/>
      <c r="F26" s="251"/>
      <c r="G26" s="251"/>
      <c r="H26" s="251"/>
      <c r="I26" s="331">
        <f>+I$8-I25</f>
        <v>0</v>
      </c>
      <c r="J26" s="846">
        <v>0</v>
      </c>
      <c r="K26" s="244"/>
      <c r="L26" s="245">
        <f t="shared" si="2"/>
        <v>0</v>
      </c>
      <c r="M26" s="177"/>
      <c r="N26" s="177"/>
      <c r="O26" s="177"/>
      <c r="P26" s="177"/>
      <c r="Q26" s="177"/>
      <c r="R26" s="177"/>
      <c r="S26" s="177"/>
      <c r="T26" s="177"/>
      <c r="U26" s="177"/>
      <c r="V26" s="177"/>
      <c r="W26" s="177"/>
      <c r="X26" s="177"/>
      <c r="Y26" s="177"/>
      <c r="Z26" s="177"/>
      <c r="AA26" s="177"/>
      <c r="AB26" s="177"/>
      <c r="AC26" s="177"/>
      <c r="AD26" s="177"/>
      <c r="AE26" s="177"/>
    </row>
    <row r="27" spans="1:31" s="256" customFormat="1" ht="15.75" x14ac:dyDescent="0.2">
      <c r="A27" s="1136"/>
      <c r="B27" s="326" t="s">
        <v>22</v>
      </c>
      <c r="C27" s="252">
        <f>SUM(C19:C26)</f>
        <v>0</v>
      </c>
      <c r="D27" s="252">
        <f t="shared" ref="D27:J27" si="3">SUM(D19:D26)</f>
        <v>0</v>
      </c>
      <c r="E27" s="252">
        <f t="shared" si="3"/>
        <v>0</v>
      </c>
      <c r="F27" s="252">
        <f t="shared" si="3"/>
        <v>0</v>
      </c>
      <c r="G27" s="252">
        <f t="shared" si="3"/>
        <v>0</v>
      </c>
      <c r="H27" s="252">
        <f t="shared" si="3"/>
        <v>0</v>
      </c>
      <c r="I27" s="252">
        <f t="shared" si="3"/>
        <v>0</v>
      </c>
      <c r="J27" s="325">
        <f t="shared" si="3"/>
        <v>0</v>
      </c>
      <c r="K27" s="253"/>
      <c r="L27" s="254">
        <f>SUM(L19:L26)</f>
        <v>0</v>
      </c>
      <c r="M27" s="255"/>
      <c r="N27" s="255"/>
      <c r="O27" s="255"/>
      <c r="P27" s="255"/>
      <c r="Q27" s="255"/>
      <c r="R27" s="255"/>
      <c r="S27" s="255"/>
      <c r="T27" s="255"/>
      <c r="U27" s="255"/>
      <c r="V27" s="255"/>
      <c r="W27" s="255"/>
      <c r="X27" s="255"/>
      <c r="Y27" s="255"/>
      <c r="Z27" s="255"/>
      <c r="AA27" s="255"/>
      <c r="AB27" s="255"/>
      <c r="AC27" s="255"/>
      <c r="AD27" s="255"/>
      <c r="AE27" s="255"/>
    </row>
    <row r="28" spans="1:31" s="235" customFormat="1" x14ac:dyDescent="0.2">
      <c r="A28" s="257" t="s">
        <v>34</v>
      </c>
      <c r="C28" s="258">
        <f>+C27+C42</f>
        <v>0</v>
      </c>
      <c r="D28" s="258">
        <f t="shared" ref="D28:J28" si="4">+D27+D42</f>
        <v>0</v>
      </c>
      <c r="E28" s="258">
        <f t="shared" si="4"/>
        <v>0</v>
      </c>
      <c r="F28" s="258">
        <f t="shared" si="4"/>
        <v>0</v>
      </c>
      <c r="G28" s="258">
        <f t="shared" si="4"/>
        <v>0</v>
      </c>
      <c r="H28" s="258">
        <f t="shared" si="4"/>
        <v>0</v>
      </c>
      <c r="I28" s="258">
        <f t="shared" si="4"/>
        <v>0</v>
      </c>
      <c r="J28" s="258">
        <f t="shared" si="4"/>
        <v>0</v>
      </c>
      <c r="K28" s="258"/>
      <c r="L28" s="258">
        <f>+L27+L42</f>
        <v>0</v>
      </c>
      <c r="M28" s="258"/>
    </row>
    <row r="29" spans="1:31" s="259" customFormat="1" x14ac:dyDescent="0.2">
      <c r="A29" s="235"/>
      <c r="B29" s="235"/>
      <c r="C29" s="258"/>
      <c r="D29" s="258"/>
      <c r="E29" s="258"/>
      <c r="F29" s="258"/>
      <c r="G29" s="258"/>
      <c r="H29" s="258"/>
      <c r="I29" s="258"/>
      <c r="J29" s="258"/>
      <c r="K29" s="235"/>
      <c r="L29" s="235"/>
      <c r="M29" s="235"/>
      <c r="N29" s="235"/>
      <c r="O29" s="235"/>
      <c r="P29" s="235"/>
      <c r="Q29" s="235"/>
      <c r="R29" s="235"/>
      <c r="S29" s="235"/>
      <c r="T29" s="235"/>
      <c r="U29" s="235"/>
      <c r="V29" s="235"/>
      <c r="W29" s="235"/>
      <c r="X29" s="235"/>
      <c r="Y29" s="235"/>
      <c r="Z29" s="235"/>
      <c r="AA29" s="235"/>
      <c r="AB29" s="235"/>
      <c r="AC29" s="235"/>
      <c r="AD29" s="235"/>
      <c r="AE29" s="235"/>
    </row>
    <row r="30" spans="1:31" s="235" customFormat="1" x14ac:dyDescent="0.2">
      <c r="C30" s="233" t="s">
        <v>129</v>
      </c>
      <c r="D30" s="258"/>
      <c r="E30" s="258"/>
      <c r="F30" s="258"/>
      <c r="G30" s="258"/>
      <c r="H30" s="258"/>
      <c r="I30" s="258"/>
      <c r="J30" s="258"/>
      <c r="K30" s="258"/>
      <c r="L30" s="258"/>
    </row>
    <row r="31" spans="1:31" x14ac:dyDescent="0.2">
      <c r="C31" s="233" t="s">
        <v>130</v>
      </c>
    </row>
    <row r="32" spans="1:31" s="178" customFormat="1" ht="16.5" x14ac:dyDescent="0.2">
      <c r="A32" s="177"/>
      <c r="B32" s="177"/>
      <c r="C32" s="1085" t="s">
        <v>19</v>
      </c>
      <c r="D32" s="1086"/>
      <c r="E32" s="1086"/>
      <c r="F32" s="1086"/>
      <c r="G32" s="1086"/>
      <c r="H32" s="1086"/>
      <c r="I32" s="1086"/>
      <c r="J32" s="1087"/>
      <c r="K32" s="177"/>
      <c r="L32" s="237" t="s">
        <v>20</v>
      </c>
      <c r="M32" s="177"/>
      <c r="N32" s="237" t="s">
        <v>20</v>
      </c>
      <c r="O32" s="177"/>
      <c r="P32" s="177"/>
      <c r="Q32" s="177"/>
      <c r="R32" s="177"/>
      <c r="S32" s="177"/>
      <c r="T32" s="177"/>
      <c r="U32" s="177"/>
      <c r="V32" s="177"/>
      <c r="W32" s="177"/>
      <c r="X32" s="177"/>
      <c r="Y32" s="177"/>
      <c r="Z32" s="177"/>
      <c r="AA32" s="177"/>
      <c r="AB32" s="177"/>
      <c r="AC32" s="177"/>
      <c r="AD32" s="177"/>
      <c r="AE32" s="177"/>
    </row>
    <row r="33" spans="1:31" s="178" customFormat="1" x14ac:dyDescent="0.2">
      <c r="A33" s="177"/>
      <c r="B33" s="177"/>
      <c r="C33" s="239">
        <f>+C18</f>
        <v>2017</v>
      </c>
      <c r="D33" s="239">
        <f>+D18</f>
        <v>2018</v>
      </c>
      <c r="E33" s="239">
        <f>+E18</f>
        <v>2019</v>
      </c>
      <c r="F33" s="239">
        <f t="shared" ref="F33:I33" si="5">+F18</f>
        <v>2020</v>
      </c>
      <c r="G33" s="239">
        <f t="shared" si="5"/>
        <v>2021</v>
      </c>
      <c r="H33" s="239">
        <f t="shared" si="5"/>
        <v>2022</v>
      </c>
      <c r="I33" s="239">
        <f t="shared" si="5"/>
        <v>2023</v>
      </c>
      <c r="J33" s="239">
        <f>+J18</f>
        <v>2024</v>
      </c>
      <c r="K33" s="177"/>
      <c r="L33" s="240" t="s">
        <v>23</v>
      </c>
      <c r="M33" s="177"/>
      <c r="N33" s="240" t="s">
        <v>24</v>
      </c>
      <c r="O33" s="177"/>
      <c r="P33" s="177"/>
      <c r="Q33" s="177"/>
      <c r="R33" s="177"/>
      <c r="S33" s="177"/>
      <c r="T33" s="177"/>
      <c r="U33" s="177"/>
      <c r="V33" s="177"/>
      <c r="W33" s="177"/>
      <c r="X33" s="177"/>
      <c r="Y33" s="177"/>
      <c r="Z33" s="177"/>
      <c r="AA33" s="177"/>
      <c r="AB33" s="177"/>
      <c r="AC33" s="177"/>
      <c r="AD33" s="177"/>
      <c r="AE33" s="177"/>
    </row>
    <row r="34" spans="1:31" s="178" customFormat="1" ht="12.75" customHeight="1" x14ac:dyDescent="0.2">
      <c r="A34" s="1098" t="s">
        <v>93</v>
      </c>
      <c r="B34" s="260">
        <f>+B19</f>
        <v>2017</v>
      </c>
      <c r="C34" s="518"/>
      <c r="D34" s="261"/>
      <c r="E34" s="261"/>
      <c r="F34" s="261"/>
      <c r="G34" s="261"/>
      <c r="H34" s="261"/>
      <c r="I34" s="261"/>
      <c r="J34" s="265"/>
      <c r="K34" s="244"/>
      <c r="L34" s="245">
        <f>SUM(C34:J34)</f>
        <v>0</v>
      </c>
      <c r="M34" s="244"/>
      <c r="N34" s="263">
        <f>SUM(L19,L34)</f>
        <v>0</v>
      </c>
      <c r="O34" s="177"/>
      <c r="P34" s="177"/>
      <c r="Q34" s="177"/>
      <c r="R34" s="177"/>
      <c r="S34" s="177"/>
      <c r="T34" s="177"/>
      <c r="U34" s="177"/>
      <c r="V34" s="177"/>
      <c r="W34" s="177"/>
      <c r="X34" s="177"/>
      <c r="Y34" s="177"/>
      <c r="Z34" s="177"/>
      <c r="AA34" s="177"/>
      <c r="AB34" s="177"/>
      <c r="AC34" s="177"/>
      <c r="AD34" s="177"/>
      <c r="AE34" s="177"/>
    </row>
    <row r="35" spans="1:31" s="178" customFormat="1" ht="12.75" customHeight="1" x14ac:dyDescent="0.2">
      <c r="A35" s="1099"/>
      <c r="B35" s="264">
        <f>+B20</f>
        <v>2018</v>
      </c>
      <c r="C35" s="518"/>
      <c r="D35" s="261"/>
      <c r="E35" s="261"/>
      <c r="F35" s="261"/>
      <c r="G35" s="261"/>
      <c r="H35" s="261"/>
      <c r="I35" s="261"/>
      <c r="J35" s="265"/>
      <c r="K35" s="244"/>
      <c r="L35" s="245">
        <f t="shared" ref="L35:L41" si="6">SUM(C35:J35)</f>
        <v>0</v>
      </c>
      <c r="M35" s="244"/>
      <c r="N35" s="263">
        <f t="shared" ref="N35:N41" si="7">SUM(L20,L35)</f>
        <v>0</v>
      </c>
      <c r="O35" s="177"/>
      <c r="P35" s="177"/>
      <c r="Q35" s="177"/>
      <c r="R35" s="177"/>
      <c r="S35" s="177"/>
      <c r="T35" s="177"/>
      <c r="U35" s="177"/>
      <c r="V35" s="177"/>
      <c r="W35" s="177"/>
      <c r="X35" s="177"/>
      <c r="Y35" s="177"/>
      <c r="Z35" s="177"/>
      <c r="AA35" s="177"/>
      <c r="AB35" s="177"/>
      <c r="AC35" s="177"/>
      <c r="AD35" s="177"/>
      <c r="AE35" s="177"/>
    </row>
    <row r="36" spans="1:31" s="178" customFormat="1" ht="12.75" customHeight="1" x14ac:dyDescent="0.2">
      <c r="A36" s="1099" t="s">
        <v>25</v>
      </c>
      <c r="B36" s="264">
        <f>+B21</f>
        <v>2019</v>
      </c>
      <c r="C36" s="247">
        <f>+I66</f>
        <v>0</v>
      </c>
      <c r="D36" s="261"/>
      <c r="E36" s="261"/>
      <c r="F36" s="261"/>
      <c r="G36" s="261"/>
      <c r="H36" s="261"/>
      <c r="I36" s="261"/>
      <c r="J36" s="265"/>
      <c r="K36" s="244"/>
      <c r="L36" s="245">
        <f t="shared" si="6"/>
        <v>0</v>
      </c>
      <c r="M36" s="244"/>
      <c r="N36" s="263">
        <f t="shared" si="7"/>
        <v>0</v>
      </c>
      <c r="O36" s="177"/>
      <c r="P36" s="177"/>
      <c r="Q36" s="177"/>
      <c r="R36" s="177"/>
      <c r="S36" s="177"/>
      <c r="T36" s="177"/>
      <c r="U36" s="177"/>
      <c r="V36" s="177"/>
      <c r="W36" s="177"/>
      <c r="X36" s="177"/>
      <c r="Y36" s="177"/>
      <c r="Z36" s="177"/>
      <c r="AA36" s="177"/>
      <c r="AB36" s="177"/>
      <c r="AC36" s="177"/>
      <c r="AD36" s="177"/>
      <c r="AE36" s="177"/>
    </row>
    <row r="37" spans="1:31" s="178" customFormat="1" ht="12.75" customHeight="1" x14ac:dyDescent="0.2">
      <c r="A37" s="1099"/>
      <c r="B37" s="264">
        <f t="shared" ref="B37:B40" si="8">+B22</f>
        <v>2020</v>
      </c>
      <c r="C37" s="247">
        <f>+K71</f>
        <v>0</v>
      </c>
      <c r="D37" s="247">
        <f>+K72</f>
        <v>0</v>
      </c>
      <c r="E37" s="261"/>
      <c r="F37" s="261"/>
      <c r="G37" s="261"/>
      <c r="H37" s="261"/>
      <c r="I37" s="261"/>
      <c r="J37" s="265"/>
      <c r="K37" s="244"/>
      <c r="L37" s="245">
        <f t="shared" si="6"/>
        <v>0</v>
      </c>
      <c r="M37" s="244"/>
      <c r="N37" s="263">
        <f t="shared" si="7"/>
        <v>0</v>
      </c>
      <c r="O37" s="177"/>
      <c r="P37" s="177"/>
      <c r="Q37" s="177"/>
      <c r="R37" s="177"/>
      <c r="S37" s="177"/>
      <c r="T37" s="177"/>
      <c r="U37" s="177"/>
      <c r="V37" s="177"/>
      <c r="W37" s="177"/>
      <c r="X37" s="177"/>
      <c r="Y37" s="177"/>
      <c r="Z37" s="177"/>
      <c r="AA37" s="177"/>
      <c r="AB37" s="177"/>
      <c r="AC37" s="177"/>
      <c r="AD37" s="177"/>
      <c r="AE37" s="177"/>
    </row>
    <row r="38" spans="1:31" s="178" customFormat="1" ht="12.75" customHeight="1" x14ac:dyDescent="0.2">
      <c r="A38" s="1099"/>
      <c r="B38" s="264">
        <f t="shared" si="8"/>
        <v>2021</v>
      </c>
      <c r="C38" s="247">
        <f>+G78</f>
        <v>0</v>
      </c>
      <c r="D38" s="247">
        <f>+G79</f>
        <v>0</v>
      </c>
      <c r="E38" s="247">
        <f>+G80</f>
        <v>0</v>
      </c>
      <c r="F38" s="261"/>
      <c r="G38" s="261"/>
      <c r="H38" s="261"/>
      <c r="I38" s="261"/>
      <c r="J38" s="265"/>
      <c r="K38" s="244"/>
      <c r="L38" s="245">
        <f t="shared" si="6"/>
        <v>0</v>
      </c>
      <c r="M38" s="244"/>
      <c r="N38" s="263">
        <f t="shared" si="7"/>
        <v>0</v>
      </c>
      <c r="O38" s="236" t="s">
        <v>27</v>
      </c>
      <c r="P38" s="177"/>
      <c r="Q38" s="177"/>
      <c r="R38" s="177"/>
      <c r="S38" s="177"/>
      <c r="T38" s="177"/>
      <c r="U38" s="177"/>
      <c r="V38" s="177"/>
      <c r="W38" s="177"/>
      <c r="X38" s="177"/>
      <c r="Y38" s="177"/>
      <c r="Z38" s="177"/>
      <c r="AA38" s="177"/>
      <c r="AB38" s="177"/>
      <c r="AC38" s="177"/>
      <c r="AD38" s="177"/>
      <c r="AE38" s="177"/>
    </row>
    <row r="39" spans="1:31" s="178" customFormat="1" ht="12.75" customHeight="1" x14ac:dyDescent="0.2">
      <c r="A39" s="1099"/>
      <c r="B39" s="264">
        <f t="shared" si="8"/>
        <v>2022</v>
      </c>
      <c r="C39" s="247">
        <f>+G86</f>
        <v>0</v>
      </c>
      <c r="D39" s="247">
        <f>+G87</f>
        <v>0</v>
      </c>
      <c r="E39" s="247">
        <f>+G88</f>
        <v>0</v>
      </c>
      <c r="F39" s="247">
        <f>+G89</f>
        <v>0</v>
      </c>
      <c r="G39" s="261"/>
      <c r="H39" s="261"/>
      <c r="I39" s="261"/>
      <c r="J39" s="265"/>
      <c r="K39" s="244"/>
      <c r="L39" s="245">
        <f t="shared" si="6"/>
        <v>0</v>
      </c>
      <c r="M39" s="244"/>
      <c r="N39" s="263">
        <f t="shared" si="7"/>
        <v>0</v>
      </c>
      <c r="O39" s="236" t="s">
        <v>28</v>
      </c>
      <c r="P39" s="177"/>
      <c r="Q39" s="177"/>
      <c r="R39" s="177"/>
      <c r="S39" s="177"/>
      <c r="T39" s="177"/>
      <c r="U39" s="177"/>
      <c r="V39" s="177"/>
      <c r="W39" s="177"/>
      <c r="X39" s="177"/>
      <c r="Y39" s="177"/>
      <c r="Z39" s="177"/>
      <c r="AA39" s="177"/>
      <c r="AB39" s="177"/>
      <c r="AC39" s="177"/>
      <c r="AD39" s="177"/>
      <c r="AE39" s="177"/>
    </row>
    <row r="40" spans="1:31" s="178" customFormat="1" ht="12.75" customHeight="1" x14ac:dyDescent="0.2">
      <c r="A40" s="1099"/>
      <c r="B40" s="264">
        <f t="shared" si="8"/>
        <v>2023</v>
      </c>
      <c r="C40" s="261"/>
      <c r="D40" s="261"/>
      <c r="E40" s="261"/>
      <c r="F40" s="247">
        <f>+G95</f>
        <v>0</v>
      </c>
      <c r="G40" s="247">
        <f>+G96</f>
        <v>0</v>
      </c>
      <c r="H40" s="261"/>
      <c r="I40" s="261"/>
      <c r="J40" s="265"/>
      <c r="K40" s="244"/>
      <c r="L40" s="245">
        <f t="shared" si="6"/>
        <v>0</v>
      </c>
      <c r="M40" s="244"/>
      <c r="N40" s="263">
        <f t="shared" si="7"/>
        <v>0</v>
      </c>
      <c r="O40" s="177"/>
      <c r="P40" s="177"/>
      <c r="Q40" s="177"/>
      <c r="R40" s="177"/>
      <c r="S40" s="177"/>
      <c r="T40" s="177"/>
      <c r="U40" s="177"/>
      <c r="V40" s="177"/>
      <c r="W40" s="177"/>
      <c r="X40" s="177"/>
      <c r="Y40" s="177"/>
      <c r="Z40" s="177"/>
      <c r="AA40" s="177"/>
      <c r="AB40" s="177"/>
      <c r="AC40" s="177"/>
      <c r="AD40" s="177"/>
      <c r="AE40" s="177"/>
    </row>
    <row r="41" spans="1:31" s="178" customFormat="1" ht="12.75" customHeight="1" x14ac:dyDescent="0.2">
      <c r="A41" s="1099"/>
      <c r="B41" s="264">
        <f>+B26</f>
        <v>2024</v>
      </c>
      <c r="C41" s="261"/>
      <c r="D41" s="261"/>
      <c r="E41" s="261"/>
      <c r="F41" s="261"/>
      <c r="G41" s="247">
        <f>+G102</f>
        <v>0</v>
      </c>
      <c r="H41" s="247">
        <f>+G103</f>
        <v>0</v>
      </c>
      <c r="I41" s="261"/>
      <c r="J41" s="265"/>
      <c r="K41" s="244"/>
      <c r="L41" s="245">
        <f t="shared" si="6"/>
        <v>0</v>
      </c>
      <c r="M41" s="244"/>
      <c r="N41" s="263">
        <f t="shared" si="7"/>
        <v>0</v>
      </c>
      <c r="O41" s="236"/>
      <c r="P41" s="177"/>
      <c r="Q41" s="177"/>
      <c r="R41" s="177"/>
      <c r="S41" s="177"/>
      <c r="T41" s="177"/>
      <c r="U41" s="177"/>
      <c r="V41" s="177"/>
      <c r="W41" s="177"/>
      <c r="X41" s="177"/>
      <c r="Y41" s="177"/>
      <c r="Z41" s="177"/>
      <c r="AA41" s="177"/>
      <c r="AB41" s="177"/>
      <c r="AC41" s="177"/>
      <c r="AD41" s="177"/>
      <c r="AE41" s="177"/>
    </row>
    <row r="42" spans="1:31" s="256" customFormat="1" ht="16.5" customHeight="1" x14ac:dyDescent="0.2">
      <c r="A42" s="1137"/>
      <c r="B42" s="326" t="s">
        <v>22</v>
      </c>
      <c r="C42" s="266">
        <f>SUM(C34:C41)</f>
        <v>0</v>
      </c>
      <c r="D42" s="266">
        <f t="shared" ref="D42:I42" si="9">SUM(D34:D41)</f>
        <v>0</v>
      </c>
      <c r="E42" s="266">
        <f t="shared" si="9"/>
        <v>0</v>
      </c>
      <c r="F42" s="266">
        <f t="shared" si="9"/>
        <v>0</v>
      </c>
      <c r="G42" s="266">
        <f t="shared" si="9"/>
        <v>0</v>
      </c>
      <c r="H42" s="266">
        <f t="shared" si="9"/>
        <v>0</v>
      </c>
      <c r="I42" s="266">
        <f t="shared" si="9"/>
        <v>0</v>
      </c>
      <c r="J42" s="266">
        <f>SUM(J34:J41)</f>
        <v>0</v>
      </c>
      <c r="K42" s="244"/>
      <c r="L42" s="254">
        <f>SUM(L34:L41)</f>
        <v>0</v>
      </c>
      <c r="M42" s="253"/>
      <c r="N42" s="254">
        <f>SUM(N34:N41)</f>
        <v>0</v>
      </c>
      <c r="O42" s="255"/>
      <c r="P42" s="255"/>
      <c r="Q42" s="255"/>
      <c r="R42" s="255"/>
      <c r="S42" s="255"/>
      <c r="T42" s="255"/>
      <c r="U42" s="255"/>
      <c r="V42" s="255"/>
      <c r="W42" s="255"/>
      <c r="X42" s="255"/>
      <c r="Y42" s="255"/>
      <c r="Z42" s="255"/>
      <c r="AA42" s="255"/>
      <c r="AB42" s="255"/>
      <c r="AC42" s="255"/>
      <c r="AD42" s="255"/>
      <c r="AE42" s="255"/>
    </row>
    <row r="43" spans="1:31" x14ac:dyDescent="0.2">
      <c r="K43" s="244"/>
    </row>
    <row r="44" spans="1:31" ht="13.5" thickBot="1" x14ac:dyDescent="0.25">
      <c r="K44" s="244"/>
    </row>
    <row r="45" spans="1:31" s="178" customFormat="1" ht="21.75" customHeight="1" thickBot="1" x14ac:dyDescent="0.25">
      <c r="A45" s="1077" t="s">
        <v>142</v>
      </c>
      <c r="B45" s="1078"/>
      <c r="C45" s="1078"/>
      <c r="D45" s="1078"/>
      <c r="E45" s="1078"/>
      <c r="F45" s="1078"/>
      <c r="G45" s="1078"/>
      <c r="H45" s="1078"/>
      <c r="I45" s="1078"/>
      <c r="J45" s="1078"/>
      <c r="K45" s="1078"/>
      <c r="L45" s="1078"/>
      <c r="M45" s="1078"/>
      <c r="N45" s="1079"/>
      <c r="O45" s="177"/>
      <c r="P45" s="177"/>
      <c r="Q45" s="177"/>
      <c r="R45" s="177"/>
      <c r="S45" s="177"/>
      <c r="T45" s="177"/>
      <c r="U45" s="177"/>
      <c r="V45" s="177"/>
      <c r="W45" s="177"/>
      <c r="X45" s="177"/>
      <c r="Y45" s="177"/>
      <c r="Z45" s="177"/>
      <c r="AA45" s="177"/>
      <c r="AB45" s="177"/>
      <c r="AC45" s="177"/>
      <c r="AD45" s="177"/>
      <c r="AE45" s="177"/>
    </row>
    <row r="47" spans="1:31" x14ac:dyDescent="0.2">
      <c r="C47" s="233" t="s">
        <v>131</v>
      </c>
    </row>
    <row r="48" spans="1:31" x14ac:dyDescent="0.2">
      <c r="C48" s="233" t="s">
        <v>30</v>
      </c>
    </row>
    <row r="49" spans="1:33" ht="16.5" x14ac:dyDescent="0.2">
      <c r="C49" s="1094" t="s">
        <v>19</v>
      </c>
      <c r="D49" s="1095"/>
      <c r="E49" s="1095"/>
      <c r="F49" s="1095"/>
      <c r="G49" s="1095"/>
      <c r="H49" s="1095"/>
      <c r="I49" s="1095"/>
      <c r="J49" s="1096"/>
    </row>
    <row r="50" spans="1:33" x14ac:dyDescent="0.2">
      <c r="C50" s="239">
        <f>+C33</f>
        <v>2017</v>
      </c>
      <c r="D50" s="239">
        <f>+D33</f>
        <v>2018</v>
      </c>
      <c r="E50" s="239">
        <f>+E33</f>
        <v>2019</v>
      </c>
      <c r="F50" s="239">
        <f t="shared" ref="F50:I50" si="10">+F33</f>
        <v>2020</v>
      </c>
      <c r="G50" s="239">
        <f t="shared" si="10"/>
        <v>2021</v>
      </c>
      <c r="H50" s="239">
        <f t="shared" si="10"/>
        <v>2022</v>
      </c>
      <c r="I50" s="239">
        <f t="shared" si="10"/>
        <v>2023</v>
      </c>
      <c r="J50" s="239">
        <f>+J33</f>
        <v>2024</v>
      </c>
      <c r="L50" s="93" t="s">
        <v>20</v>
      </c>
    </row>
    <row r="51" spans="1:33" ht="13.5" customHeight="1" x14ac:dyDescent="0.2">
      <c r="A51" s="1088" t="s">
        <v>134</v>
      </c>
      <c r="B51" s="267">
        <f>+B34</f>
        <v>2017</v>
      </c>
      <c r="C51" s="247">
        <f>+C19</f>
        <v>0</v>
      </c>
      <c r="D51" s="268"/>
      <c r="E51" s="261"/>
      <c r="F51" s="261"/>
      <c r="G51" s="261"/>
      <c r="H51" s="261"/>
      <c r="I51" s="261"/>
      <c r="J51" s="265"/>
      <c r="L51" s="269">
        <f>SUM(C51:J51)</f>
        <v>0</v>
      </c>
    </row>
    <row r="52" spans="1:33" ht="13.5" customHeight="1" x14ac:dyDescent="0.2">
      <c r="A52" s="1089"/>
      <c r="B52" s="239">
        <f>+B35</f>
        <v>2018</v>
      </c>
      <c r="C52" s="247">
        <f>+C51+C35+C20</f>
        <v>0</v>
      </c>
      <c r="D52" s="247">
        <f>+D20</f>
        <v>0</v>
      </c>
      <c r="E52" s="270"/>
      <c r="F52" s="270"/>
      <c r="G52" s="270"/>
      <c r="H52" s="270"/>
      <c r="I52" s="270"/>
      <c r="J52" s="271"/>
      <c r="L52" s="269">
        <f t="shared" ref="L52:L58" si="11">SUM(C52:J52)</f>
        <v>0</v>
      </c>
    </row>
    <row r="53" spans="1:33" ht="13.5" customHeight="1" x14ac:dyDescent="0.2">
      <c r="A53" s="1089"/>
      <c r="B53" s="239">
        <f>+B36</f>
        <v>2019</v>
      </c>
      <c r="C53" s="247">
        <f>+C52+C36+C21</f>
        <v>0</v>
      </c>
      <c r="D53" s="247">
        <f t="shared" ref="D53:I58" si="12">+D52+D36+D21</f>
        <v>0</v>
      </c>
      <c r="E53" s="247">
        <f>+E21</f>
        <v>0</v>
      </c>
      <c r="F53" s="261"/>
      <c r="G53" s="261"/>
      <c r="H53" s="261"/>
      <c r="I53" s="261"/>
      <c r="J53" s="271"/>
      <c r="L53" s="269">
        <f t="shared" si="11"/>
        <v>0</v>
      </c>
    </row>
    <row r="54" spans="1:33" ht="13.5" customHeight="1" x14ac:dyDescent="0.2">
      <c r="A54" s="1089"/>
      <c r="B54" s="239">
        <f t="shared" ref="B54:B58" si="13">+B37</f>
        <v>2020</v>
      </c>
      <c r="C54" s="247">
        <f t="shared" ref="C54:C56" si="14">+C53+C37+C22</f>
        <v>0</v>
      </c>
      <c r="D54" s="247">
        <f t="shared" si="12"/>
        <v>0</v>
      </c>
      <c r="E54" s="247">
        <f t="shared" si="12"/>
        <v>0</v>
      </c>
      <c r="F54" s="247">
        <f>+F22</f>
        <v>0</v>
      </c>
      <c r="G54" s="261"/>
      <c r="H54" s="261"/>
      <c r="I54" s="261"/>
      <c r="J54" s="271"/>
      <c r="L54" s="269">
        <f t="shared" si="11"/>
        <v>0</v>
      </c>
    </row>
    <row r="55" spans="1:33" ht="13.5" customHeight="1" x14ac:dyDescent="0.2">
      <c r="A55" s="1089"/>
      <c r="B55" s="239">
        <f t="shared" si="13"/>
        <v>2021</v>
      </c>
      <c r="C55" s="247">
        <f t="shared" si="14"/>
        <v>0</v>
      </c>
      <c r="D55" s="247">
        <f t="shared" si="12"/>
        <v>0</v>
      </c>
      <c r="E55" s="247">
        <f t="shared" si="12"/>
        <v>0</v>
      </c>
      <c r="F55" s="247">
        <f t="shared" si="12"/>
        <v>0</v>
      </c>
      <c r="G55" s="247">
        <f>+G23</f>
        <v>0</v>
      </c>
      <c r="H55" s="261"/>
      <c r="I55" s="261"/>
      <c r="J55" s="271"/>
      <c r="L55" s="269">
        <f t="shared" si="11"/>
        <v>0</v>
      </c>
    </row>
    <row r="56" spans="1:33" ht="13.5" customHeight="1" x14ac:dyDescent="0.2">
      <c r="A56" s="1089"/>
      <c r="B56" s="239">
        <f t="shared" si="13"/>
        <v>2022</v>
      </c>
      <c r="C56" s="247">
        <f t="shared" si="14"/>
        <v>0</v>
      </c>
      <c r="D56" s="247">
        <f t="shared" si="12"/>
        <v>0</v>
      </c>
      <c r="E56" s="247">
        <f t="shared" si="12"/>
        <v>0</v>
      </c>
      <c r="F56" s="247">
        <f t="shared" si="12"/>
        <v>0</v>
      </c>
      <c r="G56" s="247">
        <f t="shared" si="12"/>
        <v>0</v>
      </c>
      <c r="H56" s="247">
        <f>+H24</f>
        <v>0</v>
      </c>
      <c r="I56" s="261"/>
      <c r="J56" s="271"/>
      <c r="L56" s="269">
        <f t="shared" si="11"/>
        <v>0</v>
      </c>
    </row>
    <row r="57" spans="1:33" ht="13.5" customHeight="1" x14ac:dyDescent="0.2">
      <c r="A57" s="1089"/>
      <c r="B57" s="239">
        <f t="shared" si="13"/>
        <v>2023</v>
      </c>
      <c r="C57" s="518"/>
      <c r="D57" s="261"/>
      <c r="E57" s="261"/>
      <c r="F57" s="247">
        <f t="shared" si="12"/>
        <v>0</v>
      </c>
      <c r="G57" s="247">
        <f t="shared" si="12"/>
        <v>0</v>
      </c>
      <c r="H57" s="247">
        <f t="shared" si="12"/>
        <v>0</v>
      </c>
      <c r="I57" s="247">
        <f>+I25</f>
        <v>0</v>
      </c>
      <c r="J57" s="265"/>
      <c r="L57" s="269">
        <f t="shared" si="11"/>
        <v>0</v>
      </c>
    </row>
    <row r="58" spans="1:33" ht="13.5" customHeight="1" x14ac:dyDescent="0.2">
      <c r="A58" s="1090"/>
      <c r="B58" s="239">
        <f t="shared" si="13"/>
        <v>2024</v>
      </c>
      <c r="C58" s="532"/>
      <c r="D58" s="533"/>
      <c r="E58" s="533"/>
      <c r="F58" s="533"/>
      <c r="G58" s="247">
        <f t="shared" si="12"/>
        <v>0</v>
      </c>
      <c r="H58" s="247">
        <f t="shared" si="12"/>
        <v>0</v>
      </c>
      <c r="I58" s="247">
        <f t="shared" si="12"/>
        <v>0</v>
      </c>
      <c r="J58" s="247">
        <f>+J26</f>
        <v>0</v>
      </c>
      <c r="L58" s="269">
        <f t="shared" si="11"/>
        <v>0</v>
      </c>
    </row>
    <row r="59" spans="1:33" x14ac:dyDescent="0.2">
      <c r="C59" s="233"/>
    </row>
    <row r="60" spans="1:33" ht="13.5" thickBot="1" x14ac:dyDescent="0.25">
      <c r="C60" s="233"/>
    </row>
    <row r="61" spans="1:33" s="178" customFormat="1" ht="22.5" customHeight="1" thickBot="1" x14ac:dyDescent="0.25">
      <c r="A61" s="1077" t="s">
        <v>377</v>
      </c>
      <c r="B61" s="1078"/>
      <c r="C61" s="1078"/>
      <c r="D61" s="1078"/>
      <c r="E61" s="1078"/>
      <c r="F61" s="1078"/>
      <c r="G61" s="1078"/>
      <c r="H61" s="1078"/>
      <c r="I61" s="1078"/>
      <c r="J61" s="1078"/>
      <c r="K61" s="1078"/>
      <c r="L61" s="1078"/>
      <c r="M61" s="1078"/>
      <c r="N61" s="1079"/>
      <c r="P61" s="177"/>
      <c r="Q61" s="177"/>
      <c r="R61" s="177"/>
      <c r="S61" s="177"/>
      <c r="T61" s="177"/>
      <c r="U61" s="177"/>
      <c r="V61" s="177"/>
      <c r="W61" s="177"/>
      <c r="X61" s="177"/>
      <c r="Y61" s="177"/>
      <c r="Z61" s="177"/>
      <c r="AA61" s="177"/>
      <c r="AB61" s="177"/>
      <c r="AC61" s="177"/>
      <c r="AD61" s="177"/>
      <c r="AE61" s="177"/>
      <c r="AF61" s="177"/>
      <c r="AG61" s="177"/>
    </row>
    <row r="62" spans="1:33" x14ac:dyDescent="0.2">
      <c r="A62" s="166"/>
      <c r="B62" s="166"/>
      <c r="C62" s="166"/>
      <c r="D62" s="166"/>
      <c r="E62" s="166"/>
      <c r="F62" s="166"/>
      <c r="G62" s="166"/>
      <c r="H62" s="166"/>
      <c r="I62" s="166"/>
      <c r="J62" s="166"/>
      <c r="K62" s="166"/>
      <c r="L62" s="206"/>
      <c r="M62" s="166"/>
    </row>
    <row r="63" spans="1:33" x14ac:dyDescent="0.2">
      <c r="A63" s="273" t="s">
        <v>139</v>
      </c>
      <c r="B63" s="166"/>
      <c r="C63" s="166"/>
      <c r="D63" s="166"/>
      <c r="E63" s="810">
        <v>2019</v>
      </c>
      <c r="F63" s="166"/>
      <c r="G63" s="166"/>
      <c r="H63" s="166"/>
      <c r="I63" s="166"/>
      <c r="J63" s="166"/>
      <c r="K63" s="166"/>
      <c r="L63" s="206"/>
      <c r="M63" s="166"/>
    </row>
    <row r="64" spans="1:33" x14ac:dyDescent="0.2">
      <c r="A64" s="166"/>
      <c r="B64" s="166"/>
      <c r="C64" s="166"/>
      <c r="D64" s="166"/>
      <c r="E64" s="166"/>
      <c r="F64" s="166"/>
      <c r="G64" s="166"/>
      <c r="H64" s="166"/>
      <c r="I64" s="166"/>
      <c r="J64" s="166"/>
      <c r="K64" s="206"/>
      <c r="L64" s="166"/>
      <c r="M64" s="166"/>
    </row>
    <row r="65" spans="1:13" ht="150" customHeight="1" x14ac:dyDescent="0.2">
      <c r="A65" s="1101" t="s">
        <v>140</v>
      </c>
      <c r="B65" s="1102"/>
      <c r="C65" s="1102"/>
      <c r="D65" s="1103"/>
      <c r="E65" s="274"/>
      <c r="F65" s="165" t="str">
        <f>"Nog af te bouwen regulatoir saldo einde "&amp;E63-1</f>
        <v>Nog af te bouwen regulatoir saldo einde 2018</v>
      </c>
      <c r="G65" s="165" t="str">
        <f>"Afbouw oudste openstaande regulatoir saldo vanaf boekjaar "&amp;E63-3&amp;" en vroeger, door aanwending van compensatie met regulatoir saldo ontstaan over boekjaar "&amp;E63-2</f>
        <v>Afbouw oudste openstaande regulatoir saldo vanaf boekjaar 2016 en vroeger, door aanwending van compensatie met regulatoir saldo ontstaan over boekjaar 2017</v>
      </c>
      <c r="H65" s="165" t="str">
        <f>"Nog af te bouwen regulatoir saldo na compensatie einde "&amp;E63-1</f>
        <v>Nog af te bouwen regulatoir saldo na compensatie einde 2018</v>
      </c>
      <c r="I65" s="165" t="str">
        <f>"Aanwending van 100% van het regulatoir saldo door te rekenen volgens de tariefmethodologie in het boekjaar "&amp;E63</f>
        <v>Aanwending van 100% van het regulatoir saldo door te rekenen volgens de tariefmethodologie in het boekjaar 2019</v>
      </c>
      <c r="J65" s="165" t="str">
        <f>"Nog af te bouwen regulatoir saldo einde "&amp;E63</f>
        <v>Nog af te bouwen regulatoir saldo einde 2019</v>
      </c>
      <c r="K65" s="206"/>
      <c r="L65" s="166"/>
      <c r="M65" s="166"/>
    </row>
    <row r="66" spans="1:13" x14ac:dyDescent="0.2">
      <c r="A66" s="1104">
        <v>2017</v>
      </c>
      <c r="B66" s="1105"/>
      <c r="C66" s="1105"/>
      <c r="D66" s="1106"/>
      <c r="E66" s="275"/>
      <c r="F66" s="176">
        <f>+C19+C20</f>
        <v>0</v>
      </c>
      <c r="G66" s="853">
        <v>0</v>
      </c>
      <c r="H66" s="176">
        <f>+F66+G66</f>
        <v>0</v>
      </c>
      <c r="I66" s="176">
        <f>-H66*1</f>
        <v>0</v>
      </c>
      <c r="J66" s="811">
        <f>+I66+F66</f>
        <v>0</v>
      </c>
      <c r="K66" s="206"/>
      <c r="L66" s="166"/>
      <c r="M66" s="166"/>
    </row>
    <row r="67" spans="1:13" x14ac:dyDescent="0.2">
      <c r="A67" s="166"/>
      <c r="B67" s="166"/>
      <c r="C67" s="166"/>
      <c r="D67" s="166"/>
      <c r="E67" s="166"/>
      <c r="F67" s="166"/>
      <c r="G67" s="166"/>
      <c r="H67" s="166"/>
      <c r="I67" s="166"/>
      <c r="J67" s="166"/>
      <c r="K67" s="206"/>
      <c r="L67" s="166"/>
      <c r="M67" s="166"/>
    </row>
    <row r="68" spans="1:13" x14ac:dyDescent="0.2">
      <c r="A68" s="273" t="s">
        <v>139</v>
      </c>
      <c r="B68" s="166"/>
      <c r="C68" s="166"/>
      <c r="D68" s="166"/>
      <c r="E68" s="810">
        <v>2020</v>
      </c>
      <c r="F68" s="166"/>
      <c r="G68" s="166"/>
      <c r="H68" s="166"/>
      <c r="I68" s="166"/>
      <c r="J68" s="166"/>
      <c r="K68" s="166"/>
      <c r="L68" s="206"/>
      <c r="M68" s="166"/>
    </row>
    <row r="69" spans="1:13" x14ac:dyDescent="0.2">
      <c r="A69" s="166"/>
      <c r="B69" s="166"/>
      <c r="C69" s="166"/>
      <c r="D69" s="166"/>
      <c r="E69" s="166"/>
      <c r="F69" s="166"/>
      <c r="G69" s="166"/>
      <c r="H69" s="166"/>
      <c r="I69" s="166"/>
      <c r="J69" s="166"/>
      <c r="K69" s="166"/>
      <c r="L69" s="206"/>
      <c r="M69" s="166"/>
    </row>
    <row r="70" spans="1:13" ht="150" customHeight="1" x14ac:dyDescent="0.2">
      <c r="A70" s="1101" t="s">
        <v>140</v>
      </c>
      <c r="B70" s="1102"/>
      <c r="C70" s="1102"/>
      <c r="D70" s="1103"/>
      <c r="E70" s="274"/>
      <c r="F70" s="165" t="str">
        <f>"Nog af te bouwen regulatoir saldo einde "&amp;E68-1</f>
        <v>Nog af te bouwen regulatoir saldo einde 2019</v>
      </c>
      <c r="G70" s="165" t="str">
        <f>"Afbouw oudste openstaande regulatoir saldo vanaf boekjaar "&amp;E68-3&amp;" en vroeger, door aanwending van compensatie met regulatoir saldo ontstaan over boekjaar "&amp;E68-2</f>
        <v>Afbouw oudste openstaande regulatoir saldo vanaf boekjaar 2017 en vroeger, door aanwending van compensatie met regulatoir saldo ontstaan over boekjaar 2018</v>
      </c>
      <c r="H70" s="165" t="str">
        <f>"Nog af te bouwen regulatoir saldo na compensatie einde "&amp;E68-1</f>
        <v>Nog af te bouwen regulatoir saldo na compensatie einde 2019</v>
      </c>
      <c r="I70" s="165" t="str">
        <f>"100% van het regulatoir saldo door te rekenen volgens de tariefmethodologie in het boekjaar "&amp;E68</f>
        <v>100% van het regulatoir saldo door te rekenen volgens de tariefmethodologie in het boekjaar 2020</v>
      </c>
      <c r="J70" s="165" t="str">
        <f>"Aanwending van 100% van het regulatoir saldo door te rekenen volgens de tariefmethodologie in het boekjaar "&amp;E68</f>
        <v>Aanwending van 100% van het regulatoir saldo door te rekenen volgens de tariefmethodologie in het boekjaar 2020</v>
      </c>
      <c r="K70" s="165" t="str">
        <f>"Totale afbouw over "&amp;E68</f>
        <v>Totale afbouw over 2020</v>
      </c>
      <c r="L70" s="165" t="str">
        <f>"Nog af te bouwen regulatoir saldo einde "&amp;E68</f>
        <v>Nog af te bouwen regulatoir saldo einde 2020</v>
      </c>
    </row>
    <row r="71" spans="1:13" x14ac:dyDescent="0.2">
      <c r="A71" s="1104">
        <v>2017</v>
      </c>
      <c r="B71" s="1105"/>
      <c r="C71" s="1105"/>
      <c r="D71" s="1106"/>
      <c r="E71" s="275"/>
      <c r="F71" s="176">
        <f>J66</f>
        <v>0</v>
      </c>
      <c r="G71" s="853">
        <f>IF(SIGN(F72*J66)&lt;0,IF(F71&lt;&gt;0,-SIGN(F71)*MIN(ABS(F72),ABS(F71)),0),0)</f>
        <v>0</v>
      </c>
      <c r="H71" s="176">
        <f>+F71+G71</f>
        <v>0</v>
      </c>
      <c r="I71" s="806"/>
      <c r="J71" s="853">
        <f>-MIN(ABS(H71),ABS(I73))*SIGN(H71)</f>
        <v>0</v>
      </c>
      <c r="K71" s="854">
        <f>+J71+G71</f>
        <v>0</v>
      </c>
      <c r="L71" s="176">
        <f>+H71+J71</f>
        <v>0</v>
      </c>
    </row>
    <row r="72" spans="1:13" x14ac:dyDescent="0.2">
      <c r="A72" s="1104">
        <v>2018</v>
      </c>
      <c r="B72" s="1105"/>
      <c r="C72" s="1105"/>
      <c r="D72" s="1106"/>
      <c r="E72" s="275"/>
      <c r="F72" s="176">
        <f>+D20+D21</f>
        <v>0</v>
      </c>
      <c r="G72" s="854">
        <f>IF(SIGN(F72*J66)&lt;0,-G71,0)</f>
        <v>0</v>
      </c>
      <c r="H72" s="176">
        <f>+F72+G72</f>
        <v>0</v>
      </c>
      <c r="I72" s="806"/>
      <c r="J72" s="853">
        <f>-MIN(ABS(H72),ABS(I73-J71))*SIGN(H72)</f>
        <v>0</v>
      </c>
      <c r="K72" s="854">
        <f>+J72+G72</f>
        <v>0</v>
      </c>
      <c r="L72" s="176">
        <f>+H72+J72</f>
        <v>0</v>
      </c>
    </row>
    <row r="73" spans="1:13" x14ac:dyDescent="0.2">
      <c r="A73" s="273"/>
      <c r="B73" s="273"/>
      <c r="C73" s="273"/>
      <c r="D73" s="273"/>
      <c r="E73" s="273"/>
      <c r="F73" s="276">
        <f>SUM(F71:F72)</f>
        <v>0</v>
      </c>
      <c r="G73" s="276">
        <f>SUM(G71:G72)</f>
        <v>0</v>
      </c>
      <c r="H73" s="276">
        <f>SUM(H71:H72)</f>
        <v>0</v>
      </c>
      <c r="I73" s="276">
        <f>-H73*1</f>
        <v>0</v>
      </c>
      <c r="J73" s="277">
        <f>SUM(J71:J72)</f>
        <v>0</v>
      </c>
      <c r="K73" s="278"/>
      <c r="L73" s="276">
        <f>SUM(L71:L72)</f>
        <v>0</v>
      </c>
    </row>
    <row r="74" spans="1:13" s="166" customFormat="1" x14ac:dyDescent="0.2">
      <c r="H74" s="214"/>
    </row>
    <row r="75" spans="1:13" s="166" customFormat="1" x14ac:dyDescent="0.2">
      <c r="A75" s="273" t="s">
        <v>139</v>
      </c>
      <c r="E75" s="810">
        <v>2021</v>
      </c>
      <c r="G75" s="214"/>
    </row>
    <row r="76" spans="1:13" s="166" customFormat="1" x14ac:dyDescent="0.2">
      <c r="G76" s="214"/>
    </row>
    <row r="77" spans="1:13" s="166" customFormat="1" ht="102" customHeight="1" x14ac:dyDescent="0.2">
      <c r="A77" s="1101" t="s">
        <v>140</v>
      </c>
      <c r="B77" s="1102"/>
      <c r="C77" s="1102"/>
      <c r="D77" s="1103"/>
      <c r="E77" s="274"/>
      <c r="F77" s="165" t="str">
        <f>"Nog af te bouwen regulatoir saldo einde "&amp;E75-1</f>
        <v>Nog af te bouwen regulatoir saldo einde 2020</v>
      </c>
      <c r="G77" s="165" t="str">
        <f>"50% van het regulatoir saldo door te rekenen volgens de tariefmethodologie in het boekjaar "&amp;E75</f>
        <v>50% van het regulatoir saldo door te rekenen volgens de tariefmethodologie in het boekjaar 2021</v>
      </c>
      <c r="H77" s="165" t="str">
        <f>"Nog af te bouwen regulatoir saldo einde "&amp;E75</f>
        <v>Nog af te bouwen regulatoir saldo einde 2021</v>
      </c>
      <c r="I77" s="206"/>
    </row>
    <row r="78" spans="1:13" s="166" customFormat="1" x14ac:dyDescent="0.2">
      <c r="A78" s="1104">
        <v>2017</v>
      </c>
      <c r="B78" s="1105"/>
      <c r="C78" s="1105">
        <v>2016</v>
      </c>
      <c r="D78" s="1106"/>
      <c r="E78" s="275"/>
      <c r="F78" s="176">
        <f>+L71</f>
        <v>0</v>
      </c>
      <c r="G78" s="521">
        <f t="shared" ref="G78:G80" si="15">-F78*0.5</f>
        <v>0</v>
      </c>
      <c r="H78" s="176">
        <f t="shared" ref="H78:H80" si="16">+F78+G78</f>
        <v>0</v>
      </c>
      <c r="I78" s="206"/>
    </row>
    <row r="79" spans="1:13" s="166" customFormat="1" x14ac:dyDescent="0.2">
      <c r="A79" s="1104">
        <v>2018</v>
      </c>
      <c r="B79" s="1105"/>
      <c r="C79" s="1105"/>
      <c r="D79" s="1106"/>
      <c r="E79" s="275"/>
      <c r="F79" s="176">
        <f>+L72</f>
        <v>0</v>
      </c>
      <c r="G79" s="521">
        <f t="shared" si="15"/>
        <v>0</v>
      </c>
      <c r="H79" s="176">
        <f t="shared" si="16"/>
        <v>0</v>
      </c>
      <c r="I79" s="206"/>
    </row>
    <row r="80" spans="1:13" s="166" customFormat="1" x14ac:dyDescent="0.2">
      <c r="A80" s="1104">
        <v>2019</v>
      </c>
      <c r="B80" s="1105"/>
      <c r="C80" s="1105"/>
      <c r="D80" s="1106"/>
      <c r="E80" s="275"/>
      <c r="F80" s="176">
        <f>+E21+E22</f>
        <v>0</v>
      </c>
      <c r="G80" s="521">
        <f t="shared" si="15"/>
        <v>0</v>
      </c>
      <c r="H80" s="176">
        <f t="shared" si="16"/>
        <v>0</v>
      </c>
      <c r="I80" s="206"/>
    </row>
    <row r="81" spans="1:9" s="273" customFormat="1" x14ac:dyDescent="0.2">
      <c r="F81" s="276">
        <f>SUM(F78:F80)</f>
        <v>0</v>
      </c>
      <c r="G81" s="168">
        <f>SUM(G78:G80)</f>
        <v>0</v>
      </c>
      <c r="H81" s="276">
        <f>SUM(H78:H80)</f>
        <v>0</v>
      </c>
    </row>
    <row r="82" spans="1:9" s="166" customFormat="1" x14ac:dyDescent="0.2">
      <c r="G82" s="214"/>
    </row>
    <row r="83" spans="1:9" s="166" customFormat="1" x14ac:dyDescent="0.2">
      <c r="A83" s="273" t="s">
        <v>139</v>
      </c>
      <c r="E83" s="810">
        <v>2022</v>
      </c>
      <c r="G83" s="214"/>
    </row>
    <row r="84" spans="1:9" s="166" customFormat="1" x14ac:dyDescent="0.2">
      <c r="G84" s="214"/>
    </row>
    <row r="85" spans="1:9" s="166" customFormat="1" ht="102" customHeight="1" x14ac:dyDescent="0.2">
      <c r="A85" s="1101" t="s">
        <v>140</v>
      </c>
      <c r="B85" s="1102"/>
      <c r="C85" s="1102"/>
      <c r="D85" s="1103"/>
      <c r="E85" s="274"/>
      <c r="F85" s="165" t="str">
        <f>"Nog af te bouwen regulatoir saldo einde "&amp;E83-1</f>
        <v>Nog af te bouwen regulatoir saldo einde 2021</v>
      </c>
      <c r="G85" s="165" t="str">
        <f>"50% van het regulatoir saldo door te rekenen volgens de tariefmethodologie in het boekjaar "&amp;E83</f>
        <v>50% van het regulatoir saldo door te rekenen volgens de tariefmethodologie in het boekjaar 2022</v>
      </c>
      <c r="H85" s="165" t="str">
        <f>"Nog af te bouwen regulatoir saldo einde "&amp;E83</f>
        <v>Nog af te bouwen regulatoir saldo einde 2022</v>
      </c>
      <c r="I85" s="206"/>
    </row>
    <row r="86" spans="1:9" s="166" customFormat="1" x14ac:dyDescent="0.2">
      <c r="A86" s="1104">
        <v>2017</v>
      </c>
      <c r="B86" s="1105"/>
      <c r="C86" s="1105">
        <v>2016</v>
      </c>
      <c r="D86" s="1106"/>
      <c r="E86" s="275"/>
      <c r="F86" s="176">
        <f>+H78</f>
        <v>0</v>
      </c>
      <c r="G86" s="521">
        <f>-F78*0.5</f>
        <v>0</v>
      </c>
      <c r="H86" s="176">
        <f t="shared" ref="H86:H89" si="17">+F86+G86</f>
        <v>0</v>
      </c>
      <c r="I86" s="206"/>
    </row>
    <row r="87" spans="1:9" s="166" customFormat="1" x14ac:dyDescent="0.2">
      <c r="A87" s="1104">
        <v>2018</v>
      </c>
      <c r="B87" s="1105"/>
      <c r="C87" s="1105"/>
      <c r="D87" s="1106"/>
      <c r="E87" s="275"/>
      <c r="F87" s="176">
        <f>+H79</f>
        <v>0</v>
      </c>
      <c r="G87" s="521">
        <f>-F79*0.5</f>
        <v>0</v>
      </c>
      <c r="H87" s="176">
        <f t="shared" si="17"/>
        <v>0</v>
      </c>
      <c r="I87" s="206"/>
    </row>
    <row r="88" spans="1:9" s="166" customFormat="1" x14ac:dyDescent="0.2">
      <c r="A88" s="1104">
        <v>2019</v>
      </c>
      <c r="B88" s="1105"/>
      <c r="C88" s="1105"/>
      <c r="D88" s="1106"/>
      <c r="E88" s="275"/>
      <c r="F88" s="176">
        <f>+H80</f>
        <v>0</v>
      </c>
      <c r="G88" s="521">
        <f>-F80*0.5</f>
        <v>0</v>
      </c>
      <c r="H88" s="176">
        <f t="shared" si="17"/>
        <v>0</v>
      </c>
      <c r="I88" s="206"/>
    </row>
    <row r="89" spans="1:9" s="166" customFormat="1" x14ac:dyDescent="0.2">
      <c r="A89" s="1104">
        <v>2020</v>
      </c>
      <c r="B89" s="1105"/>
      <c r="C89" s="1105"/>
      <c r="D89" s="1106"/>
      <c r="E89" s="275"/>
      <c r="F89" s="176">
        <f>+F22+F23</f>
        <v>0</v>
      </c>
      <c r="G89" s="521">
        <f t="shared" ref="G89" si="18">-F89*0.5</f>
        <v>0</v>
      </c>
      <c r="H89" s="176">
        <f t="shared" si="17"/>
        <v>0</v>
      </c>
      <c r="I89" s="206"/>
    </row>
    <row r="90" spans="1:9" s="273" customFormat="1" x14ac:dyDescent="0.2">
      <c r="F90" s="276">
        <f>SUM(F86:F89)</f>
        <v>0</v>
      </c>
      <c r="G90" s="168">
        <f>SUM(G86:G89)</f>
        <v>0</v>
      </c>
      <c r="H90" s="276">
        <f>SUM(H86:H89)</f>
        <v>0</v>
      </c>
    </row>
    <row r="91" spans="1:9" s="166" customFormat="1" x14ac:dyDescent="0.2">
      <c r="G91" s="214"/>
    </row>
    <row r="92" spans="1:9" s="166" customFormat="1" x14ac:dyDescent="0.2">
      <c r="A92" s="273" t="s">
        <v>139</v>
      </c>
      <c r="E92" s="810">
        <v>2023</v>
      </c>
      <c r="G92" s="214"/>
    </row>
    <row r="93" spans="1:9" s="166" customFormat="1" x14ac:dyDescent="0.2">
      <c r="G93" s="214"/>
    </row>
    <row r="94" spans="1:9" s="166" customFormat="1" ht="102" customHeight="1" x14ac:dyDescent="0.2">
      <c r="A94" s="1101" t="s">
        <v>140</v>
      </c>
      <c r="B94" s="1102"/>
      <c r="C94" s="1102"/>
      <c r="D94" s="1103"/>
      <c r="E94" s="274"/>
      <c r="F94" s="165" t="str">
        <f>"Nog af te bouwen regulatoir saldo einde "&amp;E92-1</f>
        <v>Nog af te bouwen regulatoir saldo einde 2022</v>
      </c>
      <c r="G94" s="165" t="str">
        <f>"50% van het regulatoir saldo door te rekenen volgens de tariefmethodologie in het boekjaar "&amp;E92</f>
        <v>50% van het regulatoir saldo door te rekenen volgens de tariefmethodologie in het boekjaar 2023</v>
      </c>
      <c r="H94" s="165" t="str">
        <f>"Nog af te bouwen regulatoir saldo einde "&amp;E92</f>
        <v>Nog af te bouwen regulatoir saldo einde 2023</v>
      </c>
      <c r="I94" s="206"/>
    </row>
    <row r="95" spans="1:9" s="166" customFormat="1" x14ac:dyDescent="0.2">
      <c r="A95" s="1104">
        <v>2020</v>
      </c>
      <c r="B95" s="1105"/>
      <c r="C95" s="1105"/>
      <c r="D95" s="1106"/>
      <c r="E95" s="275"/>
      <c r="F95" s="176">
        <f>+H89</f>
        <v>0</v>
      </c>
      <c r="G95" s="521">
        <f>-F89*0.5</f>
        <v>0</v>
      </c>
      <c r="H95" s="176">
        <f t="shared" ref="H95:H96" si="19">+F95+G95</f>
        <v>0</v>
      </c>
      <c r="I95" s="206"/>
    </row>
    <row r="96" spans="1:9" s="166" customFormat="1" x14ac:dyDescent="0.2">
      <c r="A96" s="1104">
        <v>2021</v>
      </c>
      <c r="B96" s="1105"/>
      <c r="C96" s="1105"/>
      <c r="D96" s="1106"/>
      <c r="E96" s="275"/>
      <c r="F96" s="176">
        <f>+G23+G24</f>
        <v>0</v>
      </c>
      <c r="G96" s="521">
        <f t="shared" ref="G96" si="20">-F96*0.5</f>
        <v>0</v>
      </c>
      <c r="H96" s="176">
        <f t="shared" si="19"/>
        <v>0</v>
      </c>
      <c r="I96" s="206"/>
    </row>
    <row r="97" spans="1:13" s="273" customFormat="1" x14ac:dyDescent="0.2">
      <c r="F97" s="276">
        <f>SUM(F95:F96)</f>
        <v>0</v>
      </c>
      <c r="G97" s="168">
        <f>SUM(G95:G96)</f>
        <v>0</v>
      </c>
      <c r="H97" s="276">
        <f>SUM(H95:H96)</f>
        <v>0</v>
      </c>
    </row>
    <row r="98" spans="1:13" s="166" customFormat="1" x14ac:dyDescent="0.2">
      <c r="G98" s="214"/>
    </row>
    <row r="99" spans="1:13" s="166" customFormat="1" x14ac:dyDescent="0.2">
      <c r="A99" s="273" t="s">
        <v>139</v>
      </c>
      <c r="E99" s="810">
        <v>2024</v>
      </c>
      <c r="G99" s="214"/>
    </row>
    <row r="100" spans="1:13" s="166" customFormat="1" x14ac:dyDescent="0.2">
      <c r="G100" s="214"/>
    </row>
    <row r="101" spans="1:13" s="166" customFormat="1" ht="102" customHeight="1" x14ac:dyDescent="0.2">
      <c r="A101" s="1101" t="s">
        <v>140</v>
      </c>
      <c r="B101" s="1102"/>
      <c r="C101" s="1102"/>
      <c r="D101" s="1103"/>
      <c r="E101" s="274"/>
      <c r="F101" s="165" t="str">
        <f>"Nog af te bouwen regulatoir saldo einde "&amp;E99-1</f>
        <v>Nog af te bouwen regulatoir saldo einde 2023</v>
      </c>
      <c r="G101" s="165" t="str">
        <f>"50% van het regulatoir saldo door te rekenen volgens de tariefmethodologie in het boekjaar "&amp;E99</f>
        <v>50% van het regulatoir saldo door te rekenen volgens de tariefmethodologie in het boekjaar 2024</v>
      </c>
      <c r="H101" s="165" t="str">
        <f>"Nog af te bouwen regulatoir saldo einde "&amp;E99</f>
        <v>Nog af te bouwen regulatoir saldo einde 2024</v>
      </c>
      <c r="I101" s="206"/>
    </row>
    <row r="102" spans="1:13" s="166" customFormat="1" x14ac:dyDescent="0.2">
      <c r="A102" s="1104">
        <v>2021</v>
      </c>
      <c r="B102" s="1105"/>
      <c r="C102" s="1105"/>
      <c r="D102" s="1106"/>
      <c r="E102" s="275"/>
      <c r="F102" s="176">
        <f>+H96</f>
        <v>0</v>
      </c>
      <c r="G102" s="521">
        <f>-F96*0.5</f>
        <v>0</v>
      </c>
      <c r="H102" s="176">
        <f t="shared" ref="H102:H103" si="21">+F102+G102</f>
        <v>0</v>
      </c>
      <c r="I102" s="206"/>
    </row>
    <row r="103" spans="1:13" s="166" customFormat="1" x14ac:dyDescent="0.2">
      <c r="A103" s="1104">
        <v>2022</v>
      </c>
      <c r="B103" s="1105"/>
      <c r="C103" s="1105"/>
      <c r="D103" s="1106"/>
      <c r="E103" s="275"/>
      <c r="F103" s="176">
        <f>+H24+H25</f>
        <v>0</v>
      </c>
      <c r="G103" s="521">
        <f t="shared" ref="G103" si="22">-F103*0.5</f>
        <v>0</v>
      </c>
      <c r="H103" s="176">
        <f t="shared" si="21"/>
        <v>0</v>
      </c>
      <c r="I103" s="206"/>
    </row>
    <row r="104" spans="1:13" s="273" customFormat="1" x14ac:dyDescent="0.2">
      <c r="F104" s="276">
        <f>SUM(F102:F103)</f>
        <v>0</v>
      </c>
      <c r="G104" s="168">
        <f>SUM(G102:G103)</f>
        <v>0</v>
      </c>
      <c r="H104" s="276">
        <f>SUM(H102:H103)</f>
        <v>0</v>
      </c>
    </row>
    <row r="105" spans="1:13" x14ac:dyDescent="0.2">
      <c r="A105" s="166"/>
      <c r="B105" s="166"/>
      <c r="C105" s="166"/>
      <c r="D105" s="166"/>
      <c r="E105" s="166"/>
      <c r="F105" s="166"/>
      <c r="G105" s="166"/>
      <c r="H105" s="166"/>
      <c r="I105" s="166"/>
      <c r="J105" s="166"/>
      <c r="K105" s="203"/>
      <c r="L105" s="166"/>
    </row>
    <row r="106" spans="1:13" x14ac:dyDescent="0.2">
      <c r="A106" s="166"/>
      <c r="B106" s="166"/>
      <c r="C106" s="166"/>
      <c r="D106" s="166"/>
      <c r="E106" s="166"/>
      <c r="F106" s="166"/>
      <c r="G106" s="166"/>
      <c r="H106" s="166"/>
      <c r="I106" s="166"/>
      <c r="J106" s="166"/>
      <c r="K106" s="166"/>
      <c r="L106" s="203"/>
      <c r="M106" s="166"/>
    </row>
    <row r="107" spans="1:13" x14ac:dyDescent="0.2">
      <c r="A107" s="273" t="s">
        <v>141</v>
      </c>
      <c r="B107" s="216"/>
      <c r="C107" s="216"/>
      <c r="D107" s="216"/>
      <c r="E107" s="166"/>
      <c r="F107" s="166"/>
      <c r="G107" s="166"/>
      <c r="H107" s="166"/>
      <c r="I107" s="166"/>
      <c r="J107" s="166"/>
      <c r="K107" s="166"/>
      <c r="L107" s="203"/>
      <c r="M107" s="166"/>
    </row>
    <row r="108" spans="1:13" x14ac:dyDescent="0.2">
      <c r="A108" s="273"/>
      <c r="B108" s="216"/>
      <c r="C108" s="216"/>
      <c r="D108" s="216"/>
      <c r="E108" s="166"/>
      <c r="F108" s="166"/>
      <c r="G108" s="166"/>
      <c r="H108" s="166"/>
      <c r="I108" s="166"/>
      <c r="J108" s="166"/>
      <c r="K108" s="166"/>
      <c r="L108" s="203"/>
      <c r="M108" s="166"/>
    </row>
    <row r="109" spans="1:13" x14ac:dyDescent="0.2">
      <c r="A109" s="275">
        <v>2021</v>
      </c>
      <c r="B109" s="279">
        <f>+G81</f>
        <v>0</v>
      </c>
      <c r="C109" s="216"/>
      <c r="D109" s="216"/>
      <c r="E109" s="166"/>
      <c r="F109" s="166"/>
      <c r="G109" s="166"/>
      <c r="H109" s="166"/>
      <c r="I109" s="166"/>
      <c r="J109" s="166"/>
      <c r="K109" s="166"/>
      <c r="L109" s="203"/>
      <c r="M109" s="166"/>
    </row>
    <row r="110" spans="1:13" x14ac:dyDescent="0.2">
      <c r="A110" s="275">
        <v>2022</v>
      </c>
      <c r="B110" s="279">
        <f>+G90</f>
        <v>0</v>
      </c>
      <c r="C110" s="216"/>
      <c r="D110" s="216"/>
      <c r="E110" s="166"/>
      <c r="F110" s="166"/>
      <c r="G110" s="166"/>
      <c r="H110" s="166"/>
      <c r="I110" s="166"/>
      <c r="J110" s="166"/>
      <c r="K110" s="166"/>
      <c r="L110" s="203"/>
      <c r="M110" s="166"/>
    </row>
    <row r="111" spans="1:13" x14ac:dyDescent="0.2">
      <c r="A111" s="275">
        <v>2023</v>
      </c>
      <c r="B111" s="279">
        <f>+G97</f>
        <v>0</v>
      </c>
    </row>
    <row r="112" spans="1:13" x14ac:dyDescent="0.2">
      <c r="A112" s="275">
        <v>2024</v>
      </c>
      <c r="B112" s="279">
        <f>+G104</f>
        <v>0</v>
      </c>
    </row>
  </sheetData>
  <sheetProtection algorithmName="SHA-512" hashValue="xoFU1zZ5/hovlZsNnnHK+hz+hf3U7j2K7QKLqxVK81zUMXmsv/DxJydi8jjekCpeCwupKeg4/KaCrraSI5eNuA==" saltValue="fF5QFd7fyFnkTVQm37xnew==" spinCount="100000" sheet="1" objects="1" scenarios="1"/>
  <mergeCells count="33">
    <mergeCell ref="C6:J6"/>
    <mergeCell ref="C17:J17"/>
    <mergeCell ref="A1:L1"/>
    <mergeCell ref="A71:D71"/>
    <mergeCell ref="A13:N13"/>
    <mergeCell ref="A72:D72"/>
    <mergeCell ref="A51:A58"/>
    <mergeCell ref="A18:B18"/>
    <mergeCell ref="A19:A27"/>
    <mergeCell ref="C32:J32"/>
    <mergeCell ref="A66:D66"/>
    <mergeCell ref="A70:D70"/>
    <mergeCell ref="A34:A42"/>
    <mergeCell ref="C49:J49"/>
    <mergeCell ref="A45:N45"/>
    <mergeCell ref="A61:N61"/>
    <mergeCell ref="A65:D65"/>
    <mergeCell ref="A96:D96"/>
    <mergeCell ref="A101:D101"/>
    <mergeCell ref="A102:D102"/>
    <mergeCell ref="A103:D103"/>
    <mergeCell ref="A4:N4"/>
    <mergeCell ref="A87:D87"/>
    <mergeCell ref="A88:D88"/>
    <mergeCell ref="A89:D89"/>
    <mergeCell ref="A94:D94"/>
    <mergeCell ref="A95:D95"/>
    <mergeCell ref="A80:D80"/>
    <mergeCell ref="A85:D85"/>
    <mergeCell ref="A86:D86"/>
    <mergeCell ref="A77:D77"/>
    <mergeCell ref="A78:D78"/>
    <mergeCell ref="A79:D79"/>
  </mergeCells>
  <pageMargins left="0.78740157480314965" right="0.78740157480314965" top="0.98425196850393704" bottom="0.98425196850393704" header="0.51181102362204722" footer="0.51181102362204722"/>
  <pageSetup paperSize="8" scale="92" orientation="landscape" r:id="rId1"/>
  <headerFooter alignWithMargins="0">
    <oddFooter>&amp;CPage &amp;P</oddFooter>
  </headerFooter>
  <ignoredErrors>
    <ignoredError sqref="L33 N3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445D0-196C-44C7-8439-7ABE89B5AFED}">
  <sheetPr codeName="Blad19">
    <pageSetUpPr fitToPage="1"/>
  </sheetPr>
  <dimension ref="A1:AA71"/>
  <sheetViews>
    <sheetView zoomScale="80" zoomScaleNormal="80" zoomScaleSheetLayoutView="80" workbookViewId="0">
      <selection activeCell="B70" sqref="B70"/>
    </sheetView>
  </sheetViews>
  <sheetFormatPr defaultColWidth="11.42578125" defaultRowHeight="12.75" x14ac:dyDescent="0.2"/>
  <cols>
    <col min="1" max="1" width="28.140625" style="177" customWidth="1"/>
    <col min="2" max="2" width="14.28515625" style="177" customWidth="1"/>
    <col min="3" max="8" width="25.7109375" style="177" customWidth="1"/>
    <col min="9" max="9" width="20.28515625" style="177" customWidth="1"/>
    <col min="10" max="10" width="25.7109375" style="177" customWidth="1"/>
    <col min="11" max="11" width="28.7109375" style="177" bestFit="1" customWidth="1"/>
    <col min="12" max="12" width="14" style="177" customWidth="1"/>
    <col min="13" max="13" width="29.140625" style="177" customWidth="1"/>
    <col min="14" max="14" width="12.28515625" style="177" bestFit="1" customWidth="1"/>
    <col min="15" max="16384" width="11.42578125" style="177"/>
  </cols>
  <sheetData>
    <row r="1" spans="1:27" ht="21.75" customHeight="1" thickBot="1" x14ac:dyDescent="0.25">
      <c r="A1" s="1151" t="s">
        <v>240</v>
      </c>
      <c r="B1" s="1152"/>
      <c r="C1" s="1152"/>
      <c r="D1" s="1152"/>
      <c r="E1" s="1152"/>
      <c r="F1" s="1152"/>
      <c r="G1" s="1152"/>
      <c r="H1" s="1152"/>
      <c r="I1" s="1152"/>
      <c r="J1" s="1153"/>
      <c r="K1" s="221"/>
    </row>
    <row r="2" spans="1:27" x14ac:dyDescent="0.2">
      <c r="A2" s="225"/>
      <c r="B2" s="225"/>
      <c r="C2" s="225"/>
      <c r="D2" s="225"/>
      <c r="E2" s="225"/>
      <c r="F2" s="225"/>
      <c r="G2" s="225"/>
      <c r="H2" s="225"/>
      <c r="I2" s="212"/>
      <c r="J2" s="166"/>
      <c r="K2" s="225"/>
    </row>
    <row r="3" spans="1:27" ht="13.5" thickBot="1" x14ac:dyDescent="0.25">
      <c r="A3" s="225"/>
      <c r="B3" s="225"/>
      <c r="C3" s="225"/>
      <c r="D3" s="225"/>
      <c r="E3" s="225"/>
      <c r="F3" s="225"/>
      <c r="G3" s="225"/>
      <c r="H3" s="225"/>
      <c r="I3" s="212"/>
      <c r="J3" s="166"/>
      <c r="K3" s="225"/>
    </row>
    <row r="4" spans="1:27" s="178" customFormat="1" ht="20.100000000000001" customHeight="1" thickBot="1" x14ac:dyDescent="0.25">
      <c r="A4" s="1077" t="s">
        <v>241</v>
      </c>
      <c r="B4" s="1078"/>
      <c r="C4" s="1078"/>
      <c r="D4" s="1078"/>
      <c r="E4" s="1078"/>
      <c r="F4" s="1078"/>
      <c r="G4" s="1078"/>
      <c r="H4" s="1078"/>
      <c r="I4" s="1078"/>
      <c r="J4" s="1079"/>
      <c r="K4" s="177"/>
      <c r="L4" s="177"/>
      <c r="M4" s="177"/>
      <c r="N4" s="177"/>
      <c r="O4" s="177"/>
      <c r="P4" s="177"/>
      <c r="Q4" s="177"/>
      <c r="R4" s="177"/>
      <c r="S4" s="177"/>
      <c r="T4" s="177"/>
      <c r="U4" s="177"/>
      <c r="V4" s="177"/>
      <c r="W4" s="177"/>
      <c r="X4" s="177"/>
      <c r="Y4" s="177"/>
      <c r="Z4" s="177"/>
      <c r="AA4" s="177"/>
    </row>
    <row r="5" spans="1:27" ht="13.5" thickBot="1" x14ac:dyDescent="0.25"/>
    <row r="6" spans="1:27" s="178" customFormat="1" ht="17.25" thickBot="1" x14ac:dyDescent="0.25">
      <c r="A6" s="177"/>
      <c r="B6" s="177"/>
      <c r="C6" s="1080"/>
      <c r="D6" s="1081"/>
      <c r="E6" s="1081"/>
      <c r="F6" s="1082"/>
      <c r="G6" s="177"/>
      <c r="H6" s="177"/>
      <c r="I6" s="177"/>
      <c r="J6" s="177"/>
      <c r="K6" s="177"/>
      <c r="L6" s="177"/>
      <c r="M6" s="177"/>
      <c r="N6" s="177"/>
      <c r="O6" s="177"/>
      <c r="P6" s="177"/>
      <c r="Q6" s="177"/>
      <c r="R6" s="177"/>
      <c r="S6" s="177"/>
      <c r="T6" s="177"/>
      <c r="U6" s="177"/>
      <c r="V6" s="177"/>
      <c r="W6" s="177"/>
      <c r="X6" s="177"/>
      <c r="Y6" s="177"/>
      <c r="Z6" s="177"/>
      <c r="AA6" s="177"/>
    </row>
    <row r="7" spans="1:27" s="178" customFormat="1" ht="13.5" thickBot="1" x14ac:dyDescent="0.25">
      <c r="A7" s="177"/>
      <c r="B7" s="177"/>
      <c r="C7" s="330">
        <v>2021</v>
      </c>
      <c r="D7" s="330">
        <f t="shared" ref="D7:F7" si="0">+C7+1</f>
        <v>2022</v>
      </c>
      <c r="E7" s="330">
        <f t="shared" si="0"/>
        <v>2023</v>
      </c>
      <c r="F7" s="330">
        <f t="shared" si="0"/>
        <v>2024</v>
      </c>
      <c r="G7" s="177"/>
      <c r="H7" s="177"/>
      <c r="I7" s="177"/>
      <c r="J7" s="177"/>
      <c r="K7" s="177"/>
      <c r="L7" s="177"/>
      <c r="M7" s="177"/>
      <c r="N7" s="177"/>
      <c r="O7" s="177"/>
      <c r="P7" s="177"/>
      <c r="Q7" s="177"/>
      <c r="R7" s="177"/>
      <c r="S7" s="177"/>
      <c r="T7" s="177"/>
      <c r="U7" s="177"/>
      <c r="V7" s="177"/>
      <c r="W7" s="177"/>
      <c r="X7" s="177"/>
      <c r="Y7" s="177"/>
      <c r="Z7" s="177"/>
      <c r="AA7" s="177"/>
    </row>
    <row r="8" spans="1:27" s="178" customFormat="1" x14ac:dyDescent="0.2">
      <c r="A8" s="177"/>
      <c r="B8" s="177"/>
      <c r="C8" s="800">
        <v>0</v>
      </c>
      <c r="D8" s="800">
        <v>0</v>
      </c>
      <c r="E8" s="800">
        <v>0</v>
      </c>
      <c r="F8" s="800">
        <v>0</v>
      </c>
      <c r="G8" s="177"/>
      <c r="H8" s="177"/>
      <c r="I8" s="177"/>
      <c r="J8" s="177"/>
      <c r="K8" s="177"/>
      <c r="L8" s="177"/>
      <c r="M8" s="177"/>
      <c r="N8" s="177"/>
      <c r="O8" s="177"/>
      <c r="P8" s="177"/>
      <c r="Q8" s="177"/>
      <c r="R8" s="177"/>
      <c r="S8" s="177"/>
      <c r="T8" s="177"/>
      <c r="U8" s="177"/>
      <c r="V8" s="177"/>
      <c r="W8" s="177"/>
      <c r="X8" s="177"/>
      <c r="Y8" s="177"/>
      <c r="Z8" s="177"/>
      <c r="AA8" s="177"/>
    </row>
    <row r="9" spans="1:27" x14ac:dyDescent="0.2">
      <c r="F9" s="234"/>
    </row>
    <row r="10" spans="1:27" x14ac:dyDescent="0.2">
      <c r="E10" s="666" t="str">
        <f>+'T9 - Overzicht'!C32&amp;":"</f>
        <v>2022:</v>
      </c>
      <c r="F10" s="667">
        <f>+IF('T9 - Overzicht'!C6="ex-ante",0,IF('T9 - Overzicht'!C6="ex-post",'T9 - Overzicht'!C38,"FOUT"))</f>
        <v>0</v>
      </c>
    </row>
    <row r="12" spans="1:27" ht="13.5" thickBot="1" x14ac:dyDescent="0.25"/>
    <row r="13" spans="1:27" ht="20.25" customHeight="1" thickBot="1" x14ac:dyDescent="0.25">
      <c r="A13" s="1077" t="s">
        <v>18</v>
      </c>
      <c r="B13" s="1078"/>
      <c r="C13" s="1078"/>
      <c r="D13" s="1078"/>
      <c r="E13" s="1078"/>
      <c r="F13" s="1078"/>
      <c r="G13" s="1078"/>
      <c r="H13" s="1078"/>
      <c r="I13" s="1078"/>
      <c r="J13" s="1079"/>
    </row>
    <row r="17" spans="1:27" ht="16.5" x14ac:dyDescent="0.2">
      <c r="C17" s="1094" t="s">
        <v>19</v>
      </c>
      <c r="D17" s="1095"/>
      <c r="E17" s="1095"/>
      <c r="F17" s="1096"/>
      <c r="H17" s="237" t="s">
        <v>20</v>
      </c>
    </row>
    <row r="18" spans="1:27" ht="13.5" thickBot="1" x14ac:dyDescent="0.25">
      <c r="A18" s="1097"/>
      <c r="B18" s="1097"/>
      <c r="C18" s="239">
        <f t="shared" ref="C18:E18" si="1">C7</f>
        <v>2021</v>
      </c>
      <c r="D18" s="239">
        <f t="shared" si="1"/>
        <v>2022</v>
      </c>
      <c r="E18" s="239">
        <f t="shared" si="1"/>
        <v>2023</v>
      </c>
      <c r="F18" s="239">
        <f>F7</f>
        <v>2024</v>
      </c>
      <c r="H18" s="240"/>
    </row>
    <row r="19" spans="1:27" s="178" customFormat="1" ht="13.5" thickBot="1" x14ac:dyDescent="0.25">
      <c r="A19" s="1197" t="s">
        <v>242</v>
      </c>
      <c r="B19" s="281">
        <f>+C7</f>
        <v>2021</v>
      </c>
      <c r="C19" s="855">
        <v>0</v>
      </c>
      <c r="D19" s="251"/>
      <c r="E19" s="251"/>
      <c r="F19" s="249"/>
      <c r="G19" s="244"/>
      <c r="H19" s="245">
        <f>SUM(C19:F19)</f>
        <v>0</v>
      </c>
      <c r="I19" s="177"/>
      <c r="J19" s="177"/>
      <c r="K19" s="177"/>
      <c r="L19" s="177"/>
      <c r="M19" s="177"/>
      <c r="N19" s="177"/>
      <c r="O19" s="177"/>
      <c r="P19" s="177"/>
      <c r="Q19" s="177"/>
      <c r="R19" s="177"/>
      <c r="S19" s="177"/>
      <c r="T19" s="177"/>
      <c r="U19" s="177"/>
      <c r="V19" s="177"/>
      <c r="W19" s="177"/>
      <c r="X19" s="177"/>
      <c r="Y19" s="177"/>
      <c r="Z19" s="177"/>
      <c r="AA19" s="177"/>
    </row>
    <row r="20" spans="1:27" s="178" customFormat="1" ht="13.5" thickBot="1" x14ac:dyDescent="0.25">
      <c r="A20" s="1198"/>
      <c r="B20" s="281">
        <f>+D7</f>
        <v>2022</v>
      </c>
      <c r="C20" s="525">
        <f>+C$8-C19</f>
        <v>0</v>
      </c>
      <c r="D20" s="845">
        <v>0</v>
      </c>
      <c r="E20" s="251"/>
      <c r="F20" s="249"/>
      <c r="G20" s="244"/>
      <c r="H20" s="245">
        <f>SUM(C20:F20)</f>
        <v>0</v>
      </c>
      <c r="I20" s="177"/>
      <c r="J20" s="177"/>
      <c r="K20" s="177"/>
      <c r="L20" s="177"/>
      <c r="M20" s="177"/>
      <c r="N20" s="177"/>
      <c r="O20" s="177"/>
      <c r="P20" s="177"/>
      <c r="Q20" s="177"/>
      <c r="R20" s="177"/>
      <c r="S20" s="177"/>
      <c r="T20" s="177"/>
      <c r="U20" s="177"/>
      <c r="V20" s="177"/>
      <c r="W20" s="177"/>
      <c r="X20" s="177"/>
      <c r="Y20" s="177"/>
      <c r="Z20" s="177"/>
      <c r="AA20" s="177"/>
    </row>
    <row r="21" spans="1:27" s="178" customFormat="1" ht="13.5" thickBot="1" x14ac:dyDescent="0.25">
      <c r="A21" s="1198"/>
      <c r="B21" s="281">
        <f>+E7</f>
        <v>2023</v>
      </c>
      <c r="C21" s="251"/>
      <c r="D21" s="331">
        <f>+D$8-D20</f>
        <v>0</v>
      </c>
      <c r="E21" s="845">
        <v>0</v>
      </c>
      <c r="F21" s="249"/>
      <c r="G21" s="244"/>
      <c r="H21" s="245">
        <f>SUM(C21:F21)</f>
        <v>0</v>
      </c>
      <c r="I21" s="177"/>
      <c r="J21" s="177"/>
      <c r="K21" s="177"/>
      <c r="L21" s="177"/>
      <c r="M21" s="177"/>
      <c r="N21" s="177"/>
      <c r="O21" s="177"/>
      <c r="P21" s="177"/>
      <c r="Q21" s="177"/>
      <c r="R21" s="177"/>
      <c r="S21" s="177"/>
      <c r="T21" s="177"/>
      <c r="U21" s="177"/>
      <c r="V21" s="177"/>
      <c r="W21" s="177"/>
      <c r="X21" s="177"/>
      <c r="Y21" s="177"/>
      <c r="Z21" s="177"/>
      <c r="AA21" s="177"/>
    </row>
    <row r="22" spans="1:27" s="178" customFormat="1" ht="13.5" thickBot="1" x14ac:dyDescent="0.25">
      <c r="A22" s="1198"/>
      <c r="B22" s="281">
        <f>F7</f>
        <v>2024</v>
      </c>
      <c r="C22" s="251"/>
      <c r="D22" s="251"/>
      <c r="E22" s="331">
        <f>+E$8-E21</f>
        <v>0</v>
      </c>
      <c r="F22" s="846">
        <v>0</v>
      </c>
      <c r="G22" s="244"/>
      <c r="H22" s="245">
        <f>SUM(C22:F22)</f>
        <v>0</v>
      </c>
      <c r="I22" s="177"/>
      <c r="J22" s="177"/>
      <c r="K22" s="177"/>
      <c r="L22" s="177"/>
      <c r="M22" s="177"/>
      <c r="N22" s="177"/>
      <c r="O22" s="177"/>
      <c r="P22" s="177"/>
      <c r="Q22" s="177"/>
      <c r="R22" s="177"/>
      <c r="S22" s="177"/>
      <c r="T22" s="177"/>
      <c r="U22" s="177"/>
      <c r="V22" s="177"/>
      <c r="W22" s="177"/>
      <c r="X22" s="177"/>
      <c r="Y22" s="177"/>
      <c r="Z22" s="177"/>
      <c r="AA22" s="177"/>
    </row>
    <row r="23" spans="1:27" s="256" customFormat="1" ht="15.75" x14ac:dyDescent="0.2">
      <c r="A23" s="1199"/>
      <c r="B23" s="535" t="s">
        <v>22</v>
      </c>
      <c r="C23" s="534">
        <f>SUM(C19:C22)</f>
        <v>0</v>
      </c>
      <c r="D23" s="252">
        <f>SUM(D19:D22)</f>
        <v>0</v>
      </c>
      <c r="E23" s="252">
        <f>SUM(E19:E22)</f>
        <v>0</v>
      </c>
      <c r="F23" s="325">
        <f>SUM(F19:F22)</f>
        <v>0</v>
      </c>
      <c r="G23" s="253"/>
      <c r="H23" s="254">
        <f>SUM(H19:H22)</f>
        <v>0</v>
      </c>
      <c r="I23" s="255"/>
      <c r="J23" s="255"/>
      <c r="K23" s="255"/>
      <c r="L23" s="255"/>
      <c r="M23" s="255"/>
      <c r="N23" s="255"/>
      <c r="O23" s="255"/>
      <c r="P23" s="255"/>
      <c r="Q23" s="255"/>
      <c r="R23" s="255"/>
      <c r="S23" s="255"/>
      <c r="T23" s="255"/>
      <c r="U23" s="255"/>
      <c r="V23" s="255"/>
      <c r="W23" s="255"/>
      <c r="X23" s="255"/>
      <c r="Y23" s="255"/>
      <c r="Z23" s="255"/>
      <c r="AA23" s="255"/>
    </row>
    <row r="24" spans="1:27" s="235" customFormat="1" x14ac:dyDescent="0.2">
      <c r="A24" s="257" t="s">
        <v>34</v>
      </c>
      <c r="C24" s="258">
        <f>+C23+C34</f>
        <v>0</v>
      </c>
      <c r="D24" s="258">
        <f>+D23+D34</f>
        <v>0</v>
      </c>
      <c r="E24" s="258">
        <f>+E23+E34</f>
        <v>0</v>
      </c>
      <c r="F24" s="258">
        <f>+F23+F34</f>
        <v>0</v>
      </c>
      <c r="G24" s="258"/>
      <c r="H24" s="258">
        <f>+H23+H34</f>
        <v>0</v>
      </c>
      <c r="I24" s="258"/>
    </row>
    <row r="25" spans="1:27" s="259" customFormat="1" x14ac:dyDescent="0.2">
      <c r="A25" s="235"/>
      <c r="B25" s="235"/>
      <c r="C25" s="258"/>
      <c r="D25" s="258"/>
      <c r="E25" s="258"/>
      <c r="F25" s="258"/>
      <c r="G25" s="235"/>
      <c r="H25" s="235"/>
      <c r="I25" s="235"/>
      <c r="J25" s="235"/>
      <c r="K25" s="235"/>
      <c r="L25" s="235"/>
      <c r="M25" s="235"/>
      <c r="N25" s="235"/>
      <c r="O25" s="235"/>
      <c r="P25" s="235"/>
      <c r="Q25" s="235"/>
      <c r="R25" s="235"/>
      <c r="S25" s="235"/>
      <c r="T25" s="235"/>
      <c r="U25" s="235"/>
      <c r="V25" s="235"/>
      <c r="W25" s="235"/>
      <c r="X25" s="235"/>
      <c r="Y25" s="235"/>
      <c r="Z25" s="235"/>
      <c r="AA25" s="235"/>
    </row>
    <row r="26" spans="1:27" s="235" customFormat="1" x14ac:dyDescent="0.2">
      <c r="C26" s="258"/>
      <c r="D26" s="258"/>
      <c r="E26" s="258"/>
      <c r="F26" s="258"/>
      <c r="G26" s="258"/>
      <c r="H26" s="258"/>
    </row>
    <row r="28" spans="1:27" s="178" customFormat="1" ht="16.5" x14ac:dyDescent="0.2">
      <c r="A28" s="177"/>
      <c r="B28" s="177"/>
      <c r="C28" s="1094" t="s">
        <v>19</v>
      </c>
      <c r="D28" s="1095"/>
      <c r="E28" s="1095"/>
      <c r="F28" s="1096"/>
      <c r="G28" s="177"/>
      <c r="H28" s="237" t="s">
        <v>20</v>
      </c>
      <c r="I28" s="177"/>
      <c r="J28" s="237" t="s">
        <v>20</v>
      </c>
      <c r="K28" s="177"/>
      <c r="L28" s="177"/>
      <c r="M28" s="177"/>
      <c r="N28" s="177"/>
      <c r="O28" s="177"/>
      <c r="P28" s="177"/>
      <c r="Q28" s="177"/>
      <c r="R28" s="177"/>
      <c r="S28" s="177"/>
      <c r="T28" s="177"/>
      <c r="U28" s="177"/>
      <c r="V28" s="177"/>
      <c r="W28" s="177"/>
      <c r="X28" s="177"/>
      <c r="Y28" s="177"/>
      <c r="Z28" s="177"/>
      <c r="AA28" s="177"/>
    </row>
    <row r="29" spans="1:27" s="178" customFormat="1" x14ac:dyDescent="0.2">
      <c r="A29" s="177"/>
      <c r="B29" s="177"/>
      <c r="C29" s="239">
        <f>+C18</f>
        <v>2021</v>
      </c>
      <c r="D29" s="239">
        <f>+D18</f>
        <v>2022</v>
      </c>
      <c r="E29" s="239">
        <f>+E18</f>
        <v>2023</v>
      </c>
      <c r="F29" s="239">
        <f>+F18</f>
        <v>2024</v>
      </c>
      <c r="G29" s="177"/>
      <c r="H29" s="240" t="s">
        <v>23</v>
      </c>
      <c r="I29" s="177"/>
      <c r="J29" s="240" t="s">
        <v>24</v>
      </c>
      <c r="K29" s="177"/>
      <c r="L29" s="177"/>
      <c r="M29" s="177"/>
      <c r="N29" s="177"/>
      <c r="O29" s="177"/>
      <c r="P29" s="177"/>
      <c r="Q29" s="177"/>
      <c r="R29" s="177"/>
      <c r="S29" s="177"/>
      <c r="T29" s="177"/>
      <c r="U29" s="177"/>
      <c r="V29" s="177"/>
      <c r="W29" s="177"/>
      <c r="X29" s="177"/>
      <c r="Y29" s="177"/>
      <c r="Z29" s="177"/>
      <c r="AA29" s="177"/>
    </row>
    <row r="30" spans="1:27" s="178" customFormat="1" ht="12.75" customHeight="1" x14ac:dyDescent="0.2">
      <c r="A30" s="1200" t="s">
        <v>243</v>
      </c>
      <c r="B30" s="264">
        <f>+B19</f>
        <v>2021</v>
      </c>
      <c r="C30" s="261"/>
      <c r="D30" s="261"/>
      <c r="E30" s="261"/>
      <c r="F30" s="265"/>
      <c r="G30" s="244"/>
      <c r="H30" s="245">
        <f>SUM(C30:F30)</f>
        <v>0</v>
      </c>
      <c r="I30" s="244"/>
      <c r="J30" s="263">
        <f>SUM(H19,H30)</f>
        <v>0</v>
      </c>
      <c r="L30" s="177"/>
      <c r="M30" s="177"/>
      <c r="N30" s="177"/>
      <c r="O30" s="177"/>
      <c r="P30" s="177"/>
      <c r="Q30" s="177"/>
      <c r="R30" s="177"/>
      <c r="S30" s="177"/>
      <c r="T30" s="177"/>
      <c r="U30" s="177"/>
      <c r="V30" s="177"/>
      <c r="W30" s="177"/>
      <c r="X30" s="177"/>
      <c r="Y30" s="177"/>
      <c r="Z30" s="177"/>
      <c r="AA30" s="177"/>
    </row>
    <row r="31" spans="1:27" s="178" customFormat="1" ht="12.75" customHeight="1" x14ac:dyDescent="0.2">
      <c r="A31" s="1198"/>
      <c r="B31" s="264">
        <f>+B20</f>
        <v>2022</v>
      </c>
      <c r="C31" s="261"/>
      <c r="D31" s="261"/>
      <c r="E31" s="261"/>
      <c r="F31" s="265"/>
      <c r="G31" s="244"/>
      <c r="H31" s="245">
        <f>SUM(C31:F31)</f>
        <v>0</v>
      </c>
      <c r="I31" s="244"/>
      <c r="J31" s="263">
        <f>SUM(H20,H31)</f>
        <v>0</v>
      </c>
      <c r="K31" s="177"/>
      <c r="L31" s="177"/>
      <c r="M31" s="177"/>
      <c r="N31" s="177"/>
      <c r="O31" s="177"/>
      <c r="P31" s="177"/>
      <c r="Q31" s="177"/>
      <c r="R31" s="177"/>
      <c r="S31" s="177"/>
      <c r="T31" s="177"/>
      <c r="U31" s="177"/>
      <c r="V31" s="177"/>
      <c r="W31" s="177"/>
      <c r="X31" s="177"/>
      <c r="Y31" s="177"/>
      <c r="Z31" s="177"/>
      <c r="AA31" s="177"/>
    </row>
    <row r="32" spans="1:27" s="178" customFormat="1" ht="12.75" customHeight="1" x14ac:dyDescent="0.2">
      <c r="A32" s="1198"/>
      <c r="B32" s="264">
        <f>+B21</f>
        <v>2023</v>
      </c>
      <c r="C32" s="247">
        <f>+G55</f>
        <v>0</v>
      </c>
      <c r="D32" s="261"/>
      <c r="E32" s="261"/>
      <c r="F32" s="265"/>
      <c r="G32" s="244"/>
      <c r="H32" s="245">
        <f>SUM(C32:F32)</f>
        <v>0</v>
      </c>
      <c r="I32" s="244"/>
      <c r="J32" s="263">
        <f>SUM(H21,H32)</f>
        <v>0</v>
      </c>
      <c r="K32" s="236" t="s">
        <v>27</v>
      </c>
      <c r="L32" s="177"/>
      <c r="M32" s="177"/>
      <c r="N32" s="177"/>
      <c r="O32" s="177"/>
      <c r="P32" s="177"/>
      <c r="Q32" s="177"/>
      <c r="R32" s="177"/>
      <c r="S32" s="177"/>
      <c r="T32" s="177"/>
      <c r="U32" s="177"/>
      <c r="V32" s="177"/>
      <c r="W32" s="177"/>
      <c r="X32" s="177"/>
      <c r="Y32" s="177"/>
      <c r="Z32" s="177"/>
      <c r="AA32" s="177"/>
    </row>
    <row r="33" spans="1:27" s="178" customFormat="1" ht="12.75" customHeight="1" x14ac:dyDescent="0.2">
      <c r="A33" s="1198"/>
      <c r="B33" s="264">
        <f>+B22</f>
        <v>2024</v>
      </c>
      <c r="C33" s="247">
        <f>+G61</f>
        <v>0</v>
      </c>
      <c r="D33" s="247">
        <f>+G62</f>
        <v>0</v>
      </c>
      <c r="E33" s="261"/>
      <c r="F33" s="265"/>
      <c r="G33" s="244"/>
      <c r="H33" s="245">
        <f>SUM(C33:F33)</f>
        <v>0</v>
      </c>
      <c r="I33" s="244"/>
      <c r="J33" s="263">
        <f>SUM(H22,H33)</f>
        <v>0</v>
      </c>
      <c r="K33" s="236" t="s">
        <v>28</v>
      </c>
      <c r="L33" s="177"/>
      <c r="M33" s="177"/>
      <c r="N33" s="177"/>
      <c r="O33" s="177"/>
      <c r="P33" s="177"/>
      <c r="Q33" s="177"/>
      <c r="R33" s="177"/>
      <c r="S33" s="177"/>
      <c r="T33" s="177"/>
      <c r="U33" s="177"/>
      <c r="V33" s="177"/>
      <c r="W33" s="177"/>
      <c r="X33" s="177"/>
      <c r="Y33" s="177"/>
      <c r="Z33" s="177"/>
      <c r="AA33" s="177"/>
    </row>
    <row r="34" spans="1:27" s="256" customFormat="1" ht="16.5" customHeight="1" x14ac:dyDescent="0.2">
      <c r="A34" s="1199"/>
      <c r="B34" s="326" t="s">
        <v>22</v>
      </c>
      <c r="C34" s="266">
        <f>SUM(C30:C33)</f>
        <v>0</v>
      </c>
      <c r="D34" s="266">
        <f>SUM(D30:D33)</f>
        <v>0</v>
      </c>
      <c r="E34" s="266">
        <f>SUM(E30:E33)</f>
        <v>0</v>
      </c>
      <c r="F34" s="266">
        <f>SUM(F30:F33)</f>
        <v>0</v>
      </c>
      <c r="G34" s="244"/>
      <c r="H34" s="254">
        <f>SUM(H30:H33)</f>
        <v>0</v>
      </c>
      <c r="I34" s="253"/>
      <c r="J34" s="254">
        <f>SUM(J30:J33)</f>
        <v>0</v>
      </c>
      <c r="K34" s="255"/>
      <c r="L34" s="255"/>
      <c r="M34" s="255"/>
      <c r="N34" s="255"/>
      <c r="O34" s="255"/>
      <c r="P34" s="255"/>
      <c r="Q34" s="255"/>
      <c r="R34" s="255"/>
      <c r="S34" s="255"/>
      <c r="T34" s="255"/>
      <c r="U34" s="255"/>
      <c r="V34" s="255"/>
      <c r="W34" s="255"/>
      <c r="X34" s="255"/>
      <c r="Y34" s="255"/>
      <c r="Z34" s="255"/>
      <c r="AA34" s="255"/>
    </row>
    <row r="35" spans="1:27" x14ac:dyDescent="0.2">
      <c r="G35" s="244"/>
    </row>
    <row r="36" spans="1:27" ht="13.5" thickBot="1" x14ac:dyDescent="0.25">
      <c r="G36" s="244"/>
    </row>
    <row r="37" spans="1:27" s="178" customFormat="1" ht="21.75" customHeight="1" thickBot="1" x14ac:dyDescent="0.25">
      <c r="A37" s="1077" t="s">
        <v>142</v>
      </c>
      <c r="B37" s="1078"/>
      <c r="C37" s="1078"/>
      <c r="D37" s="1078"/>
      <c r="E37" s="1078"/>
      <c r="F37" s="1078"/>
      <c r="G37" s="1078"/>
      <c r="H37" s="1078"/>
      <c r="I37" s="1078"/>
      <c r="J37" s="1079"/>
      <c r="K37" s="177"/>
      <c r="L37" s="177"/>
      <c r="M37" s="177"/>
      <c r="N37" s="177"/>
      <c r="O37" s="177"/>
      <c r="P37" s="177"/>
      <c r="Q37" s="177"/>
      <c r="R37" s="177"/>
      <c r="S37" s="177"/>
      <c r="T37" s="177"/>
      <c r="U37" s="177"/>
      <c r="V37" s="177"/>
      <c r="W37" s="177"/>
      <c r="X37" s="177"/>
      <c r="Y37" s="177"/>
      <c r="Z37" s="177"/>
      <c r="AA37" s="177"/>
    </row>
    <row r="41" spans="1:27" ht="16.5" x14ac:dyDescent="0.2">
      <c r="C41" s="1094" t="s">
        <v>19</v>
      </c>
      <c r="D41" s="1095"/>
      <c r="E41" s="1095"/>
      <c r="F41" s="1096"/>
    </row>
    <row r="42" spans="1:27" x14ac:dyDescent="0.2">
      <c r="C42" s="239">
        <f>+C29</f>
        <v>2021</v>
      </c>
      <c r="D42" s="239">
        <f>+D29</f>
        <v>2022</v>
      </c>
      <c r="E42" s="239">
        <f>+E29</f>
        <v>2023</v>
      </c>
      <c r="F42" s="239">
        <f>+F29</f>
        <v>2024</v>
      </c>
      <c r="H42" s="93" t="s">
        <v>20</v>
      </c>
    </row>
    <row r="43" spans="1:27" ht="13.5" customHeight="1" x14ac:dyDescent="0.2">
      <c r="A43" s="1197" t="s">
        <v>366</v>
      </c>
      <c r="B43" s="239">
        <f t="shared" ref="B43:B46" si="2">+B30</f>
        <v>2021</v>
      </c>
      <c r="C43" s="247">
        <f>+C19</f>
        <v>0</v>
      </c>
      <c r="D43" s="261"/>
      <c r="E43" s="261"/>
      <c r="F43" s="271"/>
      <c r="H43" s="269">
        <f>SUM(C43:F43)</f>
        <v>0</v>
      </c>
    </row>
    <row r="44" spans="1:27" ht="13.5" customHeight="1" x14ac:dyDescent="0.2">
      <c r="A44" s="1198"/>
      <c r="B44" s="239">
        <f t="shared" si="2"/>
        <v>2022</v>
      </c>
      <c r="C44" s="247">
        <f>+C43+C31+C20</f>
        <v>0</v>
      </c>
      <c r="D44" s="247">
        <f>+D20</f>
        <v>0</v>
      </c>
      <c r="E44" s="261"/>
      <c r="F44" s="271"/>
      <c r="H44" s="269">
        <f>SUM(C44:F44)</f>
        <v>0</v>
      </c>
    </row>
    <row r="45" spans="1:27" ht="13.5" customHeight="1" x14ac:dyDescent="0.2">
      <c r="A45" s="1198"/>
      <c r="B45" s="239">
        <f t="shared" si="2"/>
        <v>2023</v>
      </c>
      <c r="C45" s="247">
        <f>+C44+C32+C21</f>
        <v>0</v>
      </c>
      <c r="D45" s="247">
        <f>+D44+D32+D21</f>
        <v>0</v>
      </c>
      <c r="E45" s="247">
        <f>+E21</f>
        <v>0</v>
      </c>
      <c r="F45" s="265"/>
      <c r="H45" s="269">
        <f>SUM(C45:F45)</f>
        <v>0</v>
      </c>
    </row>
    <row r="46" spans="1:27" ht="13.5" customHeight="1" x14ac:dyDescent="0.2">
      <c r="A46" s="1199"/>
      <c r="B46" s="239">
        <f t="shared" si="2"/>
        <v>2024</v>
      </c>
      <c r="C46" s="247">
        <f>+C45+C33+C22</f>
        <v>0</v>
      </c>
      <c r="D46" s="247">
        <f>+D45+D33+D22</f>
        <v>0</v>
      </c>
      <c r="E46" s="247">
        <f>+E45+E33+E22</f>
        <v>0</v>
      </c>
      <c r="F46" s="247">
        <f>+F22</f>
        <v>0</v>
      </c>
      <c r="H46" s="269">
        <f>SUM(C46:F46)</f>
        <v>0</v>
      </c>
    </row>
    <row r="48" spans="1:27" ht="13.5" thickBot="1" x14ac:dyDescent="0.25"/>
    <row r="49" spans="1:13" ht="20.25" customHeight="1" thickBot="1" x14ac:dyDescent="0.25">
      <c r="A49" s="1077" t="s">
        <v>376</v>
      </c>
      <c r="B49" s="1078"/>
      <c r="C49" s="1078"/>
      <c r="D49" s="1078"/>
      <c r="E49" s="1078"/>
      <c r="F49" s="1078"/>
      <c r="G49" s="1078"/>
      <c r="H49" s="1078"/>
      <c r="I49" s="1078"/>
      <c r="J49" s="1079"/>
    </row>
    <row r="50" spans="1:13" x14ac:dyDescent="0.2">
      <c r="A50" s="166"/>
      <c r="B50" s="166"/>
      <c r="C50" s="166"/>
      <c r="D50" s="166"/>
      <c r="E50" s="166"/>
      <c r="F50" s="166"/>
      <c r="G50" s="166"/>
      <c r="H50" s="166"/>
      <c r="I50" s="166"/>
      <c r="J50" s="166"/>
      <c r="K50" s="166"/>
      <c r="L50" s="206"/>
      <c r="M50" s="166"/>
    </row>
    <row r="51" spans="1:13" s="166" customFormat="1" x14ac:dyDescent="0.2">
      <c r="G51" s="214"/>
    </row>
    <row r="52" spans="1:13" s="166" customFormat="1" x14ac:dyDescent="0.2">
      <c r="A52" s="273" t="s">
        <v>139</v>
      </c>
      <c r="E52" s="810">
        <v>2023</v>
      </c>
      <c r="G52" s="214"/>
    </row>
    <row r="53" spans="1:13" s="166" customFormat="1" x14ac:dyDescent="0.2">
      <c r="G53" s="214"/>
    </row>
    <row r="54" spans="1:13" s="166" customFormat="1" ht="102" customHeight="1" x14ac:dyDescent="0.2">
      <c r="A54" s="1101" t="s">
        <v>140</v>
      </c>
      <c r="B54" s="1102"/>
      <c r="C54" s="1102"/>
      <c r="D54" s="1103"/>
      <c r="E54" s="274"/>
      <c r="F54" s="165" t="str">
        <f>"Nog af te bouwen regulatoir saldo einde "&amp;E52-1</f>
        <v>Nog af te bouwen regulatoir saldo einde 2022</v>
      </c>
      <c r="G54" s="165" t="str">
        <f>"50% van het oorspronkelijk regulatoir saldo door te rekenen volgens de tariefmethodologie in het boekjaar "&amp;E52</f>
        <v>50% van het oorspronkelijk regulatoir saldo door te rekenen volgens de tariefmethodologie in het boekjaar 2023</v>
      </c>
      <c r="H54" s="165" t="str">
        <f>"Nog af te bouwen regulatoir saldo einde "&amp;E52</f>
        <v>Nog af te bouwen regulatoir saldo einde 2023</v>
      </c>
      <c r="I54" s="206"/>
    </row>
    <row r="55" spans="1:13" s="166" customFormat="1" x14ac:dyDescent="0.2">
      <c r="A55" s="1104">
        <v>2021</v>
      </c>
      <c r="B55" s="1105"/>
      <c r="C55" s="1105"/>
      <c r="D55" s="1106"/>
      <c r="E55" s="275"/>
      <c r="F55" s="176">
        <f>+C19+C20</f>
        <v>0</v>
      </c>
      <c r="G55" s="521">
        <f t="shared" ref="G55" si="3">-F55*0.5</f>
        <v>0</v>
      </c>
      <c r="H55" s="176">
        <f t="shared" ref="H55" si="4">+F55+G55</f>
        <v>0</v>
      </c>
      <c r="I55" s="206"/>
    </row>
    <row r="56" spans="1:13" s="273" customFormat="1" x14ac:dyDescent="0.2">
      <c r="F56" s="276">
        <f>SUM(F55:F55)</f>
        <v>0</v>
      </c>
      <c r="G56" s="168">
        <f>SUM(G55:G55)</f>
        <v>0</v>
      </c>
      <c r="H56" s="276">
        <f>SUM(H55:H55)</f>
        <v>0</v>
      </c>
    </row>
    <row r="57" spans="1:13" s="166" customFormat="1" x14ac:dyDescent="0.2">
      <c r="G57" s="214"/>
    </row>
    <row r="58" spans="1:13" s="166" customFormat="1" x14ac:dyDescent="0.2">
      <c r="A58" s="273" t="s">
        <v>139</v>
      </c>
      <c r="E58" s="810">
        <v>2024</v>
      </c>
      <c r="G58" s="214"/>
    </row>
    <row r="59" spans="1:13" s="166" customFormat="1" x14ac:dyDescent="0.2">
      <c r="G59" s="214"/>
    </row>
    <row r="60" spans="1:13" s="166" customFormat="1" ht="102" customHeight="1" x14ac:dyDescent="0.2">
      <c r="A60" s="1101" t="s">
        <v>140</v>
      </c>
      <c r="B60" s="1102"/>
      <c r="C60" s="1102"/>
      <c r="D60" s="1103"/>
      <c r="E60" s="274"/>
      <c r="F60" s="165" t="str">
        <f>"Nog af te bouwen regulatoir saldo einde "&amp;E58-1</f>
        <v>Nog af te bouwen regulatoir saldo einde 2023</v>
      </c>
      <c r="G60" s="165" t="str">
        <f>"50% van het oorspronkelijk regulatoir saldo door te rekenen volgens de tariefmethodologie in het boekjaar "&amp;E58</f>
        <v>50% van het oorspronkelijk regulatoir saldo door te rekenen volgens de tariefmethodologie in het boekjaar 2024</v>
      </c>
      <c r="H60" s="165" t="str">
        <f>"Nog af te bouwen regulatoir saldo einde "&amp;E58</f>
        <v>Nog af te bouwen regulatoir saldo einde 2024</v>
      </c>
      <c r="I60" s="206"/>
    </row>
    <row r="61" spans="1:13" s="166" customFormat="1" x14ac:dyDescent="0.2">
      <c r="A61" s="1104">
        <v>2021</v>
      </c>
      <c r="B61" s="1105"/>
      <c r="C61" s="1105"/>
      <c r="D61" s="1106"/>
      <c r="E61" s="275"/>
      <c r="F61" s="176">
        <f>+H55</f>
        <v>0</v>
      </c>
      <c r="G61" s="521">
        <f>-F55*0.5</f>
        <v>0</v>
      </c>
      <c r="H61" s="176">
        <f t="shared" ref="H61:H62" si="5">+F61+G61</f>
        <v>0</v>
      </c>
      <c r="I61" s="206"/>
    </row>
    <row r="62" spans="1:13" s="166" customFormat="1" x14ac:dyDescent="0.2">
      <c r="A62" s="1104">
        <v>2022</v>
      </c>
      <c r="B62" s="1105"/>
      <c r="C62" s="1105"/>
      <c r="D62" s="1106"/>
      <c r="E62" s="275"/>
      <c r="F62" s="176">
        <f>+D20+D21</f>
        <v>0</v>
      </c>
      <c r="G62" s="521">
        <f t="shared" ref="G62" si="6">-F62*0.5</f>
        <v>0</v>
      </c>
      <c r="H62" s="176">
        <f t="shared" si="5"/>
        <v>0</v>
      </c>
      <c r="I62" s="206"/>
    </row>
    <row r="63" spans="1:13" s="273" customFormat="1" x14ac:dyDescent="0.2">
      <c r="F63" s="276">
        <f>SUM(F61:F62)</f>
        <v>0</v>
      </c>
      <c r="G63" s="168">
        <f>SUM(G61:G62)</f>
        <v>0</v>
      </c>
      <c r="H63" s="276">
        <f>SUM(H61:H62)</f>
        <v>0</v>
      </c>
    </row>
    <row r="64" spans="1:13" x14ac:dyDescent="0.2">
      <c r="A64" s="166"/>
      <c r="B64" s="166"/>
      <c r="C64" s="166"/>
      <c r="D64" s="166"/>
      <c r="E64" s="166"/>
      <c r="F64" s="166"/>
      <c r="G64" s="166"/>
      <c r="H64" s="166"/>
      <c r="I64" s="166"/>
      <c r="J64" s="166"/>
      <c r="K64" s="203"/>
      <c r="L64" s="166"/>
    </row>
    <row r="65" spans="1:13" x14ac:dyDescent="0.2">
      <c r="A65" s="166"/>
      <c r="B65" s="166"/>
      <c r="C65" s="166"/>
      <c r="D65" s="166"/>
      <c r="E65" s="166"/>
      <c r="F65" s="166"/>
      <c r="G65" s="166"/>
      <c r="H65" s="166"/>
      <c r="I65" s="166"/>
      <c r="J65" s="166"/>
      <c r="K65" s="166"/>
      <c r="L65" s="203"/>
      <c r="M65" s="166"/>
    </row>
    <row r="66" spans="1:13" x14ac:dyDescent="0.2">
      <c r="A66" s="273" t="s">
        <v>141</v>
      </c>
      <c r="B66" s="216"/>
      <c r="C66" s="216"/>
      <c r="D66" s="216"/>
      <c r="E66" s="166"/>
      <c r="F66" s="166"/>
      <c r="G66" s="166"/>
      <c r="H66" s="166"/>
      <c r="I66" s="166"/>
      <c r="J66" s="166"/>
      <c r="K66" s="166"/>
      <c r="L66" s="203"/>
      <c r="M66" s="166"/>
    </row>
    <row r="67" spans="1:13" x14ac:dyDescent="0.2">
      <c r="A67" s="273"/>
      <c r="B67" s="216"/>
      <c r="C67" s="216"/>
      <c r="D67" s="216"/>
      <c r="E67" s="166"/>
      <c r="F67" s="166"/>
      <c r="G67" s="166"/>
      <c r="H67" s="166"/>
      <c r="I67" s="166"/>
      <c r="J67" s="166"/>
      <c r="K67" s="166"/>
      <c r="L67" s="203"/>
      <c r="M67" s="166"/>
    </row>
    <row r="68" spans="1:13" x14ac:dyDescent="0.2">
      <c r="A68" s="336">
        <v>2021</v>
      </c>
      <c r="B68" s="337">
        <v>0</v>
      </c>
      <c r="C68" s="216"/>
      <c r="D68" s="216"/>
      <c r="E68" s="166"/>
      <c r="F68" s="166"/>
      <c r="G68" s="166"/>
      <c r="H68" s="166"/>
      <c r="I68" s="166"/>
      <c r="J68" s="166"/>
      <c r="K68" s="166"/>
      <c r="L68" s="203"/>
      <c r="M68" s="166"/>
    </row>
    <row r="69" spans="1:13" x14ac:dyDescent="0.2">
      <c r="A69" s="336">
        <v>2022</v>
      </c>
      <c r="B69" s="337">
        <v>0</v>
      </c>
      <c r="C69" s="216"/>
      <c r="D69" s="216"/>
      <c r="E69" s="166"/>
      <c r="F69" s="166"/>
      <c r="G69" s="166"/>
      <c r="H69" s="166"/>
      <c r="I69" s="166"/>
      <c r="J69" s="166"/>
      <c r="K69" s="166"/>
      <c r="L69" s="203"/>
      <c r="M69" s="166"/>
    </row>
    <row r="70" spans="1:13" x14ac:dyDescent="0.2">
      <c r="A70" s="275">
        <v>2023</v>
      </c>
      <c r="B70" s="279">
        <f>+G56</f>
        <v>0</v>
      </c>
    </row>
    <row r="71" spans="1:13" x14ac:dyDescent="0.2">
      <c r="A71" s="275">
        <v>2024</v>
      </c>
      <c r="B71" s="279">
        <f>+G63</f>
        <v>0</v>
      </c>
    </row>
  </sheetData>
  <sheetProtection algorithmName="SHA-512" hashValue="uqyCmhjuZmnRDRZeLKo3b0P1nbkYwvWJgi+Y3Iu9rj0boOOQrI2FOh4mDLn5GhGeZqFCA6CmtrxAEBaM4ZG88Q==" saltValue="2ow43Wjw3DanUE/SQ1jG/A==" spinCount="100000" sheet="1" objects="1" scenarios="1"/>
  <mergeCells count="18">
    <mergeCell ref="A1:J1"/>
    <mergeCell ref="A60:D60"/>
    <mergeCell ref="A61:D61"/>
    <mergeCell ref="A62:D62"/>
    <mergeCell ref="A4:J4"/>
    <mergeCell ref="A54:D54"/>
    <mergeCell ref="A55:D55"/>
    <mergeCell ref="A49:J49"/>
    <mergeCell ref="A19:A23"/>
    <mergeCell ref="C28:F28"/>
    <mergeCell ref="A30:A34"/>
    <mergeCell ref="A37:J37"/>
    <mergeCell ref="C41:F41"/>
    <mergeCell ref="A43:A46"/>
    <mergeCell ref="C6:F6"/>
    <mergeCell ref="A13:J13"/>
    <mergeCell ref="C17:F17"/>
    <mergeCell ref="A18:B18"/>
  </mergeCells>
  <pageMargins left="0.78740157480314965" right="0.78740157480314965" top="0.98425196850393704" bottom="0.98425196850393704" header="0.51181102362204722" footer="0.51181102362204722"/>
  <pageSetup paperSize="8" scale="71" orientation="landscape" r:id="rId1"/>
  <headerFooter alignWithMargins="0">
    <oddFooter>&amp;CPage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E8C5-4723-4A05-9272-3E6FCF1421D1}">
  <sheetPr published="0" codeName="Blad20">
    <tabColor theme="6" tint="0.59999389629810485"/>
  </sheetPr>
  <dimension ref="A1"/>
  <sheetViews>
    <sheetView workbookViewId="0">
      <selection activeCell="S26" sqref="S26"/>
    </sheetView>
  </sheetViews>
  <sheetFormatPr defaultColWidth="8.7109375" defaultRowHeight="12.75" x14ac:dyDescent="0.2"/>
  <cols>
    <col min="1" max="16384" width="8.7109375" style="195"/>
  </cols>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BF1B-EEC6-4B5E-AF15-EC56F417B360}">
  <sheetPr>
    <pageSetUpPr fitToPage="1"/>
  </sheetPr>
  <dimension ref="A1:U823"/>
  <sheetViews>
    <sheetView topLeftCell="A7" zoomScaleNormal="100" workbookViewId="0">
      <selection activeCell="A34" sqref="A34"/>
    </sheetView>
  </sheetViews>
  <sheetFormatPr defaultColWidth="9.140625" defaultRowHeight="12.75" x14ac:dyDescent="0.2"/>
  <cols>
    <col min="1" max="1" width="65.140625" style="863" customWidth="1"/>
    <col min="2" max="3" width="25.7109375" style="863" customWidth="1"/>
    <col min="4" max="31" width="9.140625" style="863"/>
    <col min="32" max="32" width="13.5703125" style="863" customWidth="1"/>
    <col min="33" max="16384" width="9.140625" style="863"/>
  </cols>
  <sheetData>
    <row r="1" spans="1:21" s="858" customFormat="1" ht="16.5" thickBot="1" x14ac:dyDescent="0.25">
      <c r="A1" s="1205" t="s">
        <v>403</v>
      </c>
      <c r="B1" s="1206"/>
      <c r="C1" s="1206"/>
      <c r="D1" s="1206"/>
      <c r="E1" s="1207"/>
      <c r="F1" s="856"/>
      <c r="G1" s="856"/>
      <c r="H1" s="856"/>
      <c r="I1" s="856"/>
      <c r="J1" s="856"/>
      <c r="K1" s="856"/>
      <c r="L1" s="856"/>
      <c r="M1" s="857"/>
      <c r="N1" s="857"/>
      <c r="O1" s="857"/>
      <c r="P1" s="857"/>
      <c r="Q1" s="857"/>
      <c r="R1" s="857"/>
      <c r="S1" s="857"/>
      <c r="T1" s="857"/>
      <c r="U1" s="857"/>
    </row>
    <row r="2" spans="1:21" s="489" customFormat="1" ht="13.5" thickBot="1" x14ac:dyDescent="0.25">
      <c r="M2" s="121"/>
      <c r="N2" s="121"/>
      <c r="O2" s="121"/>
      <c r="P2" s="121"/>
      <c r="Q2" s="121"/>
      <c r="R2" s="121"/>
      <c r="S2" s="121"/>
      <c r="T2" s="121"/>
      <c r="U2" s="121"/>
    </row>
    <row r="3" spans="1:21" s="489" customFormat="1" ht="13.5" thickBot="1" x14ac:dyDescent="0.25">
      <c r="A3" s="489" t="s">
        <v>12</v>
      </c>
      <c r="B3" s="859" t="s">
        <v>13</v>
      </c>
      <c r="C3" s="860">
        <f>+TITELBLAD!E13</f>
        <v>2021</v>
      </c>
      <c r="M3" s="121"/>
      <c r="N3" s="121"/>
      <c r="O3" s="121"/>
      <c r="P3" s="121"/>
      <c r="Q3" s="121"/>
      <c r="R3" s="121"/>
      <c r="S3" s="121"/>
      <c r="T3" s="121"/>
      <c r="U3" s="121"/>
    </row>
    <row r="4" spans="1:21" s="489" customFormat="1" ht="13.5" thickBot="1" x14ac:dyDescent="0.25">
      <c r="B4" s="859" t="s">
        <v>14</v>
      </c>
      <c r="C4" s="860">
        <f>+TITELBLAD!E14</f>
        <v>2024</v>
      </c>
      <c r="M4" s="121"/>
      <c r="N4" s="121"/>
      <c r="O4" s="121"/>
      <c r="P4" s="121"/>
      <c r="Q4" s="121"/>
      <c r="R4" s="121"/>
      <c r="S4" s="121"/>
      <c r="T4" s="121"/>
      <c r="U4" s="121"/>
    </row>
    <row r="5" spans="1:21" s="489" customFormat="1" ht="13.5" thickBot="1" x14ac:dyDescent="0.25">
      <c r="B5" s="859"/>
      <c r="M5" s="121"/>
      <c r="N5" s="121"/>
      <c r="O5" s="121"/>
      <c r="P5" s="121"/>
      <c r="Q5" s="121"/>
      <c r="R5" s="121"/>
      <c r="S5" s="121"/>
      <c r="T5" s="121"/>
      <c r="U5" s="121"/>
    </row>
    <row r="6" spans="1:21" s="489" customFormat="1" ht="13.5" thickBot="1" x14ac:dyDescent="0.25">
      <c r="A6" s="489" t="s">
        <v>87</v>
      </c>
      <c r="B6" s="861">
        <f>+TITELBLAD!E16</f>
        <v>2022</v>
      </c>
      <c r="C6" s="860" t="str">
        <f>+TITELBLAD!F16</f>
        <v>ex-ante</v>
      </c>
      <c r="M6" s="121"/>
      <c r="N6" s="121"/>
      <c r="O6" s="121"/>
      <c r="P6" s="121"/>
      <c r="Q6" s="121"/>
      <c r="R6" s="121"/>
      <c r="S6" s="121"/>
      <c r="T6" s="121"/>
      <c r="U6" s="121"/>
    </row>
    <row r="7" spans="1:21" s="489" customFormat="1" x14ac:dyDescent="0.2">
      <c r="M7" s="121"/>
      <c r="N7" s="121"/>
      <c r="O7" s="121"/>
      <c r="P7" s="121"/>
      <c r="Q7" s="121"/>
      <c r="R7" s="121"/>
      <c r="S7" s="121"/>
      <c r="T7" s="121"/>
      <c r="U7" s="121"/>
    </row>
    <row r="8" spans="1:21" s="489" customFormat="1" x14ac:dyDescent="0.2">
      <c r="M8" s="121"/>
      <c r="N8" s="121"/>
      <c r="O8" s="121"/>
      <c r="P8" s="121"/>
      <c r="Q8" s="121"/>
      <c r="R8" s="121"/>
      <c r="S8" s="121"/>
      <c r="T8" s="121"/>
      <c r="U8" s="121"/>
    </row>
    <row r="9" spans="1:21" s="489" customFormat="1" ht="13.5" thickBot="1" x14ac:dyDescent="0.25">
      <c r="A9" s="489" t="s">
        <v>15</v>
      </c>
      <c r="M9" s="121"/>
      <c r="N9" s="121"/>
      <c r="O9" s="121"/>
      <c r="P9" s="121"/>
      <c r="Q9" s="121"/>
      <c r="R9" s="121"/>
      <c r="S9" s="121"/>
      <c r="T9" s="121"/>
      <c r="U9" s="121"/>
    </row>
    <row r="10" spans="1:21" ht="13.5" thickBot="1" x14ac:dyDescent="0.25">
      <c r="A10" s="1201" t="str">
        <f>+TITELBLAD!C7</f>
        <v>NAAM DNB</v>
      </c>
      <c r="B10" s="1202"/>
      <c r="C10" s="489"/>
      <c r="D10" s="489"/>
      <c r="E10" s="489"/>
      <c r="F10" s="489"/>
      <c r="G10" s="489"/>
      <c r="H10" s="489"/>
      <c r="I10" s="489"/>
      <c r="J10" s="489"/>
      <c r="K10" s="489"/>
      <c r="L10" s="489"/>
      <c r="M10" s="121"/>
      <c r="N10" s="121"/>
      <c r="O10" s="121"/>
      <c r="P10" s="862"/>
      <c r="Q10" s="862"/>
      <c r="R10" s="862"/>
      <c r="S10" s="862"/>
      <c r="T10" s="862"/>
      <c r="U10" s="862"/>
    </row>
    <row r="11" spans="1:21" s="489" customFormat="1" x14ac:dyDescent="0.2">
      <c r="M11" s="121"/>
      <c r="N11" s="121"/>
      <c r="O11" s="121"/>
      <c r="P11" s="121"/>
      <c r="Q11" s="121"/>
      <c r="R11" s="121"/>
      <c r="S11" s="121"/>
      <c r="T11" s="121"/>
      <c r="U11" s="121"/>
    </row>
    <row r="12" spans="1:21" s="489" customFormat="1" ht="13.5" thickBot="1" x14ac:dyDescent="0.25">
      <c r="A12" s="489" t="s">
        <v>256</v>
      </c>
      <c r="M12" s="121"/>
      <c r="N12" s="121"/>
      <c r="O12" s="121"/>
      <c r="P12" s="121"/>
      <c r="Q12" s="121"/>
      <c r="R12" s="121"/>
      <c r="S12" s="121"/>
      <c r="T12" s="121"/>
      <c r="U12" s="121"/>
    </row>
    <row r="13" spans="1:21" ht="13.5" thickBot="1" x14ac:dyDescent="0.25">
      <c r="A13" s="1201" t="str">
        <f>+TITELBLAD!C10</f>
        <v>gas</v>
      </c>
      <c r="B13" s="1202"/>
      <c r="C13" s="489"/>
      <c r="D13" s="489"/>
      <c r="E13" s="489"/>
      <c r="F13" s="489"/>
      <c r="G13" s="489"/>
      <c r="H13" s="489"/>
      <c r="I13" s="489"/>
      <c r="J13" s="489"/>
      <c r="K13" s="489"/>
      <c r="L13" s="489"/>
      <c r="M13" s="121"/>
      <c r="N13" s="121"/>
      <c r="O13" s="121"/>
      <c r="P13" s="862"/>
      <c r="Q13" s="862"/>
      <c r="R13" s="862"/>
      <c r="S13" s="862"/>
      <c r="T13" s="862"/>
      <c r="U13" s="862"/>
    </row>
    <row r="14" spans="1:21" s="489" customFormat="1" x14ac:dyDescent="0.2">
      <c r="M14" s="121"/>
      <c r="N14" s="121"/>
      <c r="O14" s="121"/>
      <c r="P14" s="121"/>
      <c r="Q14" s="121"/>
      <c r="R14" s="121"/>
      <c r="S14" s="121"/>
      <c r="T14" s="121"/>
      <c r="U14" s="121"/>
    </row>
    <row r="15" spans="1:21" s="489" customFormat="1" x14ac:dyDescent="0.2">
      <c r="D15" s="864"/>
      <c r="M15" s="121"/>
      <c r="N15" s="121"/>
      <c r="O15" s="121"/>
      <c r="P15" s="121"/>
      <c r="Q15" s="121"/>
      <c r="R15" s="121"/>
      <c r="S15" s="121"/>
      <c r="T15" s="121"/>
      <c r="U15" s="121"/>
    </row>
    <row r="16" spans="1:21" s="489" customFormat="1" x14ac:dyDescent="0.2">
      <c r="A16" s="865" t="s">
        <v>421</v>
      </c>
      <c r="D16" s="864"/>
      <c r="E16" s="864"/>
      <c r="F16" s="864"/>
      <c r="M16" s="121"/>
      <c r="N16" s="121"/>
      <c r="O16" s="121"/>
      <c r="P16" s="121"/>
      <c r="Q16" s="121"/>
      <c r="R16" s="121"/>
      <c r="S16" s="121"/>
      <c r="T16" s="121"/>
      <c r="U16" s="121"/>
    </row>
    <row r="17" spans="1:21" s="489" customFormat="1" x14ac:dyDescent="0.2">
      <c r="M17" s="121"/>
      <c r="N17" s="121"/>
      <c r="O17" s="121"/>
      <c r="P17" s="121"/>
      <c r="Q17" s="121"/>
      <c r="R17" s="121"/>
      <c r="S17" s="121"/>
      <c r="T17" s="121"/>
      <c r="U17" s="121"/>
    </row>
    <row r="18" spans="1:21" s="489" customFormat="1" x14ac:dyDescent="0.2">
      <c r="B18" s="866" t="s">
        <v>0</v>
      </c>
      <c r="C18" s="867" t="s">
        <v>1</v>
      </c>
      <c r="M18" s="121"/>
      <c r="N18" s="121"/>
      <c r="O18" s="121"/>
      <c r="P18" s="121"/>
      <c r="Q18" s="121"/>
      <c r="R18" s="121"/>
      <c r="S18" s="121"/>
      <c r="T18" s="121"/>
      <c r="U18" s="121"/>
    </row>
    <row r="19" spans="1:21" s="489" customFormat="1" x14ac:dyDescent="0.2">
      <c r="A19" s="868" t="s">
        <v>17</v>
      </c>
      <c r="B19" s="869">
        <f>+B6</f>
        <v>2022</v>
      </c>
      <c r="C19" s="870">
        <f>+B6</f>
        <v>2022</v>
      </c>
      <c r="M19" s="121"/>
      <c r="N19" s="121"/>
      <c r="O19" s="121"/>
      <c r="P19" s="121"/>
      <c r="Q19" s="121"/>
      <c r="R19" s="121"/>
      <c r="S19" s="121"/>
      <c r="T19" s="121"/>
      <c r="U19" s="121"/>
    </row>
    <row r="20" spans="1:21" s="489" customFormat="1" ht="33" customHeight="1" x14ac:dyDescent="0.2">
      <c r="A20" s="871" t="s">
        <v>247</v>
      </c>
      <c r="B20" s="872">
        <f>+'T10'!C15</f>
        <v>0</v>
      </c>
      <c r="C20" s="873">
        <f>+'T10'!D15</f>
        <v>0</v>
      </c>
    </row>
    <row r="21" spans="1:21" s="489" customFormat="1" ht="33" customHeight="1" x14ac:dyDescent="0.2">
      <c r="A21" s="874" t="s">
        <v>423</v>
      </c>
      <c r="B21" s="872">
        <f>+'T11'!C14</f>
        <v>0</v>
      </c>
      <c r="C21" s="873">
        <f>+'T11'!D14</f>
        <v>0</v>
      </c>
    </row>
    <row r="22" spans="1:21" s="489" customFormat="1" ht="33" customHeight="1" x14ac:dyDescent="0.2">
      <c r="A22" s="875" t="s">
        <v>248</v>
      </c>
      <c r="B22" s="872">
        <f>+'T12'!D21</f>
        <v>0</v>
      </c>
      <c r="C22" s="873">
        <f>+'T12'!E21</f>
        <v>0</v>
      </c>
    </row>
    <row r="23" spans="1:21" s="489" customFormat="1" x14ac:dyDescent="0.2">
      <c r="A23" s="875"/>
      <c r="B23" s="872"/>
      <c r="C23" s="873"/>
    </row>
    <row r="24" spans="1:21" s="489" customFormat="1" ht="32.1" customHeight="1" x14ac:dyDescent="0.2">
      <c r="A24" s="876" t="s">
        <v>379</v>
      </c>
      <c r="B24" s="877">
        <f>+SUM(B20:B22)</f>
        <v>0</v>
      </c>
      <c r="C24" s="878">
        <f>+SUM(C20:C22)</f>
        <v>0</v>
      </c>
    </row>
    <row r="25" spans="1:21" s="489" customFormat="1" x14ac:dyDescent="0.2">
      <c r="A25" s="879"/>
      <c r="B25" s="880"/>
      <c r="C25" s="881"/>
    </row>
    <row r="26" spans="1:21" s="489" customFormat="1" ht="32.1" customHeight="1" x14ac:dyDescent="0.2">
      <c r="A26" s="1203" t="s">
        <v>249</v>
      </c>
      <c r="B26" s="1204"/>
      <c r="C26" s="878">
        <f>+C24-B24</f>
        <v>0</v>
      </c>
    </row>
    <row r="27" spans="1:21" s="489" customFormat="1" x14ac:dyDescent="0.2">
      <c r="C27" s="295" t="s">
        <v>68</v>
      </c>
    </row>
    <row r="28" spans="1:21" s="489" customFormat="1" x14ac:dyDescent="0.2">
      <c r="C28" s="295" t="s">
        <v>69</v>
      </c>
    </row>
    <row r="29" spans="1:21" s="489" customFormat="1" x14ac:dyDescent="0.2"/>
    <row r="30" spans="1:21" s="489" customFormat="1" x14ac:dyDescent="0.2"/>
    <row r="31" spans="1:21" s="489" customFormat="1" x14ac:dyDescent="0.2">
      <c r="B31" s="866" t="s">
        <v>0</v>
      </c>
      <c r="C31" s="867" t="s">
        <v>1</v>
      </c>
    </row>
    <row r="32" spans="1:21" s="489" customFormat="1" x14ac:dyDescent="0.2">
      <c r="A32" s="868" t="s">
        <v>17</v>
      </c>
      <c r="B32" s="869">
        <f>+B19</f>
        <v>2022</v>
      </c>
      <c r="C32" s="870">
        <f>+C19</f>
        <v>2022</v>
      </c>
    </row>
    <row r="33" spans="1:3" s="489" customFormat="1" ht="33" customHeight="1" x14ac:dyDescent="0.2">
      <c r="A33" s="871" t="s">
        <v>434</v>
      </c>
      <c r="B33" s="882">
        <f>IF(A13="elektriciteit",T13A!C4+T13B!C4,IF('T9 - Overzicht'!A13="gas",T13C!C4+T13D!C4,"FOUT"))</f>
        <v>0</v>
      </c>
      <c r="C33" s="883">
        <f>IF(A13="elektriciteit",T13A!D4+T13B!D4,IF('T9 - Overzicht'!A13="gas",T13C!D4+T13D!D4,"FOUT"))</f>
        <v>0</v>
      </c>
    </row>
    <row r="34" spans="1:3" s="489" customFormat="1" ht="33" customHeight="1" x14ac:dyDescent="0.2">
      <c r="A34" s="875" t="s">
        <v>314</v>
      </c>
      <c r="B34" s="882">
        <f>+'T14'!D34</f>
        <v>0</v>
      </c>
      <c r="C34" s="883">
        <f>+'T14'!E34</f>
        <v>0</v>
      </c>
    </row>
    <row r="35" spans="1:3" s="489" customFormat="1" x14ac:dyDescent="0.2">
      <c r="A35" s="875"/>
      <c r="B35" s="872"/>
      <c r="C35" s="873"/>
    </row>
    <row r="36" spans="1:3" s="489" customFormat="1" ht="32.1" customHeight="1" x14ac:dyDescent="0.2">
      <c r="A36" s="876" t="s">
        <v>378</v>
      </c>
      <c r="B36" s="877">
        <f>+B33+B34</f>
        <v>0</v>
      </c>
      <c r="C36" s="878">
        <f>+C34+C33</f>
        <v>0</v>
      </c>
    </row>
    <row r="37" spans="1:3" s="489" customFormat="1" x14ac:dyDescent="0.2">
      <c r="A37" s="879"/>
      <c r="B37" s="880"/>
      <c r="C37" s="881"/>
    </row>
    <row r="38" spans="1:3" s="489" customFormat="1" ht="32.1" customHeight="1" x14ac:dyDescent="0.2">
      <c r="A38" s="1203" t="s">
        <v>257</v>
      </c>
      <c r="B38" s="1204"/>
      <c r="C38" s="878">
        <f>+C36-B36</f>
        <v>0</v>
      </c>
    </row>
    <row r="39" spans="1:3" s="489" customFormat="1" x14ac:dyDescent="0.2">
      <c r="C39" s="295" t="s">
        <v>68</v>
      </c>
    </row>
    <row r="40" spans="1:3" s="489" customFormat="1" x14ac:dyDescent="0.2">
      <c r="C40" s="295" t="s">
        <v>69</v>
      </c>
    </row>
    <row r="41" spans="1:3" s="489" customFormat="1" x14ac:dyDescent="0.2"/>
    <row r="42" spans="1:3" s="489" customFormat="1" x14ac:dyDescent="0.2"/>
    <row r="43" spans="1:3" s="489" customFormat="1" x14ac:dyDescent="0.2"/>
    <row r="44" spans="1:3" s="489" customFormat="1" x14ac:dyDescent="0.2"/>
    <row r="45" spans="1:3" s="489" customFormat="1" x14ac:dyDescent="0.2"/>
    <row r="46" spans="1:3" s="489" customFormat="1" x14ac:dyDescent="0.2"/>
    <row r="47" spans="1:3" s="489" customFormat="1" x14ac:dyDescent="0.2"/>
    <row r="48" spans="1:3" s="489" customFormat="1" x14ac:dyDescent="0.2"/>
    <row r="49" s="489" customFormat="1" x14ac:dyDescent="0.2"/>
    <row r="50" s="489" customFormat="1" x14ac:dyDescent="0.2"/>
    <row r="51" s="489" customFormat="1" x14ac:dyDescent="0.2"/>
    <row r="52" s="489" customFormat="1" x14ac:dyDescent="0.2"/>
    <row r="53" s="489" customFormat="1" x14ac:dyDescent="0.2"/>
    <row r="54" s="489" customFormat="1" x14ac:dyDescent="0.2"/>
    <row r="55" s="489" customFormat="1" x14ac:dyDescent="0.2"/>
    <row r="56" s="489" customFormat="1" x14ac:dyDescent="0.2"/>
    <row r="57" s="489" customFormat="1" x14ac:dyDescent="0.2"/>
    <row r="58" s="489" customFormat="1" x14ac:dyDescent="0.2"/>
    <row r="59" s="489" customFormat="1" x14ac:dyDescent="0.2"/>
    <row r="60" s="489" customFormat="1" x14ac:dyDescent="0.2"/>
    <row r="61" s="489" customFormat="1" x14ac:dyDescent="0.2"/>
    <row r="62" s="489" customFormat="1" x14ac:dyDescent="0.2"/>
    <row r="63" s="489" customFormat="1" x14ac:dyDescent="0.2"/>
    <row r="64" s="489" customFormat="1" x14ac:dyDescent="0.2"/>
    <row r="65" s="489" customFormat="1" x14ac:dyDescent="0.2"/>
    <row r="66" s="489" customFormat="1" x14ac:dyDescent="0.2"/>
    <row r="67" s="489" customFormat="1" x14ac:dyDescent="0.2"/>
    <row r="68" s="489" customFormat="1" x14ac:dyDescent="0.2"/>
    <row r="69" s="489" customFormat="1" x14ac:dyDescent="0.2"/>
    <row r="70" s="489" customFormat="1" x14ac:dyDescent="0.2"/>
    <row r="71" s="489" customFormat="1" x14ac:dyDescent="0.2"/>
    <row r="72" s="489" customFormat="1" x14ac:dyDescent="0.2"/>
    <row r="73" s="489" customFormat="1" x14ac:dyDescent="0.2"/>
    <row r="74" s="489" customFormat="1" x14ac:dyDescent="0.2"/>
    <row r="75" s="489" customFormat="1" x14ac:dyDescent="0.2"/>
    <row r="76" s="489" customFormat="1" x14ac:dyDescent="0.2"/>
    <row r="77" s="489" customFormat="1" x14ac:dyDescent="0.2"/>
    <row r="78" s="489" customFormat="1" x14ac:dyDescent="0.2"/>
    <row r="79" s="489" customFormat="1" x14ac:dyDescent="0.2"/>
    <row r="80" s="489" customFormat="1" x14ac:dyDescent="0.2"/>
    <row r="81" s="489" customFormat="1" x14ac:dyDescent="0.2"/>
    <row r="82" s="489" customFormat="1" x14ac:dyDescent="0.2"/>
    <row r="83" s="489" customFormat="1" x14ac:dyDescent="0.2"/>
    <row r="84" s="489" customFormat="1" x14ac:dyDescent="0.2"/>
    <row r="85" s="489" customFormat="1" x14ac:dyDescent="0.2"/>
    <row r="86" s="489" customFormat="1" x14ac:dyDescent="0.2"/>
    <row r="87" s="489" customFormat="1" x14ac:dyDescent="0.2"/>
    <row r="88" s="489" customFormat="1" x14ac:dyDescent="0.2"/>
    <row r="89" s="489" customFormat="1" x14ac:dyDescent="0.2"/>
    <row r="90" s="489" customFormat="1" x14ac:dyDescent="0.2"/>
    <row r="91" s="489" customFormat="1" x14ac:dyDescent="0.2"/>
    <row r="92" s="489" customFormat="1" x14ac:dyDescent="0.2"/>
    <row r="93" s="489" customFormat="1" x14ac:dyDescent="0.2"/>
    <row r="94" s="489" customFormat="1" x14ac:dyDescent="0.2"/>
    <row r="95" s="489" customFormat="1" x14ac:dyDescent="0.2"/>
    <row r="96" s="489" customFormat="1" x14ac:dyDescent="0.2"/>
    <row r="97" s="489" customFormat="1" x14ac:dyDescent="0.2"/>
    <row r="98" s="489" customFormat="1" x14ac:dyDescent="0.2"/>
    <row r="99" s="489" customFormat="1" x14ac:dyDescent="0.2"/>
    <row r="100" s="489" customFormat="1" x14ac:dyDescent="0.2"/>
    <row r="101" s="489" customFormat="1" x14ac:dyDescent="0.2"/>
    <row r="102" s="489" customFormat="1" x14ac:dyDescent="0.2"/>
    <row r="103" s="489" customFormat="1" x14ac:dyDescent="0.2"/>
    <row r="104" s="489" customFormat="1" x14ac:dyDescent="0.2"/>
    <row r="105" s="489" customFormat="1" x14ac:dyDescent="0.2"/>
    <row r="106" s="489" customFormat="1" x14ac:dyDescent="0.2"/>
    <row r="107" s="489" customFormat="1" x14ac:dyDescent="0.2"/>
    <row r="108" s="489" customFormat="1" x14ac:dyDescent="0.2"/>
    <row r="109" s="489" customFormat="1" x14ac:dyDescent="0.2"/>
    <row r="110" s="489" customFormat="1" x14ac:dyDescent="0.2"/>
    <row r="111" s="489" customFormat="1" x14ac:dyDescent="0.2"/>
    <row r="112" s="489" customFormat="1" x14ac:dyDescent="0.2"/>
    <row r="113" s="489" customFormat="1" x14ac:dyDescent="0.2"/>
    <row r="114" s="489" customFormat="1" x14ac:dyDescent="0.2"/>
    <row r="115" s="489" customFormat="1" x14ac:dyDescent="0.2"/>
    <row r="116" s="489" customFormat="1" x14ac:dyDescent="0.2"/>
    <row r="117" s="489" customFormat="1" x14ac:dyDescent="0.2"/>
    <row r="118" s="489" customFormat="1" x14ac:dyDescent="0.2"/>
    <row r="119" s="489" customFormat="1" x14ac:dyDescent="0.2"/>
    <row r="120" s="489" customFormat="1" x14ac:dyDescent="0.2"/>
    <row r="121" s="489" customFormat="1" x14ac:dyDescent="0.2"/>
    <row r="122" s="489" customFormat="1" x14ac:dyDescent="0.2"/>
    <row r="123" s="489" customFormat="1" x14ac:dyDescent="0.2"/>
    <row r="124" s="489" customFormat="1" x14ac:dyDescent="0.2"/>
    <row r="125" s="489" customFormat="1" x14ac:dyDescent="0.2"/>
    <row r="126" s="489" customFormat="1" x14ac:dyDescent="0.2"/>
    <row r="127" s="489" customFormat="1" x14ac:dyDescent="0.2"/>
    <row r="128" s="489" customFormat="1" x14ac:dyDescent="0.2"/>
    <row r="129" s="489" customFormat="1" x14ac:dyDescent="0.2"/>
    <row r="130" s="489" customFormat="1" x14ac:dyDescent="0.2"/>
    <row r="131" s="489" customFormat="1" x14ac:dyDescent="0.2"/>
    <row r="132" s="489" customFormat="1" x14ac:dyDescent="0.2"/>
    <row r="133" s="489" customFormat="1" x14ac:dyDescent="0.2"/>
    <row r="134" s="489" customFormat="1" x14ac:dyDescent="0.2"/>
    <row r="135" s="489" customFormat="1" x14ac:dyDescent="0.2"/>
    <row r="136" s="489" customFormat="1" x14ac:dyDescent="0.2"/>
    <row r="137" s="489" customFormat="1" x14ac:dyDescent="0.2"/>
    <row r="138" s="489" customFormat="1" x14ac:dyDescent="0.2"/>
    <row r="139" s="489" customFormat="1" x14ac:dyDescent="0.2"/>
    <row r="140" s="489" customFormat="1" x14ac:dyDescent="0.2"/>
    <row r="141" s="489" customFormat="1" x14ac:dyDescent="0.2"/>
    <row r="142" s="489" customFormat="1" x14ac:dyDescent="0.2"/>
    <row r="143" s="489" customFormat="1" x14ac:dyDescent="0.2"/>
    <row r="144" s="489" customFormat="1" x14ac:dyDescent="0.2"/>
    <row r="145" s="489" customFormat="1" x14ac:dyDescent="0.2"/>
    <row r="146" s="489" customFormat="1" x14ac:dyDescent="0.2"/>
    <row r="147" s="489" customFormat="1" x14ac:dyDescent="0.2"/>
    <row r="148" s="489" customFormat="1" x14ac:dyDescent="0.2"/>
    <row r="149" s="489" customFormat="1" x14ac:dyDescent="0.2"/>
    <row r="150" s="489" customFormat="1" x14ac:dyDescent="0.2"/>
    <row r="151" s="489" customFormat="1" x14ac:dyDescent="0.2"/>
    <row r="152" s="489" customFormat="1" x14ac:dyDescent="0.2"/>
    <row r="153" s="489" customFormat="1" x14ac:dyDescent="0.2"/>
    <row r="154" s="489" customFormat="1" x14ac:dyDescent="0.2"/>
    <row r="155" s="489" customFormat="1" x14ac:dyDescent="0.2"/>
    <row r="156" s="489" customFormat="1" x14ac:dyDescent="0.2"/>
    <row r="157" s="489" customFormat="1" x14ac:dyDescent="0.2"/>
    <row r="158" s="489" customFormat="1" x14ac:dyDescent="0.2"/>
    <row r="159" s="489" customFormat="1" x14ac:dyDescent="0.2"/>
    <row r="160" s="489" customFormat="1" x14ac:dyDescent="0.2"/>
    <row r="161" s="489" customFormat="1" x14ac:dyDescent="0.2"/>
    <row r="162" s="489" customFormat="1" x14ac:dyDescent="0.2"/>
    <row r="163" s="489" customFormat="1" x14ac:dyDescent="0.2"/>
    <row r="164" s="489" customFormat="1" x14ac:dyDescent="0.2"/>
    <row r="165" s="489" customFormat="1" x14ac:dyDescent="0.2"/>
    <row r="166" s="489" customFormat="1" x14ac:dyDescent="0.2"/>
    <row r="167" s="489" customFormat="1" x14ac:dyDescent="0.2"/>
    <row r="168" s="489" customFormat="1" x14ac:dyDescent="0.2"/>
    <row r="169" s="489" customFormat="1" x14ac:dyDescent="0.2"/>
    <row r="170" s="489" customFormat="1" x14ac:dyDescent="0.2"/>
    <row r="171" s="489" customFormat="1" x14ac:dyDescent="0.2"/>
    <row r="172" s="489" customFormat="1" x14ac:dyDescent="0.2"/>
    <row r="173" s="489" customFormat="1" x14ac:dyDescent="0.2"/>
    <row r="174" s="489" customFormat="1" x14ac:dyDescent="0.2"/>
    <row r="175" s="489" customFormat="1" x14ac:dyDescent="0.2"/>
    <row r="176" s="489" customFormat="1" x14ac:dyDescent="0.2"/>
    <row r="177" s="489" customFormat="1" x14ac:dyDescent="0.2"/>
    <row r="178" s="489" customFormat="1" x14ac:dyDescent="0.2"/>
    <row r="179" s="489" customFormat="1" x14ac:dyDescent="0.2"/>
    <row r="180" s="489" customFormat="1" x14ac:dyDescent="0.2"/>
    <row r="181" s="489" customFormat="1" x14ac:dyDescent="0.2"/>
    <row r="182" s="489" customFormat="1" x14ac:dyDescent="0.2"/>
    <row r="183" s="489" customFormat="1" x14ac:dyDescent="0.2"/>
    <row r="184" s="489" customFormat="1" x14ac:dyDescent="0.2"/>
    <row r="185" s="489" customFormat="1" x14ac:dyDescent="0.2"/>
    <row r="186" s="489" customFormat="1" x14ac:dyDescent="0.2"/>
    <row r="187" s="489" customFormat="1" x14ac:dyDescent="0.2"/>
    <row r="188" s="489" customFormat="1" x14ac:dyDescent="0.2"/>
    <row r="189" s="489" customFormat="1" x14ac:dyDescent="0.2"/>
    <row r="190" s="489" customFormat="1" x14ac:dyDescent="0.2"/>
    <row r="191" s="489" customFormat="1" x14ac:dyDescent="0.2"/>
    <row r="192" s="489" customFormat="1" x14ac:dyDescent="0.2"/>
    <row r="193" s="489" customFormat="1" x14ac:dyDescent="0.2"/>
    <row r="194" s="489" customFormat="1" x14ac:dyDescent="0.2"/>
    <row r="195" s="489" customFormat="1" x14ac:dyDescent="0.2"/>
    <row r="196" s="489" customFormat="1" x14ac:dyDescent="0.2"/>
    <row r="197" s="489" customFormat="1" x14ac:dyDescent="0.2"/>
    <row r="198" s="489" customFormat="1" x14ac:dyDescent="0.2"/>
    <row r="199" s="489" customFormat="1" x14ac:dyDescent="0.2"/>
    <row r="200" s="489" customFormat="1" x14ac:dyDescent="0.2"/>
    <row r="201" s="489" customFormat="1" x14ac:dyDescent="0.2"/>
    <row r="202" s="489" customFormat="1" x14ac:dyDescent="0.2"/>
    <row r="203" s="489" customFormat="1" x14ac:dyDescent="0.2"/>
    <row r="204" s="489" customFormat="1" x14ac:dyDescent="0.2"/>
    <row r="205" s="489" customFormat="1" x14ac:dyDescent="0.2"/>
    <row r="206" s="489" customFormat="1" x14ac:dyDescent="0.2"/>
    <row r="207" s="489" customFormat="1" x14ac:dyDescent="0.2"/>
    <row r="208" s="489" customFormat="1" x14ac:dyDescent="0.2"/>
    <row r="209" s="489" customFormat="1" x14ac:dyDescent="0.2"/>
    <row r="210" s="489" customFormat="1" x14ac:dyDescent="0.2"/>
    <row r="211" s="489" customFormat="1" x14ac:dyDescent="0.2"/>
    <row r="212" s="489" customFormat="1" x14ac:dyDescent="0.2"/>
    <row r="213" s="489" customFormat="1" x14ac:dyDescent="0.2"/>
    <row r="214" s="489" customFormat="1" x14ac:dyDescent="0.2"/>
    <row r="215" s="489" customFormat="1" x14ac:dyDescent="0.2"/>
    <row r="216" s="489" customFormat="1" x14ac:dyDescent="0.2"/>
    <row r="217" s="489" customFormat="1" x14ac:dyDescent="0.2"/>
    <row r="218" s="489" customFormat="1" x14ac:dyDescent="0.2"/>
    <row r="219" s="489" customFormat="1" x14ac:dyDescent="0.2"/>
    <row r="220" s="489" customFormat="1" x14ac:dyDescent="0.2"/>
    <row r="221" s="489" customFormat="1" x14ac:dyDescent="0.2"/>
    <row r="222" s="489" customFormat="1" x14ac:dyDescent="0.2"/>
    <row r="223" s="489" customFormat="1" x14ac:dyDescent="0.2"/>
    <row r="224" s="489" customFormat="1" x14ac:dyDescent="0.2"/>
    <row r="225" s="489" customFormat="1" x14ac:dyDescent="0.2"/>
    <row r="226" s="489" customFormat="1" x14ac:dyDescent="0.2"/>
    <row r="227" s="489" customFormat="1" x14ac:dyDescent="0.2"/>
    <row r="228" s="489" customFormat="1" x14ac:dyDescent="0.2"/>
    <row r="229" s="489" customFormat="1" x14ac:dyDescent="0.2"/>
    <row r="230" s="489" customFormat="1" x14ac:dyDescent="0.2"/>
    <row r="231" s="489" customFormat="1" x14ac:dyDescent="0.2"/>
    <row r="232" s="489" customFormat="1" x14ac:dyDescent="0.2"/>
    <row r="233" s="489" customFormat="1" x14ac:dyDescent="0.2"/>
    <row r="234" s="489" customFormat="1" x14ac:dyDescent="0.2"/>
    <row r="235" s="489" customFormat="1" x14ac:dyDescent="0.2"/>
    <row r="236" s="489" customFormat="1" x14ac:dyDescent="0.2"/>
    <row r="237" s="489" customFormat="1" x14ac:dyDescent="0.2"/>
    <row r="238" s="489" customFormat="1" x14ac:dyDescent="0.2"/>
    <row r="239" s="489" customFormat="1" x14ac:dyDescent="0.2"/>
    <row r="240" s="489" customFormat="1" x14ac:dyDescent="0.2"/>
    <row r="241" s="489" customFormat="1" x14ac:dyDescent="0.2"/>
    <row r="242" s="489" customFormat="1" x14ac:dyDescent="0.2"/>
    <row r="243" s="489" customFormat="1" x14ac:dyDescent="0.2"/>
    <row r="244" s="489" customFormat="1" x14ac:dyDescent="0.2"/>
    <row r="245" s="489" customFormat="1" x14ac:dyDescent="0.2"/>
    <row r="246" s="489" customFormat="1" x14ac:dyDescent="0.2"/>
    <row r="247" s="489" customFormat="1" x14ac:dyDescent="0.2"/>
    <row r="248" s="489" customFormat="1" x14ac:dyDescent="0.2"/>
    <row r="249" s="489" customFormat="1" x14ac:dyDescent="0.2"/>
    <row r="250" s="489" customFormat="1" x14ac:dyDescent="0.2"/>
    <row r="251" s="489" customFormat="1" x14ac:dyDescent="0.2"/>
    <row r="252" s="489" customFormat="1" x14ac:dyDescent="0.2"/>
    <row r="253" s="489" customFormat="1" x14ac:dyDescent="0.2"/>
    <row r="254" s="489" customFormat="1" x14ac:dyDescent="0.2"/>
    <row r="255" s="489" customFormat="1" x14ac:dyDescent="0.2"/>
    <row r="256" s="489" customFormat="1" x14ac:dyDescent="0.2"/>
    <row r="257" s="489" customFormat="1" x14ac:dyDescent="0.2"/>
    <row r="258" s="489" customFormat="1" x14ac:dyDescent="0.2"/>
    <row r="259" s="489" customFormat="1" x14ac:dyDescent="0.2"/>
    <row r="260" s="489" customFormat="1" x14ac:dyDescent="0.2"/>
    <row r="261" s="489" customFormat="1" x14ac:dyDescent="0.2"/>
    <row r="262" s="489" customFormat="1" x14ac:dyDescent="0.2"/>
    <row r="263" s="489" customFormat="1" x14ac:dyDescent="0.2"/>
    <row r="264" s="489" customFormat="1" x14ac:dyDescent="0.2"/>
    <row r="265" s="489" customFormat="1" x14ac:dyDescent="0.2"/>
    <row r="266" s="489" customFormat="1" x14ac:dyDescent="0.2"/>
    <row r="267" s="489" customFormat="1" x14ac:dyDescent="0.2"/>
    <row r="268" s="489" customFormat="1" x14ac:dyDescent="0.2"/>
    <row r="269" s="489" customFormat="1" x14ac:dyDescent="0.2"/>
    <row r="270" s="489" customFormat="1" x14ac:dyDescent="0.2"/>
    <row r="271" s="489" customFormat="1" x14ac:dyDescent="0.2"/>
    <row r="272" s="489" customFormat="1" x14ac:dyDescent="0.2"/>
    <row r="273" s="489" customFormat="1" x14ac:dyDescent="0.2"/>
    <row r="274" s="489" customFormat="1" x14ac:dyDescent="0.2"/>
    <row r="275" s="489" customFormat="1" x14ac:dyDescent="0.2"/>
    <row r="276" s="489" customFormat="1" x14ac:dyDescent="0.2"/>
    <row r="277" s="489" customFormat="1" x14ac:dyDescent="0.2"/>
    <row r="278" s="489" customFormat="1" x14ac:dyDescent="0.2"/>
    <row r="279" s="489" customFormat="1" x14ac:dyDescent="0.2"/>
    <row r="280" s="489" customFormat="1" x14ac:dyDescent="0.2"/>
    <row r="281" s="489" customFormat="1" x14ac:dyDescent="0.2"/>
    <row r="282" s="489" customFormat="1" x14ac:dyDescent="0.2"/>
    <row r="283" s="489" customFormat="1" x14ac:dyDescent="0.2"/>
    <row r="284" s="489" customFormat="1" x14ac:dyDescent="0.2"/>
    <row r="285" s="489" customFormat="1" x14ac:dyDescent="0.2"/>
    <row r="286" s="489" customFormat="1" x14ac:dyDescent="0.2"/>
    <row r="287" s="489" customFormat="1" x14ac:dyDescent="0.2"/>
    <row r="288" s="489" customFormat="1" x14ac:dyDescent="0.2"/>
    <row r="289" s="489" customFormat="1" x14ac:dyDescent="0.2"/>
    <row r="290" s="489" customFormat="1" x14ac:dyDescent="0.2"/>
    <row r="291" s="489" customFormat="1" x14ac:dyDescent="0.2"/>
    <row r="292" s="489" customFormat="1" x14ac:dyDescent="0.2"/>
    <row r="293" s="489" customFormat="1" x14ac:dyDescent="0.2"/>
    <row r="294" s="489" customFormat="1" x14ac:dyDescent="0.2"/>
    <row r="295" s="489" customFormat="1" x14ac:dyDescent="0.2"/>
    <row r="296" s="489" customFormat="1" x14ac:dyDescent="0.2"/>
    <row r="297" s="489" customFormat="1" x14ac:dyDescent="0.2"/>
    <row r="298" s="489" customFormat="1" x14ac:dyDescent="0.2"/>
    <row r="299" s="489" customFormat="1" x14ac:dyDescent="0.2"/>
    <row r="300" s="489" customFormat="1" x14ac:dyDescent="0.2"/>
    <row r="301" s="489" customFormat="1" x14ac:dyDescent="0.2"/>
    <row r="302" s="489" customFormat="1" x14ac:dyDescent="0.2"/>
    <row r="303" s="489" customFormat="1" x14ac:dyDescent="0.2"/>
    <row r="304" s="489" customFormat="1" x14ac:dyDescent="0.2"/>
    <row r="305" s="489" customFormat="1" x14ac:dyDescent="0.2"/>
    <row r="306" s="489" customFormat="1" x14ac:dyDescent="0.2"/>
    <row r="307" s="489" customFormat="1" x14ac:dyDescent="0.2"/>
    <row r="308" s="489" customFormat="1" x14ac:dyDescent="0.2"/>
    <row r="309" s="489" customFormat="1" x14ac:dyDescent="0.2"/>
    <row r="310" s="489" customFormat="1" x14ac:dyDescent="0.2"/>
    <row r="311" s="489" customFormat="1" x14ac:dyDescent="0.2"/>
    <row r="312" s="489" customFormat="1" x14ac:dyDescent="0.2"/>
    <row r="313" s="489" customFormat="1" x14ac:dyDescent="0.2"/>
    <row r="314" s="489" customFormat="1" x14ac:dyDescent="0.2"/>
    <row r="315" s="489" customFormat="1" x14ac:dyDescent="0.2"/>
    <row r="316" s="489" customFormat="1" x14ac:dyDescent="0.2"/>
    <row r="317" s="489" customFormat="1" x14ac:dyDescent="0.2"/>
    <row r="318" s="489" customFormat="1" x14ac:dyDescent="0.2"/>
    <row r="319" s="489" customFormat="1" x14ac:dyDescent="0.2"/>
    <row r="320" s="489" customFormat="1" x14ac:dyDescent="0.2"/>
    <row r="321" s="489" customFormat="1" x14ac:dyDescent="0.2"/>
    <row r="322" s="489" customFormat="1" x14ac:dyDescent="0.2"/>
    <row r="323" s="489" customFormat="1" x14ac:dyDescent="0.2"/>
    <row r="324" s="489" customFormat="1" x14ac:dyDescent="0.2"/>
    <row r="325" s="489" customFormat="1" x14ac:dyDescent="0.2"/>
    <row r="326" s="489" customFormat="1" x14ac:dyDescent="0.2"/>
    <row r="327" s="489" customFormat="1" x14ac:dyDescent="0.2"/>
    <row r="328" s="489" customFormat="1" x14ac:dyDescent="0.2"/>
    <row r="329" s="489" customFormat="1" x14ac:dyDescent="0.2"/>
    <row r="330" s="489" customFormat="1" x14ac:dyDescent="0.2"/>
    <row r="331" s="489" customFormat="1" x14ac:dyDescent="0.2"/>
    <row r="332" s="489" customFormat="1" x14ac:dyDescent="0.2"/>
    <row r="333" s="489" customFormat="1" x14ac:dyDescent="0.2"/>
    <row r="334" s="489" customFormat="1" x14ac:dyDescent="0.2"/>
    <row r="335" s="489" customFormat="1" x14ac:dyDescent="0.2"/>
    <row r="336" s="489" customFormat="1" x14ac:dyDescent="0.2"/>
    <row r="337" s="489" customFormat="1" x14ac:dyDescent="0.2"/>
    <row r="338" s="489" customFormat="1" x14ac:dyDescent="0.2"/>
    <row r="339" s="489" customFormat="1" x14ac:dyDescent="0.2"/>
    <row r="340" s="489" customFormat="1" x14ac:dyDescent="0.2"/>
    <row r="341" s="489" customFormat="1" x14ac:dyDescent="0.2"/>
    <row r="342" s="489" customFormat="1" x14ac:dyDescent="0.2"/>
    <row r="343" s="489" customFormat="1" x14ac:dyDescent="0.2"/>
    <row r="344" s="489" customFormat="1" x14ac:dyDescent="0.2"/>
    <row r="345" s="489" customFormat="1" x14ac:dyDescent="0.2"/>
    <row r="346" s="489" customFormat="1" x14ac:dyDescent="0.2"/>
    <row r="347" s="489" customFormat="1" x14ac:dyDescent="0.2"/>
    <row r="348" s="489" customFormat="1" x14ac:dyDescent="0.2"/>
    <row r="349" s="489" customFormat="1" x14ac:dyDescent="0.2"/>
    <row r="350" s="489" customFormat="1" x14ac:dyDescent="0.2"/>
    <row r="351" s="489" customFormat="1" x14ac:dyDescent="0.2"/>
    <row r="352" s="489" customFormat="1" x14ac:dyDescent="0.2"/>
    <row r="353" s="489" customFormat="1" x14ac:dyDescent="0.2"/>
    <row r="354" s="489" customFormat="1" x14ac:dyDescent="0.2"/>
    <row r="355" s="489" customFormat="1" x14ac:dyDescent="0.2"/>
    <row r="356" s="489" customFormat="1" x14ac:dyDescent="0.2"/>
    <row r="357" s="489" customFormat="1" x14ac:dyDescent="0.2"/>
    <row r="358" s="489" customFormat="1" x14ac:dyDescent="0.2"/>
    <row r="359" s="489" customFormat="1" x14ac:dyDescent="0.2"/>
    <row r="360" s="489" customFormat="1" x14ac:dyDescent="0.2"/>
    <row r="361" s="489" customFormat="1" x14ac:dyDescent="0.2"/>
    <row r="362" s="489" customFormat="1" x14ac:dyDescent="0.2"/>
    <row r="363" s="489" customFormat="1" x14ac:dyDescent="0.2"/>
    <row r="364" s="489" customFormat="1" x14ac:dyDescent="0.2"/>
    <row r="365" s="489" customFormat="1" x14ac:dyDescent="0.2"/>
    <row r="366" s="489" customFormat="1" x14ac:dyDescent="0.2"/>
    <row r="367" s="489" customFormat="1" x14ac:dyDescent="0.2"/>
    <row r="368" s="489" customFormat="1" x14ac:dyDescent="0.2"/>
    <row r="369" s="489" customFormat="1" x14ac:dyDescent="0.2"/>
    <row r="370" s="489" customFormat="1" x14ac:dyDescent="0.2"/>
    <row r="371" s="489" customFormat="1" x14ac:dyDescent="0.2"/>
    <row r="372" s="489" customFormat="1" x14ac:dyDescent="0.2"/>
    <row r="373" s="489" customFormat="1" x14ac:dyDescent="0.2"/>
    <row r="374" s="489" customFormat="1" x14ac:dyDescent="0.2"/>
    <row r="375" s="489" customFormat="1" x14ac:dyDescent="0.2"/>
    <row r="376" s="489" customFormat="1" x14ac:dyDescent="0.2"/>
    <row r="377" s="489" customFormat="1" x14ac:dyDescent="0.2"/>
    <row r="378" s="489" customFormat="1" x14ac:dyDescent="0.2"/>
    <row r="379" s="489" customFormat="1" x14ac:dyDescent="0.2"/>
    <row r="380" s="489" customFormat="1" x14ac:dyDescent="0.2"/>
    <row r="381" s="489" customFormat="1" x14ac:dyDescent="0.2"/>
    <row r="382" s="489" customFormat="1" x14ac:dyDescent="0.2"/>
    <row r="383" s="489" customFormat="1" x14ac:dyDescent="0.2"/>
    <row r="384" s="489" customFormat="1" x14ac:dyDescent="0.2"/>
    <row r="385" s="489" customFormat="1" x14ac:dyDescent="0.2"/>
    <row r="386" s="489" customFormat="1" x14ac:dyDescent="0.2"/>
    <row r="387" s="489" customFormat="1" x14ac:dyDescent="0.2"/>
    <row r="388" s="489" customFormat="1" x14ac:dyDescent="0.2"/>
    <row r="389" s="489" customFormat="1" x14ac:dyDescent="0.2"/>
    <row r="390" s="489" customFormat="1" x14ac:dyDescent="0.2"/>
    <row r="391" s="489" customFormat="1" x14ac:dyDescent="0.2"/>
    <row r="392" s="489" customFormat="1" x14ac:dyDescent="0.2"/>
    <row r="393" s="489" customFormat="1" x14ac:dyDescent="0.2"/>
    <row r="394" s="489" customFormat="1" x14ac:dyDescent="0.2"/>
    <row r="395" s="489" customFormat="1" x14ac:dyDescent="0.2"/>
    <row r="396" s="489" customFormat="1" x14ac:dyDescent="0.2"/>
    <row r="397" s="489" customFormat="1" x14ac:dyDescent="0.2"/>
    <row r="398" s="489" customFormat="1" x14ac:dyDescent="0.2"/>
    <row r="399" s="489" customFormat="1" x14ac:dyDescent="0.2"/>
    <row r="400" s="489" customFormat="1" x14ac:dyDescent="0.2"/>
    <row r="401" s="489" customFormat="1" x14ac:dyDescent="0.2"/>
    <row r="402" s="489" customFormat="1" x14ac:dyDescent="0.2"/>
    <row r="403" s="489" customFormat="1" x14ac:dyDescent="0.2"/>
    <row r="404" s="489" customFormat="1" x14ac:dyDescent="0.2"/>
    <row r="405" s="489" customFormat="1" x14ac:dyDescent="0.2"/>
    <row r="406" s="489" customFormat="1" x14ac:dyDescent="0.2"/>
    <row r="407" s="489" customFormat="1" x14ac:dyDescent="0.2"/>
    <row r="408" s="489" customFormat="1" x14ac:dyDescent="0.2"/>
    <row r="409" s="489" customFormat="1" x14ac:dyDescent="0.2"/>
    <row r="410" s="489" customFormat="1" x14ac:dyDescent="0.2"/>
    <row r="411" s="489" customFormat="1" x14ac:dyDescent="0.2"/>
    <row r="412" s="489" customFormat="1" x14ac:dyDescent="0.2"/>
    <row r="413" s="489" customFormat="1" x14ac:dyDescent="0.2"/>
    <row r="414" s="489" customFormat="1" x14ac:dyDescent="0.2"/>
    <row r="415" s="489" customFormat="1" x14ac:dyDescent="0.2"/>
    <row r="416" s="489" customFormat="1" x14ac:dyDescent="0.2"/>
    <row r="417" s="489" customFormat="1" x14ac:dyDescent="0.2"/>
    <row r="418" s="489" customFormat="1" x14ac:dyDescent="0.2"/>
    <row r="419" s="489" customFormat="1" x14ac:dyDescent="0.2"/>
    <row r="420" s="489" customFormat="1" x14ac:dyDescent="0.2"/>
    <row r="421" s="489" customFormat="1" x14ac:dyDescent="0.2"/>
    <row r="422" s="489" customFormat="1" x14ac:dyDescent="0.2"/>
    <row r="423" s="489" customFormat="1" x14ac:dyDescent="0.2"/>
    <row r="424" s="489" customFormat="1" x14ac:dyDescent="0.2"/>
    <row r="425" s="489" customFormat="1" x14ac:dyDescent="0.2"/>
    <row r="426" s="489" customFormat="1" x14ac:dyDescent="0.2"/>
    <row r="427" s="489" customFormat="1" x14ac:dyDescent="0.2"/>
    <row r="428" s="489" customFormat="1" x14ac:dyDescent="0.2"/>
    <row r="429" s="489" customFormat="1" x14ac:dyDescent="0.2"/>
    <row r="430" s="489" customFormat="1" x14ac:dyDescent="0.2"/>
    <row r="431" s="489" customFormat="1" x14ac:dyDescent="0.2"/>
    <row r="432" s="489" customFormat="1" x14ac:dyDescent="0.2"/>
    <row r="433" s="489" customFormat="1" x14ac:dyDescent="0.2"/>
    <row r="434" s="489" customFormat="1" x14ac:dyDescent="0.2"/>
    <row r="435" s="489" customFormat="1" x14ac:dyDescent="0.2"/>
    <row r="436" s="489" customFormat="1" x14ac:dyDescent="0.2"/>
    <row r="437" s="489" customFormat="1" x14ac:dyDescent="0.2"/>
    <row r="438" s="489" customFormat="1" x14ac:dyDescent="0.2"/>
    <row r="439" s="489" customFormat="1" x14ac:dyDescent="0.2"/>
    <row r="440" s="489" customFormat="1" x14ac:dyDescent="0.2"/>
    <row r="441" s="489" customFormat="1" x14ac:dyDescent="0.2"/>
    <row r="442" s="489" customFormat="1" x14ac:dyDescent="0.2"/>
    <row r="443" s="489" customFormat="1" x14ac:dyDescent="0.2"/>
    <row r="444" s="489" customFormat="1" x14ac:dyDescent="0.2"/>
    <row r="445" s="489" customFormat="1" x14ac:dyDescent="0.2"/>
    <row r="446" s="489" customFormat="1" x14ac:dyDescent="0.2"/>
    <row r="447" s="489" customFormat="1" x14ac:dyDescent="0.2"/>
    <row r="448" s="489" customFormat="1" x14ac:dyDescent="0.2"/>
    <row r="449" s="489" customFormat="1" x14ac:dyDescent="0.2"/>
    <row r="450" s="489" customFormat="1" x14ac:dyDescent="0.2"/>
    <row r="451" s="489" customFormat="1" x14ac:dyDescent="0.2"/>
    <row r="452" s="489" customFormat="1" x14ac:dyDescent="0.2"/>
    <row r="453" s="489" customFormat="1" x14ac:dyDescent="0.2"/>
    <row r="454" s="489" customFormat="1" x14ac:dyDescent="0.2"/>
    <row r="455" s="489" customFormat="1" x14ac:dyDescent="0.2"/>
    <row r="456" s="489" customFormat="1" x14ac:dyDescent="0.2"/>
    <row r="457" s="489" customFormat="1" x14ac:dyDescent="0.2"/>
    <row r="458" s="489" customFormat="1" x14ac:dyDescent="0.2"/>
    <row r="459" s="489" customFormat="1" x14ac:dyDescent="0.2"/>
    <row r="460" s="489" customFormat="1" x14ac:dyDescent="0.2"/>
    <row r="461" s="489" customFormat="1" x14ac:dyDescent="0.2"/>
    <row r="462" s="489" customFormat="1" x14ac:dyDescent="0.2"/>
    <row r="463" s="489" customFormat="1" x14ac:dyDescent="0.2"/>
    <row r="464" s="489" customFormat="1" x14ac:dyDescent="0.2"/>
    <row r="465" s="489" customFormat="1" x14ac:dyDescent="0.2"/>
    <row r="466" s="489" customFormat="1" x14ac:dyDescent="0.2"/>
    <row r="467" s="489" customFormat="1" x14ac:dyDescent="0.2"/>
    <row r="468" s="489" customFormat="1" x14ac:dyDescent="0.2"/>
    <row r="469" s="489" customFormat="1" x14ac:dyDescent="0.2"/>
    <row r="470" s="489" customFormat="1" x14ac:dyDescent="0.2"/>
    <row r="471" s="489" customFormat="1" x14ac:dyDescent="0.2"/>
    <row r="472" s="489" customFormat="1" x14ac:dyDescent="0.2"/>
    <row r="473" s="489" customFormat="1" x14ac:dyDescent="0.2"/>
    <row r="474" s="489" customFormat="1" x14ac:dyDescent="0.2"/>
    <row r="475" s="489" customFormat="1" x14ac:dyDescent="0.2"/>
    <row r="476" s="489" customFormat="1" x14ac:dyDescent="0.2"/>
    <row r="477" s="489" customFormat="1" x14ac:dyDescent="0.2"/>
    <row r="478" s="489" customFormat="1" x14ac:dyDescent="0.2"/>
    <row r="479" s="489" customFormat="1" x14ac:dyDescent="0.2"/>
    <row r="480" s="489" customFormat="1" x14ac:dyDescent="0.2"/>
    <row r="481" s="489" customFormat="1" x14ac:dyDescent="0.2"/>
    <row r="482" s="489" customFormat="1" x14ac:dyDescent="0.2"/>
    <row r="483" s="489" customFormat="1" x14ac:dyDescent="0.2"/>
    <row r="484" s="489" customFormat="1" x14ac:dyDescent="0.2"/>
    <row r="485" s="489" customFormat="1" x14ac:dyDescent="0.2"/>
    <row r="486" s="489" customFormat="1" x14ac:dyDescent="0.2"/>
    <row r="487" s="489" customFormat="1" x14ac:dyDescent="0.2"/>
    <row r="488" s="489" customFormat="1" x14ac:dyDescent="0.2"/>
    <row r="489" s="489" customFormat="1" x14ac:dyDescent="0.2"/>
    <row r="490" s="489" customFormat="1" x14ac:dyDescent="0.2"/>
    <row r="491" s="489" customFormat="1" x14ac:dyDescent="0.2"/>
    <row r="492" s="489" customFormat="1" x14ac:dyDescent="0.2"/>
    <row r="493" s="489" customFormat="1" x14ac:dyDescent="0.2"/>
    <row r="494" s="489" customFormat="1" x14ac:dyDescent="0.2"/>
    <row r="495" s="489" customFormat="1" x14ac:dyDescent="0.2"/>
    <row r="496" s="489" customFormat="1" x14ac:dyDescent="0.2"/>
    <row r="497" s="489" customFormat="1" x14ac:dyDescent="0.2"/>
    <row r="498" s="489" customFormat="1" x14ac:dyDescent="0.2"/>
    <row r="499" s="489" customFormat="1" x14ac:dyDescent="0.2"/>
    <row r="500" s="489" customFormat="1" x14ac:dyDescent="0.2"/>
    <row r="501" s="489" customFormat="1" x14ac:dyDescent="0.2"/>
    <row r="502" s="489" customFormat="1" x14ac:dyDescent="0.2"/>
    <row r="503" s="489" customFormat="1" x14ac:dyDescent="0.2"/>
    <row r="504" s="489" customFormat="1" x14ac:dyDescent="0.2"/>
    <row r="505" s="489" customFormat="1" x14ac:dyDescent="0.2"/>
    <row r="506" s="489" customFormat="1" x14ac:dyDescent="0.2"/>
    <row r="507" s="489" customFormat="1" x14ac:dyDescent="0.2"/>
    <row r="508" s="489" customFormat="1" x14ac:dyDescent="0.2"/>
    <row r="509" s="489" customFormat="1" x14ac:dyDescent="0.2"/>
    <row r="510" s="489" customFormat="1" x14ac:dyDescent="0.2"/>
    <row r="511" s="489" customFormat="1" x14ac:dyDescent="0.2"/>
    <row r="512" s="489" customFormat="1" x14ac:dyDescent="0.2"/>
    <row r="513" s="489" customFormat="1" x14ac:dyDescent="0.2"/>
    <row r="514" s="489" customFormat="1" x14ac:dyDescent="0.2"/>
    <row r="515" s="489" customFormat="1" x14ac:dyDescent="0.2"/>
    <row r="516" s="489" customFormat="1" x14ac:dyDescent="0.2"/>
    <row r="517" s="489" customFormat="1" x14ac:dyDescent="0.2"/>
    <row r="518" s="489" customFormat="1" x14ac:dyDescent="0.2"/>
    <row r="519" s="489" customFormat="1" x14ac:dyDescent="0.2"/>
    <row r="520" s="489" customFormat="1" x14ac:dyDescent="0.2"/>
    <row r="521" s="489" customFormat="1" x14ac:dyDescent="0.2"/>
    <row r="522" s="489" customFormat="1" x14ac:dyDescent="0.2"/>
    <row r="523" s="489" customFormat="1" x14ac:dyDescent="0.2"/>
    <row r="524" s="489" customFormat="1" x14ac:dyDescent="0.2"/>
    <row r="525" s="489" customFormat="1" x14ac:dyDescent="0.2"/>
    <row r="526" s="489" customFormat="1" x14ac:dyDescent="0.2"/>
    <row r="527" s="489" customFormat="1" x14ac:dyDescent="0.2"/>
    <row r="528" s="489" customFormat="1" x14ac:dyDescent="0.2"/>
    <row r="529" s="489" customFormat="1" x14ac:dyDescent="0.2"/>
    <row r="530" s="489" customFormat="1" x14ac:dyDescent="0.2"/>
    <row r="531" s="489" customFormat="1" x14ac:dyDescent="0.2"/>
    <row r="532" s="489" customFormat="1" x14ac:dyDescent="0.2"/>
    <row r="533" s="489" customFormat="1" x14ac:dyDescent="0.2"/>
    <row r="534" s="489" customFormat="1" x14ac:dyDescent="0.2"/>
    <row r="535" s="489" customFormat="1" x14ac:dyDescent="0.2"/>
    <row r="536" s="489" customFormat="1" x14ac:dyDescent="0.2"/>
    <row r="537" s="489" customFormat="1" x14ac:dyDescent="0.2"/>
    <row r="538" s="489" customFormat="1" x14ac:dyDescent="0.2"/>
    <row r="539" s="489" customFormat="1" x14ac:dyDescent="0.2"/>
    <row r="540" s="489" customFormat="1" x14ac:dyDescent="0.2"/>
    <row r="541" s="489" customFormat="1" x14ac:dyDescent="0.2"/>
    <row r="542" s="489" customFormat="1" x14ac:dyDescent="0.2"/>
    <row r="543" s="489" customFormat="1" x14ac:dyDescent="0.2"/>
    <row r="544" s="489" customFormat="1" x14ac:dyDescent="0.2"/>
    <row r="545" s="489" customFormat="1" x14ac:dyDescent="0.2"/>
    <row r="546" s="489" customFormat="1" x14ac:dyDescent="0.2"/>
    <row r="547" s="489" customFormat="1" x14ac:dyDescent="0.2"/>
    <row r="548" s="489" customFormat="1" x14ac:dyDescent="0.2"/>
    <row r="549" s="489" customFormat="1" x14ac:dyDescent="0.2"/>
    <row r="550" s="489" customFormat="1" x14ac:dyDescent="0.2"/>
    <row r="551" s="489" customFormat="1" x14ac:dyDescent="0.2"/>
    <row r="552" s="489" customFormat="1" x14ac:dyDescent="0.2"/>
    <row r="553" s="489" customFormat="1" x14ac:dyDescent="0.2"/>
    <row r="554" s="489" customFormat="1" x14ac:dyDescent="0.2"/>
    <row r="555" s="489" customFormat="1" x14ac:dyDescent="0.2"/>
    <row r="556" s="489" customFormat="1" x14ac:dyDescent="0.2"/>
    <row r="557" s="489" customFormat="1" x14ac:dyDescent="0.2"/>
    <row r="558" s="489" customFormat="1" x14ac:dyDescent="0.2"/>
    <row r="559" s="489" customFormat="1" x14ac:dyDescent="0.2"/>
    <row r="560" s="489" customFormat="1" x14ac:dyDescent="0.2"/>
    <row r="561" s="489" customFormat="1" x14ac:dyDescent="0.2"/>
    <row r="562" s="489" customFormat="1" x14ac:dyDescent="0.2"/>
    <row r="563" s="489" customFormat="1" x14ac:dyDescent="0.2"/>
    <row r="564" s="489" customFormat="1" x14ac:dyDescent="0.2"/>
    <row r="565" s="489" customFormat="1" x14ac:dyDescent="0.2"/>
    <row r="566" s="489" customFormat="1" x14ac:dyDescent="0.2"/>
    <row r="567" s="489" customFormat="1" x14ac:dyDescent="0.2"/>
    <row r="568" s="489" customFormat="1" x14ac:dyDescent="0.2"/>
    <row r="569" s="489" customFormat="1" x14ac:dyDescent="0.2"/>
    <row r="570" s="489" customFormat="1" x14ac:dyDescent="0.2"/>
    <row r="571" s="489" customFormat="1" x14ac:dyDescent="0.2"/>
    <row r="572" s="489" customFormat="1" x14ac:dyDescent="0.2"/>
    <row r="573" s="489" customFormat="1" x14ac:dyDescent="0.2"/>
    <row r="574" s="489" customFormat="1" x14ac:dyDescent="0.2"/>
    <row r="575" s="489" customFormat="1" x14ac:dyDescent="0.2"/>
    <row r="576" s="489" customFormat="1" x14ac:dyDescent="0.2"/>
    <row r="577" s="489" customFormat="1" x14ac:dyDescent="0.2"/>
    <row r="578" s="489" customFormat="1" x14ac:dyDescent="0.2"/>
    <row r="579" s="489" customFormat="1" x14ac:dyDescent="0.2"/>
    <row r="580" s="489" customFormat="1" x14ac:dyDescent="0.2"/>
    <row r="581" s="489" customFormat="1" x14ac:dyDescent="0.2"/>
    <row r="582" s="489" customFormat="1" x14ac:dyDescent="0.2"/>
    <row r="583" s="489" customFormat="1" x14ac:dyDescent="0.2"/>
    <row r="584" s="489" customFormat="1" x14ac:dyDescent="0.2"/>
    <row r="585" s="489" customFormat="1" x14ac:dyDescent="0.2"/>
    <row r="586" s="489" customFormat="1" x14ac:dyDescent="0.2"/>
    <row r="587" s="489" customFormat="1" x14ac:dyDescent="0.2"/>
    <row r="588" s="489" customFormat="1" x14ac:dyDescent="0.2"/>
    <row r="589" s="489" customFormat="1" x14ac:dyDescent="0.2"/>
    <row r="590" s="489" customFormat="1" x14ac:dyDescent="0.2"/>
    <row r="591" s="489" customFormat="1" x14ac:dyDescent="0.2"/>
    <row r="592" s="489" customFormat="1" x14ac:dyDescent="0.2"/>
    <row r="593" s="489" customFormat="1" x14ac:dyDescent="0.2"/>
    <row r="594" s="489" customFormat="1" x14ac:dyDescent="0.2"/>
    <row r="595" s="489" customFormat="1" x14ac:dyDescent="0.2"/>
    <row r="596" s="489" customFormat="1" x14ac:dyDescent="0.2"/>
    <row r="597" s="489" customFormat="1" x14ac:dyDescent="0.2"/>
    <row r="598" s="489" customFormat="1" x14ac:dyDescent="0.2"/>
    <row r="599" s="489" customFormat="1" x14ac:dyDescent="0.2"/>
    <row r="600" s="489" customFormat="1" x14ac:dyDescent="0.2"/>
    <row r="601" s="489" customFormat="1" x14ac:dyDescent="0.2"/>
    <row r="602" s="489" customFormat="1" x14ac:dyDescent="0.2"/>
    <row r="603" s="489" customFormat="1" x14ac:dyDescent="0.2"/>
    <row r="604" s="489" customFormat="1" x14ac:dyDescent="0.2"/>
    <row r="605" s="489" customFormat="1" x14ac:dyDescent="0.2"/>
    <row r="606" s="489" customFormat="1" x14ac:dyDescent="0.2"/>
    <row r="607" s="489" customFormat="1" x14ac:dyDescent="0.2"/>
    <row r="608" s="489" customFormat="1" x14ac:dyDescent="0.2"/>
    <row r="609" s="489" customFormat="1" x14ac:dyDescent="0.2"/>
    <row r="610" s="489" customFormat="1" x14ac:dyDescent="0.2"/>
    <row r="611" s="489" customFormat="1" x14ac:dyDescent="0.2"/>
    <row r="612" s="489" customFormat="1" x14ac:dyDescent="0.2"/>
    <row r="613" s="489" customFormat="1" x14ac:dyDescent="0.2"/>
    <row r="614" s="489" customFormat="1" x14ac:dyDescent="0.2"/>
    <row r="615" s="489" customFormat="1" x14ac:dyDescent="0.2"/>
    <row r="616" s="489" customFormat="1" x14ac:dyDescent="0.2"/>
    <row r="617" s="489" customFormat="1" x14ac:dyDescent="0.2"/>
    <row r="618" s="489" customFormat="1" x14ac:dyDescent="0.2"/>
    <row r="619" s="489" customFormat="1" x14ac:dyDescent="0.2"/>
    <row r="620" s="489" customFormat="1" x14ac:dyDescent="0.2"/>
    <row r="621" s="489" customFormat="1" x14ac:dyDescent="0.2"/>
    <row r="622" s="489" customFormat="1" x14ac:dyDescent="0.2"/>
    <row r="623" s="489" customFormat="1" x14ac:dyDescent="0.2"/>
    <row r="624" s="489" customFormat="1" x14ac:dyDescent="0.2"/>
    <row r="625" s="489" customFormat="1" x14ac:dyDescent="0.2"/>
    <row r="626" s="489" customFormat="1" x14ac:dyDescent="0.2"/>
    <row r="627" s="489" customFormat="1" x14ac:dyDescent="0.2"/>
    <row r="628" s="489" customFormat="1" x14ac:dyDescent="0.2"/>
    <row r="629" s="489" customFormat="1" x14ac:dyDescent="0.2"/>
    <row r="630" s="489" customFormat="1" x14ac:dyDescent="0.2"/>
    <row r="631" s="489" customFormat="1" x14ac:dyDescent="0.2"/>
    <row r="632" s="489" customFormat="1" x14ac:dyDescent="0.2"/>
    <row r="633" s="489" customFormat="1" x14ac:dyDescent="0.2"/>
    <row r="634" s="489" customFormat="1" x14ac:dyDescent="0.2"/>
    <row r="635" s="489" customFormat="1" x14ac:dyDescent="0.2"/>
    <row r="636" s="489" customFormat="1" x14ac:dyDescent="0.2"/>
    <row r="637" s="489" customFormat="1" x14ac:dyDescent="0.2"/>
    <row r="638" s="489" customFormat="1" x14ac:dyDescent="0.2"/>
    <row r="639" s="489" customFormat="1" x14ac:dyDescent="0.2"/>
    <row r="640" s="489" customFormat="1" x14ac:dyDescent="0.2"/>
    <row r="641" s="489" customFormat="1" x14ac:dyDescent="0.2"/>
    <row r="642" s="489" customFormat="1" x14ac:dyDescent="0.2"/>
    <row r="643" s="489" customFormat="1" x14ac:dyDescent="0.2"/>
    <row r="644" s="489" customFormat="1" x14ac:dyDescent="0.2"/>
    <row r="645" s="489" customFormat="1" x14ac:dyDescent="0.2"/>
    <row r="646" s="489" customFormat="1" x14ac:dyDescent="0.2"/>
    <row r="647" s="489" customFormat="1" x14ac:dyDescent="0.2"/>
    <row r="648" s="489" customFormat="1" x14ac:dyDescent="0.2"/>
    <row r="649" s="489" customFormat="1" x14ac:dyDescent="0.2"/>
    <row r="650" s="489" customFormat="1" x14ac:dyDescent="0.2"/>
    <row r="651" s="489" customFormat="1" x14ac:dyDescent="0.2"/>
    <row r="652" s="489" customFormat="1" x14ac:dyDescent="0.2"/>
    <row r="653" s="489" customFormat="1" x14ac:dyDescent="0.2"/>
    <row r="654" s="489" customFormat="1" x14ac:dyDescent="0.2"/>
    <row r="655" s="489" customFormat="1" x14ac:dyDescent="0.2"/>
    <row r="656" s="489" customFormat="1" x14ac:dyDescent="0.2"/>
    <row r="657" s="489" customFormat="1" x14ac:dyDescent="0.2"/>
    <row r="658" s="489" customFormat="1" x14ac:dyDescent="0.2"/>
    <row r="659" s="489" customFormat="1" x14ac:dyDescent="0.2"/>
    <row r="660" s="489" customFormat="1" x14ac:dyDescent="0.2"/>
    <row r="661" s="489" customFormat="1" x14ac:dyDescent="0.2"/>
    <row r="662" s="489" customFormat="1" x14ac:dyDescent="0.2"/>
    <row r="663" s="489" customFormat="1" x14ac:dyDescent="0.2"/>
    <row r="664" s="489" customFormat="1" x14ac:dyDescent="0.2"/>
    <row r="665" s="489" customFormat="1" x14ac:dyDescent="0.2"/>
    <row r="666" s="489" customFormat="1" x14ac:dyDescent="0.2"/>
    <row r="667" s="489" customFormat="1" x14ac:dyDescent="0.2"/>
    <row r="668" s="489" customFormat="1" x14ac:dyDescent="0.2"/>
    <row r="669" s="489" customFormat="1" x14ac:dyDescent="0.2"/>
    <row r="670" s="489" customFormat="1" x14ac:dyDescent="0.2"/>
    <row r="671" s="489" customFormat="1" x14ac:dyDescent="0.2"/>
    <row r="672" s="489" customFormat="1" x14ac:dyDescent="0.2"/>
    <row r="673" s="489" customFormat="1" x14ac:dyDescent="0.2"/>
    <row r="674" s="489" customFormat="1" x14ac:dyDescent="0.2"/>
    <row r="675" s="489" customFormat="1" x14ac:dyDescent="0.2"/>
    <row r="676" s="489" customFormat="1" x14ac:dyDescent="0.2"/>
    <row r="677" s="489" customFormat="1" x14ac:dyDescent="0.2"/>
    <row r="678" s="489" customFormat="1" x14ac:dyDescent="0.2"/>
    <row r="679" s="489" customFormat="1" x14ac:dyDescent="0.2"/>
    <row r="680" s="489" customFormat="1" x14ac:dyDescent="0.2"/>
    <row r="681" s="489" customFormat="1" x14ac:dyDescent="0.2"/>
    <row r="682" s="489" customFormat="1" x14ac:dyDescent="0.2"/>
    <row r="683" s="489" customFormat="1" x14ac:dyDescent="0.2"/>
    <row r="684" s="489" customFormat="1" x14ac:dyDescent="0.2"/>
    <row r="685" s="489" customFormat="1" x14ac:dyDescent="0.2"/>
    <row r="686" s="489" customFormat="1" x14ac:dyDescent="0.2"/>
    <row r="687" s="489" customFormat="1" x14ac:dyDescent="0.2"/>
    <row r="688" s="489" customFormat="1" x14ac:dyDescent="0.2"/>
    <row r="689" s="489" customFormat="1" x14ac:dyDescent="0.2"/>
    <row r="690" s="489" customFormat="1" x14ac:dyDescent="0.2"/>
    <row r="691" s="489" customFormat="1" x14ac:dyDescent="0.2"/>
    <row r="692" s="489" customFormat="1" x14ac:dyDescent="0.2"/>
    <row r="693" s="489" customFormat="1" x14ac:dyDescent="0.2"/>
    <row r="694" s="489" customFormat="1" x14ac:dyDescent="0.2"/>
    <row r="695" s="489" customFormat="1" x14ac:dyDescent="0.2"/>
    <row r="696" s="489" customFormat="1" x14ac:dyDescent="0.2"/>
    <row r="697" s="489" customFormat="1" x14ac:dyDescent="0.2"/>
    <row r="698" s="489" customFormat="1" x14ac:dyDescent="0.2"/>
    <row r="699" s="489" customFormat="1" x14ac:dyDescent="0.2"/>
    <row r="700" s="489" customFormat="1" x14ac:dyDescent="0.2"/>
    <row r="701" s="489" customFormat="1" x14ac:dyDescent="0.2"/>
    <row r="702" s="489" customFormat="1" x14ac:dyDescent="0.2"/>
    <row r="703" s="489" customFormat="1" x14ac:dyDescent="0.2"/>
    <row r="704" s="489" customFormat="1" x14ac:dyDescent="0.2"/>
    <row r="705" s="489" customFormat="1" x14ac:dyDescent="0.2"/>
    <row r="706" s="489" customFormat="1" x14ac:dyDescent="0.2"/>
    <row r="707" s="489" customFormat="1" x14ac:dyDescent="0.2"/>
    <row r="708" s="489" customFormat="1" x14ac:dyDescent="0.2"/>
    <row r="709" s="489" customFormat="1" x14ac:dyDescent="0.2"/>
    <row r="710" s="489" customFormat="1" x14ac:dyDescent="0.2"/>
    <row r="711" s="489" customFormat="1" x14ac:dyDescent="0.2"/>
    <row r="712" s="489" customFormat="1" x14ac:dyDescent="0.2"/>
    <row r="713" s="489" customFormat="1" x14ac:dyDescent="0.2"/>
    <row r="714" s="489" customFormat="1" x14ac:dyDescent="0.2"/>
    <row r="715" s="489" customFormat="1" x14ac:dyDescent="0.2"/>
    <row r="716" s="489" customFormat="1" x14ac:dyDescent="0.2"/>
    <row r="717" s="489" customFormat="1" x14ac:dyDescent="0.2"/>
    <row r="718" s="489" customFormat="1" x14ac:dyDescent="0.2"/>
    <row r="719" s="489" customFormat="1" x14ac:dyDescent="0.2"/>
    <row r="720" s="489" customFormat="1" x14ac:dyDescent="0.2"/>
    <row r="721" s="489" customFormat="1" x14ac:dyDescent="0.2"/>
    <row r="722" s="489" customFormat="1" x14ac:dyDescent="0.2"/>
    <row r="723" s="489" customFormat="1" x14ac:dyDescent="0.2"/>
    <row r="724" s="489" customFormat="1" x14ac:dyDescent="0.2"/>
    <row r="725" s="489" customFormat="1" x14ac:dyDescent="0.2"/>
    <row r="726" s="489" customFormat="1" x14ac:dyDescent="0.2"/>
    <row r="727" s="489" customFormat="1" x14ac:dyDescent="0.2"/>
    <row r="728" s="489" customFormat="1" x14ac:dyDescent="0.2"/>
    <row r="729" s="489" customFormat="1" x14ac:dyDescent="0.2"/>
    <row r="730" s="489" customFormat="1" x14ac:dyDescent="0.2"/>
    <row r="731" s="489" customFormat="1" x14ac:dyDescent="0.2"/>
    <row r="732" s="489" customFormat="1" x14ac:dyDescent="0.2"/>
    <row r="733" s="489" customFormat="1" x14ac:dyDescent="0.2"/>
    <row r="734" s="489" customFormat="1" x14ac:dyDescent="0.2"/>
    <row r="735" s="489" customFormat="1" x14ac:dyDescent="0.2"/>
    <row r="736" s="489" customFormat="1" x14ac:dyDescent="0.2"/>
    <row r="737" s="489" customFormat="1" x14ac:dyDescent="0.2"/>
    <row r="738" s="489" customFormat="1" x14ac:dyDescent="0.2"/>
    <row r="739" s="489" customFormat="1" x14ac:dyDescent="0.2"/>
    <row r="740" s="489" customFormat="1" x14ac:dyDescent="0.2"/>
    <row r="741" s="489" customFormat="1" x14ac:dyDescent="0.2"/>
    <row r="742" s="489" customFormat="1" x14ac:dyDescent="0.2"/>
    <row r="743" s="489" customFormat="1" x14ac:dyDescent="0.2"/>
    <row r="744" s="489" customFormat="1" x14ac:dyDescent="0.2"/>
    <row r="745" s="489" customFormat="1" x14ac:dyDescent="0.2"/>
    <row r="746" s="489" customFormat="1" x14ac:dyDescent="0.2"/>
    <row r="747" s="489" customFormat="1" x14ac:dyDescent="0.2"/>
    <row r="748" s="489" customFormat="1" x14ac:dyDescent="0.2"/>
    <row r="749" s="489" customFormat="1" x14ac:dyDescent="0.2"/>
    <row r="750" s="489" customFormat="1" x14ac:dyDescent="0.2"/>
    <row r="751" s="489" customFormat="1" x14ac:dyDescent="0.2"/>
    <row r="752" s="489" customFormat="1" x14ac:dyDescent="0.2"/>
    <row r="753" s="489" customFormat="1" x14ac:dyDescent="0.2"/>
    <row r="754" s="489" customFormat="1" x14ac:dyDescent="0.2"/>
    <row r="755" s="489" customFormat="1" x14ac:dyDescent="0.2"/>
    <row r="756" s="489" customFormat="1" x14ac:dyDescent="0.2"/>
    <row r="757" s="489" customFormat="1" x14ac:dyDescent="0.2"/>
    <row r="758" s="489" customFormat="1" x14ac:dyDescent="0.2"/>
    <row r="759" s="489" customFormat="1" x14ac:dyDescent="0.2"/>
    <row r="760" s="489" customFormat="1" x14ac:dyDescent="0.2"/>
    <row r="761" s="489" customFormat="1" x14ac:dyDescent="0.2"/>
    <row r="762" s="489" customFormat="1" x14ac:dyDescent="0.2"/>
    <row r="763" s="489" customFormat="1" x14ac:dyDescent="0.2"/>
    <row r="764" s="489" customFormat="1" x14ac:dyDescent="0.2"/>
    <row r="765" s="489" customFormat="1" x14ac:dyDescent="0.2"/>
    <row r="766" s="489" customFormat="1" x14ac:dyDescent="0.2"/>
    <row r="767" s="489" customFormat="1" x14ac:dyDescent="0.2"/>
    <row r="768" s="489" customFormat="1" x14ac:dyDescent="0.2"/>
    <row r="769" s="489" customFormat="1" x14ac:dyDescent="0.2"/>
    <row r="770" s="489" customFormat="1" x14ac:dyDescent="0.2"/>
    <row r="771" s="489" customFormat="1" x14ac:dyDescent="0.2"/>
    <row r="772" s="489" customFormat="1" x14ac:dyDescent="0.2"/>
    <row r="773" s="489" customFormat="1" x14ac:dyDescent="0.2"/>
    <row r="774" s="489" customFormat="1" x14ac:dyDescent="0.2"/>
    <row r="775" s="489" customFormat="1" x14ac:dyDescent="0.2"/>
    <row r="776" s="489" customFormat="1" x14ac:dyDescent="0.2"/>
    <row r="777" s="489" customFormat="1" x14ac:dyDescent="0.2"/>
    <row r="778" s="489" customFormat="1" x14ac:dyDescent="0.2"/>
    <row r="779" s="489" customFormat="1" x14ac:dyDescent="0.2"/>
    <row r="780" s="489" customFormat="1" x14ac:dyDescent="0.2"/>
    <row r="781" s="489" customFormat="1" x14ac:dyDescent="0.2"/>
    <row r="782" s="489" customFormat="1" x14ac:dyDescent="0.2"/>
    <row r="783" s="489" customFormat="1" x14ac:dyDescent="0.2"/>
    <row r="784" s="489" customFormat="1" x14ac:dyDescent="0.2"/>
    <row r="785" s="489" customFormat="1" x14ac:dyDescent="0.2"/>
    <row r="786" s="489" customFormat="1" x14ac:dyDescent="0.2"/>
    <row r="787" s="489" customFormat="1" x14ac:dyDescent="0.2"/>
    <row r="788" s="489" customFormat="1" x14ac:dyDescent="0.2"/>
    <row r="789" s="489" customFormat="1" x14ac:dyDescent="0.2"/>
    <row r="790" s="489" customFormat="1" x14ac:dyDescent="0.2"/>
    <row r="791" s="489" customFormat="1" x14ac:dyDescent="0.2"/>
    <row r="792" s="489" customFormat="1" x14ac:dyDescent="0.2"/>
    <row r="793" s="489" customFormat="1" x14ac:dyDescent="0.2"/>
    <row r="794" s="489" customFormat="1" x14ac:dyDescent="0.2"/>
    <row r="795" s="489" customFormat="1" x14ac:dyDescent="0.2"/>
    <row r="796" s="489" customFormat="1" x14ac:dyDescent="0.2"/>
    <row r="797" s="489" customFormat="1" x14ac:dyDescent="0.2"/>
    <row r="798" s="489" customFormat="1" x14ac:dyDescent="0.2"/>
    <row r="799" s="489" customFormat="1" x14ac:dyDescent="0.2"/>
    <row r="800" s="489" customFormat="1" x14ac:dyDescent="0.2"/>
    <row r="801" s="489" customFormat="1" x14ac:dyDescent="0.2"/>
    <row r="802" s="489" customFormat="1" x14ac:dyDescent="0.2"/>
    <row r="803" s="489" customFormat="1" x14ac:dyDescent="0.2"/>
    <row r="804" s="489" customFormat="1" x14ac:dyDescent="0.2"/>
    <row r="805" s="489" customFormat="1" x14ac:dyDescent="0.2"/>
    <row r="806" s="489" customFormat="1" x14ac:dyDescent="0.2"/>
    <row r="807" s="489" customFormat="1" x14ac:dyDescent="0.2"/>
    <row r="808" s="489" customFormat="1" x14ac:dyDescent="0.2"/>
    <row r="809" s="489" customFormat="1" x14ac:dyDescent="0.2"/>
    <row r="810" s="489" customFormat="1" x14ac:dyDescent="0.2"/>
    <row r="811" s="489" customFormat="1" x14ac:dyDescent="0.2"/>
    <row r="812" s="489" customFormat="1" x14ac:dyDescent="0.2"/>
    <row r="813" s="489" customFormat="1" x14ac:dyDescent="0.2"/>
    <row r="814" s="489" customFormat="1" x14ac:dyDescent="0.2"/>
    <row r="815" s="489" customFormat="1" x14ac:dyDescent="0.2"/>
    <row r="816" s="489" customFormat="1" x14ac:dyDescent="0.2"/>
    <row r="817" s="489" customFormat="1" x14ac:dyDescent="0.2"/>
    <row r="818" s="489" customFormat="1" x14ac:dyDescent="0.2"/>
    <row r="819" s="489" customFormat="1" x14ac:dyDescent="0.2"/>
    <row r="820" s="489" customFormat="1" x14ac:dyDescent="0.2"/>
    <row r="821" s="489" customFormat="1" x14ac:dyDescent="0.2"/>
    <row r="822" s="489" customFormat="1" x14ac:dyDescent="0.2"/>
    <row r="823" s="489" customFormat="1" x14ac:dyDescent="0.2"/>
  </sheetData>
  <sheetProtection algorithmName="SHA-512" hashValue="iIOV/Cb1blYyb/uSlARIAzsImAamsO9SpdeavdL+ErkUbxChuTlkutfDrzwsxkXH4StUZl230fhA4G5QvWnF9A==" saltValue="nHdM/196CI3oPKA1To55zg==" spinCount="100000" sheet="1" objects="1" scenarios="1"/>
  <mergeCells count="5">
    <mergeCell ref="A10:B10"/>
    <mergeCell ref="A13:B13"/>
    <mergeCell ref="A26:B26"/>
    <mergeCell ref="A38:B38"/>
    <mergeCell ref="A1:E1"/>
  </mergeCells>
  <conditionalFormatting sqref="C18:C22 C31:C34 C27:E28 C39:E40 C24:C26 C36:C38">
    <cfRule type="expression" dxfId="17" priority="4" stopIfTrue="1">
      <formula>$C$6="ex-ante"</formula>
    </cfRule>
  </conditionalFormatting>
  <conditionalFormatting sqref="C23">
    <cfRule type="expression" dxfId="16" priority="2" stopIfTrue="1">
      <formula>$C$6="ex-ante"</formula>
    </cfRule>
  </conditionalFormatting>
  <conditionalFormatting sqref="C35">
    <cfRule type="expression" dxfId="15" priority="1" stopIfTrue="1">
      <formula>$C$6="ex-ante"</formula>
    </cfRule>
  </conditionalFormatting>
  <pageMargins left="0.74803149606299213" right="0.74803149606299213" top="0.98425196850393704" bottom="0.98425196850393704" header="0.51181102362204722" footer="0.51181102362204722"/>
  <pageSetup paperSize="8" scale="86" orientation="landscape" r:id="rId1"/>
  <headerFooter alignWithMargins="0"/>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CBBED-FD5D-4537-A27C-775751CBFDB9}">
  <sheetPr published="0" codeName="Blad3">
    <tabColor theme="6" tint="0.59999389629810485"/>
  </sheetPr>
  <dimension ref="A1"/>
  <sheetViews>
    <sheetView workbookViewId="0">
      <selection activeCell="B10" sqref="B10"/>
    </sheetView>
  </sheetViews>
  <sheetFormatPr defaultColWidth="8.7109375" defaultRowHeight="12.75" x14ac:dyDescent="0.2"/>
  <cols>
    <col min="1" max="16384" width="8.7109375" style="195"/>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BBCC-C0C8-4F1D-987E-B4A4D6CF2F01}">
  <sheetPr>
    <pageSetUpPr fitToPage="1"/>
  </sheetPr>
  <dimension ref="A1:S51"/>
  <sheetViews>
    <sheetView zoomScaleNormal="100" workbookViewId="0">
      <selection activeCell="D24" sqref="D24"/>
    </sheetView>
  </sheetViews>
  <sheetFormatPr defaultColWidth="9.140625" defaultRowHeight="12.75" x14ac:dyDescent="0.2"/>
  <cols>
    <col min="1" max="1" width="4.5703125" style="166" customWidth="1"/>
    <col min="2" max="2" width="54.85546875" style="166" customWidth="1"/>
    <col min="3" max="3" width="25.7109375" style="166" customWidth="1"/>
    <col min="4" max="4" width="25.7109375" style="212" customWidth="1"/>
    <col min="5" max="5" width="23.28515625" style="166" customWidth="1"/>
    <col min="6" max="13" width="9.140625" style="166"/>
    <col min="14" max="16384" width="9.140625" style="203"/>
  </cols>
  <sheetData>
    <row r="1" spans="1:19" ht="23.1" customHeight="1" thickBot="1" x14ac:dyDescent="0.25">
      <c r="A1" s="1208" t="s">
        <v>404</v>
      </c>
      <c r="B1" s="1209"/>
      <c r="C1" s="1209"/>
      <c r="D1" s="1210"/>
      <c r="E1" s="289"/>
      <c r="F1" s="289"/>
      <c r="G1" s="289"/>
      <c r="H1" s="289"/>
      <c r="I1" s="289"/>
      <c r="J1" s="289"/>
      <c r="K1" s="289"/>
      <c r="L1" s="206"/>
      <c r="M1" s="206"/>
      <c r="N1" s="206"/>
      <c r="O1" s="206"/>
      <c r="P1" s="206"/>
      <c r="Q1" s="206"/>
      <c r="R1" s="206"/>
      <c r="S1" s="206"/>
    </row>
    <row r="2" spans="1:19" x14ac:dyDescent="0.2">
      <c r="B2" s="203">
        <f>+TITELBLAD!E16</f>
        <v>2022</v>
      </c>
      <c r="C2" s="206"/>
      <c r="L2" s="206"/>
      <c r="M2" s="206"/>
      <c r="N2" s="206"/>
      <c r="O2" s="206"/>
      <c r="P2" s="206"/>
      <c r="Q2" s="206"/>
      <c r="R2" s="206"/>
      <c r="S2" s="206"/>
    </row>
    <row r="3" spans="1:19" x14ac:dyDescent="0.2">
      <c r="B3" s="216"/>
      <c r="L3" s="206"/>
      <c r="M3" s="206"/>
      <c r="N3" s="206"/>
      <c r="O3" s="206"/>
      <c r="P3" s="206"/>
      <c r="Q3" s="206"/>
      <c r="R3" s="206"/>
      <c r="S3" s="206"/>
    </row>
    <row r="4" spans="1:19" x14ac:dyDescent="0.2">
      <c r="B4" s="216"/>
      <c r="L4" s="206"/>
      <c r="M4" s="206"/>
      <c r="N4" s="206"/>
      <c r="O4" s="206"/>
      <c r="P4" s="206"/>
      <c r="Q4" s="206"/>
      <c r="R4" s="206"/>
      <c r="S4" s="206"/>
    </row>
    <row r="5" spans="1:19" x14ac:dyDescent="0.2">
      <c r="B5" s="216"/>
      <c r="C5" s="884" t="s">
        <v>0</v>
      </c>
      <c r="D5" s="885" t="s">
        <v>316</v>
      </c>
      <c r="L5" s="206"/>
      <c r="M5" s="206"/>
      <c r="N5" s="206"/>
      <c r="O5" s="206"/>
      <c r="P5" s="206"/>
      <c r="Q5" s="206"/>
      <c r="R5" s="206"/>
      <c r="S5" s="206"/>
    </row>
    <row r="6" spans="1:19" x14ac:dyDescent="0.2">
      <c r="B6" s="273"/>
      <c r="C6" s="886" t="s">
        <v>2</v>
      </c>
      <c r="D6" s="886" t="s">
        <v>2</v>
      </c>
      <c r="L6" s="206"/>
      <c r="M6" s="206"/>
      <c r="N6" s="206"/>
      <c r="O6" s="206"/>
      <c r="P6" s="206"/>
      <c r="Q6" s="206"/>
      <c r="R6" s="206"/>
      <c r="S6" s="206"/>
    </row>
    <row r="7" spans="1:19" x14ac:dyDescent="0.2">
      <c r="C7" s="541">
        <f>+'T9 - Overzicht'!$B$6</f>
        <v>2022</v>
      </c>
      <c r="D7" s="541">
        <f>+'T9 - Overzicht'!$B$6</f>
        <v>2022</v>
      </c>
      <c r="L7" s="206"/>
      <c r="M7" s="206"/>
      <c r="N7" s="206"/>
      <c r="O7" s="206"/>
      <c r="P7" s="206"/>
      <c r="Q7" s="206"/>
      <c r="R7" s="206"/>
      <c r="S7" s="206"/>
    </row>
    <row r="8" spans="1:19" x14ac:dyDescent="0.2">
      <c r="B8" s="292"/>
      <c r="C8" s="887" t="str">
        <f>+'T9 - Overzicht'!$A$10</f>
        <v>NAAM DNB</v>
      </c>
      <c r="D8" s="887" t="str">
        <f>+'T9 - Overzicht'!$A$10</f>
        <v>NAAM DNB</v>
      </c>
      <c r="L8" s="206"/>
      <c r="M8" s="206"/>
      <c r="N8" s="206"/>
      <c r="O8" s="206"/>
      <c r="P8" s="206"/>
      <c r="Q8" s="206"/>
      <c r="R8" s="206"/>
      <c r="S8" s="206"/>
    </row>
    <row r="9" spans="1:19" x14ac:dyDescent="0.2">
      <c r="C9" s="887" t="str">
        <f>+'T9 - Overzicht'!$A$13</f>
        <v>gas</v>
      </c>
      <c r="D9" s="887" t="str">
        <f>+'T9 - Overzicht'!$A$13</f>
        <v>gas</v>
      </c>
      <c r="L9" s="206"/>
      <c r="M9" s="206"/>
      <c r="N9" s="206"/>
      <c r="O9" s="206"/>
      <c r="P9" s="206"/>
      <c r="Q9" s="206"/>
      <c r="R9" s="206"/>
      <c r="S9" s="206"/>
    </row>
    <row r="10" spans="1:19" x14ac:dyDescent="0.2">
      <c r="C10" s="888"/>
      <c r="D10" s="888"/>
      <c r="L10" s="206"/>
      <c r="M10" s="206"/>
      <c r="N10" s="206"/>
      <c r="O10" s="206"/>
      <c r="P10" s="206"/>
      <c r="Q10" s="206"/>
      <c r="R10" s="206"/>
      <c r="S10" s="206"/>
    </row>
    <row r="11" spans="1:19" s="892" customFormat="1" ht="18" customHeight="1" x14ac:dyDescent="0.2">
      <c r="A11" s="175"/>
      <c r="B11" s="889"/>
      <c r="C11" s="890"/>
      <c r="D11" s="890"/>
      <c r="E11" s="175"/>
      <c r="F11" s="175"/>
      <c r="G11" s="175"/>
      <c r="H11" s="175"/>
      <c r="I11" s="175"/>
      <c r="J11" s="175"/>
      <c r="K11" s="175"/>
      <c r="L11" s="891"/>
      <c r="M11" s="891"/>
      <c r="N11" s="891"/>
      <c r="O11" s="891"/>
      <c r="P11" s="891"/>
      <c r="Q11" s="891"/>
      <c r="R11" s="891"/>
      <c r="S11" s="891"/>
    </row>
    <row r="12" spans="1:19" s="892" customFormat="1" ht="32.1" customHeight="1" x14ac:dyDescent="0.2">
      <c r="A12" s="175"/>
      <c r="B12" s="785" t="s">
        <v>258</v>
      </c>
      <c r="C12" s="984">
        <f>+IF($C$9="elektriciteit",-T13A!G63-T13A!H63,IF('T10'!$C$9="gas",-T13C!G42-T13C!H42,"FOUT"))</f>
        <v>0</v>
      </c>
      <c r="D12" s="984">
        <f>+IF($C$9="elektriciteit",-T13A!G117-T13A!H117,IF('T10'!$C$9="gas",-T13C!G75-T13C!H75,"FOUT"))</f>
        <v>0</v>
      </c>
      <c r="E12" s="985" t="s">
        <v>468</v>
      </c>
      <c r="F12" s="175"/>
      <c r="G12" s="175"/>
      <c r="H12" s="175"/>
      <c r="I12" s="175"/>
      <c r="J12" s="175"/>
      <c r="K12" s="175"/>
      <c r="L12" s="175"/>
      <c r="M12" s="175"/>
    </row>
    <row r="13" spans="1:19" s="892" customFormat="1" ht="32.1" customHeight="1" x14ac:dyDescent="0.2">
      <c r="A13" s="175"/>
      <c r="B13" s="889" t="s">
        <v>259</v>
      </c>
      <c r="C13" s="984">
        <f>+IF($C$9="elektriciteit",-T13B!G63-T13B!H63,IF('T10'!$C$9="gas",-T13D!G42-T13D!H42,"FOUT"))</f>
        <v>0</v>
      </c>
      <c r="D13" s="984">
        <f>+IF($C$9="elektriciteit",-T13B!G117-T13B!H117,IF('T10'!$C$9="gas",-T13D!G75-T13D!H75,"FOUT"))</f>
        <v>0</v>
      </c>
      <c r="E13" s="985" t="s">
        <v>468</v>
      </c>
      <c r="F13" s="175"/>
      <c r="G13" s="175"/>
      <c r="H13" s="175"/>
      <c r="I13" s="175"/>
      <c r="J13" s="175"/>
      <c r="K13" s="175"/>
      <c r="L13" s="175"/>
      <c r="M13" s="175"/>
    </row>
    <row r="14" spans="1:19" s="892" customFormat="1" ht="18" customHeight="1" x14ac:dyDescent="0.2">
      <c r="A14" s="175"/>
      <c r="B14" s="889" t="s">
        <v>251</v>
      </c>
      <c r="C14" s="607">
        <v>0.25</v>
      </c>
      <c r="D14" s="607">
        <v>0.25</v>
      </c>
      <c r="E14" s="175"/>
      <c r="F14" s="175"/>
      <c r="G14" s="175"/>
      <c r="H14" s="175"/>
      <c r="I14" s="175"/>
      <c r="J14" s="175"/>
      <c r="K14" s="175"/>
      <c r="L14" s="175"/>
      <c r="M14" s="175"/>
    </row>
    <row r="15" spans="1:19" s="892" customFormat="1" ht="30.75" customHeight="1" x14ac:dyDescent="0.2">
      <c r="A15" s="175"/>
      <c r="B15" s="786" t="s">
        <v>252</v>
      </c>
      <c r="C15" s="893">
        <f>(C12+C13)*C14/(1-C14)</f>
        <v>0</v>
      </c>
      <c r="D15" s="893">
        <f>(D12+D13)*D14/(1-D14)</f>
        <v>0</v>
      </c>
      <c r="E15" s="175"/>
      <c r="F15" s="175"/>
      <c r="G15" s="175"/>
      <c r="H15" s="175"/>
      <c r="I15" s="175"/>
      <c r="J15" s="175"/>
      <c r="K15" s="175"/>
      <c r="L15" s="175"/>
      <c r="M15" s="175"/>
    </row>
    <row r="51" spans="1:13" s="212" customFormat="1" x14ac:dyDescent="0.2">
      <c r="A51" s="166"/>
      <c r="B51" s="292"/>
      <c r="C51" s="166"/>
      <c r="E51" s="166"/>
      <c r="F51" s="166"/>
      <c r="G51" s="166"/>
      <c r="H51" s="166"/>
      <c r="I51" s="166"/>
      <c r="J51" s="166"/>
      <c r="K51" s="166"/>
      <c r="L51" s="166"/>
      <c r="M51" s="166"/>
    </row>
  </sheetData>
  <sheetProtection algorithmName="SHA-512" hashValue="wPwr1igGL6UXA0ZeK+ftoAsabekCHu1dogae5TMSmpQR5F4vaIzYUBgfzE6u+bjb0n5D8hG/LwXroRopo3Qr4w==" saltValue="gnzoduBcmeLV6xGVtOrLlQ=="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00000000-000E-0000-1300-000001000000}">
            <xm:f>'T9 - Overzicht'!$C$6="ex-ante"</xm:f>
            <x14:dxf>
              <fill>
                <patternFill patternType="lightUp"/>
              </fill>
            </x14:dxf>
          </x14:cfRule>
          <xm:sqref>D5:D15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C63B-C54D-4509-B77B-7A2C001662E7}">
  <sheetPr>
    <pageSetUpPr fitToPage="1"/>
  </sheetPr>
  <dimension ref="A1:S50"/>
  <sheetViews>
    <sheetView zoomScaleNormal="100" workbookViewId="0">
      <selection activeCell="D14" sqref="D14"/>
    </sheetView>
  </sheetViews>
  <sheetFormatPr defaultColWidth="9.140625" defaultRowHeight="12.75" x14ac:dyDescent="0.2"/>
  <cols>
    <col min="1" max="1" width="4.5703125" style="166" customWidth="1"/>
    <col min="2" max="2" width="54.85546875" style="166" customWidth="1"/>
    <col min="3" max="3" width="31.7109375" style="166" customWidth="1"/>
    <col min="4" max="4" width="31.7109375" style="212" customWidth="1"/>
    <col min="5" max="5" width="23.28515625" style="166" customWidth="1"/>
    <col min="6" max="13" width="9.140625" style="166"/>
    <col min="14" max="16384" width="9.140625" style="203"/>
  </cols>
  <sheetData>
    <row r="1" spans="1:19" ht="23.1" customHeight="1" thickBot="1" x14ac:dyDescent="0.25">
      <c r="A1" s="1208" t="s">
        <v>424</v>
      </c>
      <c r="B1" s="1209"/>
      <c r="C1" s="1209"/>
      <c r="D1" s="1210"/>
      <c r="E1" s="289"/>
      <c r="F1" s="289"/>
      <c r="G1" s="289"/>
      <c r="H1" s="289"/>
      <c r="I1" s="289"/>
      <c r="J1" s="289"/>
      <c r="K1" s="289"/>
      <c r="L1" s="206"/>
      <c r="M1" s="206"/>
      <c r="N1" s="206"/>
      <c r="O1" s="206"/>
      <c r="P1" s="206"/>
      <c r="Q1" s="206"/>
      <c r="R1" s="206"/>
      <c r="S1" s="206"/>
    </row>
    <row r="2" spans="1:19" x14ac:dyDescent="0.2">
      <c r="B2" s="203">
        <f>+TITELBLAD!E16</f>
        <v>2022</v>
      </c>
      <c r="C2" s="206"/>
      <c r="L2" s="206"/>
      <c r="M2" s="206"/>
      <c r="N2" s="206"/>
      <c r="O2" s="206"/>
      <c r="P2" s="206"/>
      <c r="Q2" s="206"/>
      <c r="R2" s="206"/>
      <c r="S2" s="206"/>
    </row>
    <row r="3" spans="1:19" x14ac:dyDescent="0.2">
      <c r="B3" s="216"/>
      <c r="L3" s="206"/>
      <c r="M3" s="206"/>
      <c r="N3" s="206"/>
      <c r="O3" s="206"/>
      <c r="P3" s="206"/>
      <c r="Q3" s="206"/>
      <c r="R3" s="206"/>
      <c r="S3" s="206"/>
    </row>
    <row r="4" spans="1:19" x14ac:dyDescent="0.2">
      <c r="B4" s="216"/>
      <c r="L4" s="206"/>
      <c r="M4" s="206"/>
      <c r="N4" s="206"/>
      <c r="O4" s="206"/>
      <c r="P4" s="206"/>
      <c r="Q4" s="206"/>
      <c r="R4" s="206"/>
      <c r="S4" s="206"/>
    </row>
    <row r="5" spans="1:19" x14ac:dyDescent="0.2">
      <c r="B5" s="216"/>
      <c r="C5" s="884" t="s">
        <v>0</v>
      </c>
      <c r="D5" s="885" t="s">
        <v>316</v>
      </c>
      <c r="L5" s="206"/>
      <c r="M5" s="206"/>
      <c r="N5" s="206"/>
      <c r="O5" s="206"/>
      <c r="P5" s="206"/>
      <c r="Q5" s="206"/>
      <c r="R5" s="206"/>
      <c r="S5" s="206"/>
    </row>
    <row r="6" spans="1:19" x14ac:dyDescent="0.2">
      <c r="B6" s="273"/>
      <c r="C6" s="886" t="s">
        <v>2</v>
      </c>
      <c r="D6" s="886" t="s">
        <v>2</v>
      </c>
      <c r="L6" s="206"/>
      <c r="M6" s="206"/>
      <c r="N6" s="206"/>
      <c r="O6" s="206"/>
      <c r="P6" s="206"/>
      <c r="Q6" s="206"/>
      <c r="R6" s="206"/>
      <c r="S6" s="206"/>
    </row>
    <row r="7" spans="1:19" x14ac:dyDescent="0.2">
      <c r="C7" s="541">
        <f>+'T9 - Overzicht'!$B$6</f>
        <v>2022</v>
      </c>
      <c r="D7" s="541">
        <f>+'T9 - Overzicht'!$B$6</f>
        <v>2022</v>
      </c>
      <c r="L7" s="206"/>
      <c r="M7" s="206"/>
      <c r="N7" s="206"/>
      <c r="O7" s="206"/>
      <c r="P7" s="206"/>
      <c r="Q7" s="206"/>
      <c r="R7" s="206"/>
      <c r="S7" s="206"/>
    </row>
    <row r="8" spans="1:19" x14ac:dyDescent="0.2">
      <c r="B8" s="292"/>
      <c r="C8" s="887" t="str">
        <f>+'T9 - Overzicht'!$A$10</f>
        <v>NAAM DNB</v>
      </c>
      <c r="D8" s="887" t="str">
        <f>+'T9 - Overzicht'!$A$10</f>
        <v>NAAM DNB</v>
      </c>
      <c r="L8" s="206"/>
      <c r="M8" s="206"/>
      <c r="N8" s="206"/>
      <c r="O8" s="206"/>
      <c r="P8" s="206"/>
      <c r="Q8" s="206"/>
      <c r="R8" s="206"/>
      <c r="S8" s="206"/>
    </row>
    <row r="9" spans="1:19" x14ac:dyDescent="0.2">
      <c r="C9" s="887" t="str">
        <f>+'T9 - Overzicht'!$A$13</f>
        <v>gas</v>
      </c>
      <c r="D9" s="887" t="str">
        <f>+'T9 - Overzicht'!$A$13</f>
        <v>gas</v>
      </c>
      <c r="L9" s="206"/>
      <c r="M9" s="206"/>
      <c r="N9" s="206"/>
      <c r="O9" s="206"/>
      <c r="P9" s="206"/>
      <c r="Q9" s="206"/>
      <c r="R9" s="206"/>
      <c r="S9" s="206"/>
    </row>
    <row r="10" spans="1:19" x14ac:dyDescent="0.2">
      <c r="C10" s="888"/>
      <c r="D10" s="888"/>
      <c r="L10" s="206"/>
      <c r="M10" s="206"/>
      <c r="N10" s="206"/>
      <c r="O10" s="206"/>
      <c r="P10" s="206"/>
      <c r="Q10" s="206"/>
      <c r="R10" s="206"/>
      <c r="S10" s="206"/>
    </row>
    <row r="11" spans="1:19" s="892" customFormat="1" ht="18" customHeight="1" x14ac:dyDescent="0.2">
      <c r="A11" s="175"/>
      <c r="B11" s="889"/>
      <c r="C11" s="890"/>
      <c r="D11" s="890"/>
      <c r="E11" s="175"/>
      <c r="F11" s="175"/>
      <c r="G11" s="175"/>
      <c r="H11" s="175"/>
      <c r="I11" s="175"/>
      <c r="J11" s="175"/>
      <c r="K11" s="175"/>
      <c r="L11" s="891"/>
      <c r="M11" s="891"/>
      <c r="N11" s="891"/>
      <c r="O11" s="891"/>
      <c r="P11" s="891"/>
      <c r="Q11" s="891"/>
      <c r="R11" s="891"/>
      <c r="S11" s="891"/>
    </row>
    <row r="12" spans="1:19" s="892" customFormat="1" ht="32.1" customHeight="1" x14ac:dyDescent="0.2">
      <c r="A12" s="175"/>
      <c r="B12" s="785" t="s">
        <v>245</v>
      </c>
      <c r="C12" s="570">
        <f>+'T3'!D184</f>
        <v>0</v>
      </c>
      <c r="D12" s="570">
        <f>+'T3'!E184</f>
        <v>0</v>
      </c>
      <c r="E12" s="175"/>
      <c r="F12" s="175"/>
      <c r="G12" s="175"/>
      <c r="H12" s="175"/>
      <c r="I12" s="175"/>
      <c r="J12" s="175"/>
      <c r="K12" s="175"/>
      <c r="L12" s="175"/>
      <c r="M12" s="175"/>
    </row>
    <row r="13" spans="1:19" s="892" customFormat="1" ht="18" customHeight="1" x14ac:dyDescent="0.2">
      <c r="A13" s="175"/>
      <c r="B13" s="889" t="s">
        <v>251</v>
      </c>
      <c r="C13" s="894">
        <f>+'T10'!C14</f>
        <v>0.25</v>
      </c>
      <c r="D13" s="894">
        <f>+'T10'!D14</f>
        <v>0.25</v>
      </c>
      <c r="E13" s="175"/>
      <c r="F13" s="175"/>
      <c r="G13" s="175"/>
      <c r="H13" s="175"/>
      <c r="I13" s="175"/>
      <c r="J13" s="175"/>
      <c r="K13" s="175"/>
      <c r="L13" s="175"/>
      <c r="M13" s="175"/>
    </row>
    <row r="14" spans="1:19" s="892" customFormat="1" ht="30.75" customHeight="1" x14ac:dyDescent="0.2">
      <c r="A14" s="175"/>
      <c r="B14" s="786" t="s">
        <v>425</v>
      </c>
      <c r="C14" s="893">
        <f>C12*C13/(1-C13)</f>
        <v>0</v>
      </c>
      <c r="D14" s="893">
        <f>D12*D13/(1-D13)</f>
        <v>0</v>
      </c>
      <c r="E14" s="175"/>
      <c r="F14" s="175"/>
      <c r="G14" s="175"/>
      <c r="H14" s="175"/>
      <c r="I14" s="175"/>
      <c r="J14" s="175"/>
      <c r="K14" s="175"/>
      <c r="L14" s="175"/>
      <c r="M14" s="175"/>
    </row>
    <row r="50" spans="1:13" s="212" customFormat="1" x14ac:dyDescent="0.2">
      <c r="A50" s="166"/>
      <c r="B50" s="292"/>
      <c r="C50" s="166"/>
      <c r="E50" s="166"/>
      <c r="F50" s="166"/>
      <c r="G50" s="166"/>
      <c r="H50" s="166"/>
      <c r="I50" s="166"/>
      <c r="J50" s="166"/>
      <c r="K50" s="166"/>
      <c r="L50" s="166"/>
      <c r="M50" s="166"/>
    </row>
  </sheetData>
  <sheetProtection algorithmName="SHA-512" hashValue="YeDzyvMkFc3+xuZWtoMr1+Xv2MJJpfhdJ/r7ELVzp0HxSlObSghX+IWgWZwG3ndEmYa6FbYi9UqHUo09sZT9Sw==" saltValue="W4Zhaa/3/35eFl0bTbxfOQ=="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F7BB0FF0-8AEB-4C17-A165-D1732AB18C91}">
            <xm:f>'T9 - Overzicht'!$C$6="ex-ante"</xm:f>
            <x14:dxf>
              <fill>
                <patternFill patternType="lightUp"/>
              </fill>
            </x14:dxf>
          </x14:cfRule>
          <xm:sqref>D5:D14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27DF-C76B-467A-8D7A-3CFB79FA6AC6}">
  <dimension ref="A1:N24"/>
  <sheetViews>
    <sheetView zoomScale="85" zoomScaleNormal="85" workbookViewId="0">
      <selection activeCell="B11" sqref="B11"/>
    </sheetView>
  </sheetViews>
  <sheetFormatPr defaultColWidth="9.140625" defaultRowHeight="12.75" x14ac:dyDescent="0.2"/>
  <cols>
    <col min="1" max="1" width="9.140625" style="166"/>
    <col min="2" max="2" width="51" style="166" bestFit="1" customWidth="1"/>
    <col min="3" max="3" width="8.42578125" style="166" customWidth="1"/>
    <col min="4" max="5" width="25.7109375" style="166" customWidth="1"/>
    <col min="6" max="6" width="17.140625" style="166" customWidth="1"/>
    <col min="7" max="7" width="21.28515625" style="292" customWidth="1"/>
    <col min="8" max="16384" width="9.140625" style="166"/>
  </cols>
  <sheetData>
    <row r="1" spans="1:14" s="203" customFormat="1" ht="20.45" customHeight="1" thickBot="1" x14ac:dyDescent="0.25">
      <c r="A1" s="1208" t="s">
        <v>426</v>
      </c>
      <c r="B1" s="1209"/>
      <c r="C1" s="1209"/>
      <c r="D1" s="1209"/>
      <c r="E1" s="1209"/>
      <c r="F1" s="1209"/>
      <c r="G1" s="1210"/>
      <c r="H1" s="289"/>
      <c r="I1" s="289"/>
      <c r="J1" s="289"/>
      <c r="K1" s="289"/>
      <c r="L1" s="289"/>
      <c r="M1" s="166"/>
      <c r="N1" s="166"/>
    </row>
    <row r="2" spans="1:14" s="203" customFormat="1" x14ac:dyDescent="0.2">
      <c r="A2" s="166"/>
      <c r="B2" s="203">
        <f>+TITELBLAD!E16</f>
        <v>2022</v>
      </c>
      <c r="C2" s="204" t="str">
        <f>+TITELBLAD!F16</f>
        <v>ex-ante</v>
      </c>
      <c r="E2" s="519"/>
      <c r="F2" s="206"/>
      <c r="G2" s="206"/>
      <c r="H2" s="206"/>
      <c r="I2" s="206"/>
      <c r="J2" s="206"/>
      <c r="K2" s="206"/>
      <c r="L2" s="206"/>
      <c r="M2" s="206"/>
      <c r="N2" s="206"/>
    </row>
    <row r="3" spans="1:14" s="203" customFormat="1" x14ac:dyDescent="0.2">
      <c r="A3" s="166"/>
      <c r="B3" s="353" t="s">
        <v>250</v>
      </c>
      <c r="C3" s="212"/>
      <c r="D3" s="166"/>
      <c r="E3" s="166"/>
      <c r="F3" s="166"/>
      <c r="G3" s="292"/>
      <c r="H3" s="166"/>
      <c r="I3" s="166"/>
      <c r="J3" s="166"/>
      <c r="K3" s="166"/>
      <c r="L3" s="166"/>
      <c r="M3" s="166"/>
      <c r="N3" s="166"/>
    </row>
    <row r="4" spans="1:14" s="203" customFormat="1" ht="12.95" customHeight="1" x14ac:dyDescent="0.2">
      <c r="A4" s="166"/>
      <c r="B4" s="216" t="s">
        <v>253</v>
      </c>
      <c r="C4" s="212"/>
      <c r="D4" s="166"/>
      <c r="E4" s="166"/>
      <c r="F4" s="166"/>
      <c r="G4" s="292"/>
      <c r="H4" s="166"/>
      <c r="I4" s="166"/>
      <c r="J4" s="166"/>
      <c r="K4" s="166"/>
      <c r="L4" s="166"/>
      <c r="M4" s="166"/>
      <c r="N4" s="166"/>
    </row>
    <row r="5" spans="1:14" s="489" customFormat="1" ht="71.099999999999994" customHeight="1" x14ac:dyDescent="0.2">
      <c r="B5" s="1211" t="s">
        <v>321</v>
      </c>
      <c r="C5" s="1211"/>
      <c r="D5" s="1211"/>
      <c r="E5" s="1211"/>
    </row>
    <row r="6" spans="1:14" s="489" customFormat="1" x14ac:dyDescent="0.2">
      <c r="E6" s="212"/>
      <c r="F6" s="166"/>
    </row>
    <row r="7" spans="1:14" s="203" customFormat="1" x14ac:dyDescent="0.2">
      <c r="A7" s="166"/>
      <c r="B7" s="166"/>
      <c r="C7" s="212"/>
      <c r="D7" s="166"/>
      <c r="E7" s="212"/>
      <c r="F7" s="166"/>
      <c r="G7" s="292"/>
      <c r="H7" s="166"/>
      <c r="I7" s="166"/>
      <c r="J7" s="166"/>
      <c r="K7" s="166"/>
      <c r="L7" s="166"/>
      <c r="M7" s="166"/>
      <c r="N7" s="166"/>
    </row>
    <row r="8" spans="1:14" s="203" customFormat="1" x14ac:dyDescent="0.2">
      <c r="A8" s="166"/>
      <c r="B8" s="166"/>
      <c r="C8" s="212"/>
      <c r="D8" s="946" t="s">
        <v>0</v>
      </c>
      <c r="E8" s="946" t="s">
        <v>1</v>
      </c>
      <c r="F8" s="166"/>
      <c r="G8" s="292"/>
      <c r="H8" s="166"/>
      <c r="I8" s="166"/>
      <c r="J8" s="166"/>
      <c r="K8" s="166"/>
      <c r="L8" s="166"/>
      <c r="M8" s="166"/>
      <c r="N8" s="166"/>
    </row>
    <row r="9" spans="1:14" s="203" customFormat="1" x14ac:dyDescent="0.2">
      <c r="A9" s="166"/>
      <c r="B9" s="273"/>
      <c r="C9" s="212"/>
      <c r="D9" s="886" t="s">
        <v>2</v>
      </c>
      <c r="E9" s="886" t="s">
        <v>2</v>
      </c>
      <c r="F9" s="166"/>
      <c r="G9" s="947"/>
      <c r="H9" s="166"/>
      <c r="I9" s="166"/>
      <c r="J9" s="166"/>
      <c r="K9" s="166"/>
      <c r="L9" s="166"/>
      <c r="M9" s="166"/>
      <c r="N9" s="166"/>
    </row>
    <row r="10" spans="1:14" s="203" customFormat="1" x14ac:dyDescent="0.2">
      <c r="A10" s="166"/>
      <c r="B10" s="166"/>
      <c r="C10" s="212"/>
      <c r="D10" s="541">
        <f>+TITELBLAD!E16</f>
        <v>2022</v>
      </c>
      <c r="E10" s="541">
        <f>+TITELBLAD!E16</f>
        <v>2022</v>
      </c>
      <c r="F10" s="166"/>
      <c r="G10" s="292"/>
      <c r="H10" s="166"/>
      <c r="I10" s="166"/>
      <c r="J10" s="166"/>
      <c r="K10" s="166"/>
      <c r="L10" s="166"/>
      <c r="M10" s="166"/>
      <c r="N10" s="166"/>
    </row>
    <row r="11" spans="1:14" s="203" customFormat="1" x14ac:dyDescent="0.2">
      <c r="A11" s="166"/>
      <c r="B11" s="292"/>
      <c r="C11" s="212"/>
      <c r="D11" s="887" t="str">
        <f>+TITELBLAD!C7</f>
        <v>NAAM DNB</v>
      </c>
      <c r="E11" s="887" t="str">
        <f>+TITELBLAD!C7</f>
        <v>NAAM DNB</v>
      </c>
      <c r="F11" s="166"/>
      <c r="G11" s="292"/>
      <c r="H11" s="166"/>
      <c r="I11" s="166"/>
      <c r="J11" s="166"/>
      <c r="K11" s="166"/>
      <c r="L11" s="166"/>
      <c r="M11" s="166"/>
      <c r="N11" s="166"/>
    </row>
    <row r="12" spans="1:14" s="203" customFormat="1" x14ac:dyDescent="0.2">
      <c r="A12" s="166"/>
      <c r="B12" s="166"/>
      <c r="C12" s="212"/>
      <c r="D12" s="887" t="str">
        <f>+TITELBLAD!C10</f>
        <v>gas</v>
      </c>
      <c r="E12" s="887" t="str">
        <f>+TITELBLAD!C10</f>
        <v>gas</v>
      </c>
      <c r="F12" s="166"/>
      <c r="G12" s="292"/>
      <c r="H12" s="166"/>
      <c r="I12" s="166"/>
      <c r="J12" s="166"/>
      <c r="K12" s="166"/>
      <c r="L12" s="166"/>
      <c r="M12" s="166"/>
      <c r="N12" s="166"/>
    </row>
    <row r="13" spans="1:14" s="203" customFormat="1" x14ac:dyDescent="0.2">
      <c r="A13" s="166"/>
      <c r="B13" s="166"/>
      <c r="C13" s="212"/>
      <c r="D13" s="888"/>
      <c r="E13" s="888"/>
      <c r="F13" s="166"/>
      <c r="G13" s="292"/>
      <c r="H13" s="166"/>
      <c r="I13" s="166"/>
      <c r="J13" s="166"/>
      <c r="K13" s="166"/>
      <c r="L13" s="166"/>
      <c r="M13" s="166"/>
      <c r="N13" s="166"/>
    </row>
    <row r="14" spans="1:14" s="203" customFormat="1" ht="30.75" customHeight="1" x14ac:dyDescent="0.2">
      <c r="A14" s="166"/>
      <c r="B14" s="948" t="s">
        <v>113</v>
      </c>
      <c r="C14" s="949"/>
      <c r="D14" s="890"/>
      <c r="E14" s="890"/>
      <c r="F14" s="166"/>
      <c r="G14" s="165" t="s">
        <v>114</v>
      </c>
      <c r="H14" s="166"/>
      <c r="I14" s="166"/>
      <c r="J14" s="166"/>
      <c r="K14" s="166"/>
      <c r="L14" s="166"/>
      <c r="M14" s="166"/>
      <c r="N14" s="166"/>
    </row>
    <row r="15" spans="1:14" s="203" customFormat="1" ht="30.95" customHeight="1" x14ac:dyDescent="0.2">
      <c r="A15" s="166"/>
      <c r="B15" s="936" t="s">
        <v>260</v>
      </c>
      <c r="C15" s="884"/>
      <c r="D15" s="953">
        <v>0</v>
      </c>
      <c r="E15" s="953">
        <v>0</v>
      </c>
      <c r="F15" s="166"/>
      <c r="G15" s="567" t="s">
        <v>35</v>
      </c>
      <c r="H15" s="166"/>
      <c r="I15" s="166"/>
      <c r="J15" s="166"/>
      <c r="K15" s="166"/>
      <c r="L15" s="166"/>
      <c r="M15" s="166"/>
      <c r="N15" s="166"/>
    </row>
    <row r="16" spans="1:14" s="203" customFormat="1" ht="14.25" customHeight="1" x14ac:dyDescent="0.2">
      <c r="A16" s="166"/>
      <c r="B16" s="950"/>
      <c r="C16" s="575"/>
      <c r="D16" s="575"/>
      <c r="E16" s="575"/>
      <c r="F16" s="166"/>
      <c r="G16" s="567"/>
      <c r="H16" s="166"/>
      <c r="I16" s="166"/>
      <c r="J16" s="166"/>
      <c r="K16" s="166"/>
      <c r="L16" s="166"/>
      <c r="M16" s="166"/>
      <c r="N16" s="166"/>
    </row>
    <row r="17" spans="1:14" s="203" customFormat="1" ht="36" customHeight="1" x14ac:dyDescent="0.2">
      <c r="A17" s="166"/>
      <c r="B17" s="936" t="s">
        <v>261</v>
      </c>
      <c r="C17" s="951"/>
      <c r="D17" s="954">
        <v>0</v>
      </c>
      <c r="E17" s="610">
        <v>0</v>
      </c>
      <c r="F17" s="166"/>
      <c r="G17" s="567"/>
      <c r="H17" s="166"/>
      <c r="I17" s="166"/>
      <c r="J17" s="166"/>
      <c r="K17" s="166"/>
      <c r="L17" s="166"/>
      <c r="M17" s="166"/>
      <c r="N17" s="166"/>
    </row>
    <row r="18" spans="1:14" s="203" customFormat="1" ht="14.25" customHeight="1" x14ac:dyDescent="0.2">
      <c r="A18" s="166"/>
      <c r="B18" s="950"/>
      <c r="C18" s="575"/>
      <c r="D18" s="575"/>
      <c r="E18" s="575"/>
      <c r="F18" s="166"/>
      <c r="G18" s="567"/>
      <c r="H18" s="166"/>
      <c r="I18" s="166"/>
      <c r="J18" s="166"/>
      <c r="K18" s="166"/>
      <c r="L18" s="166"/>
      <c r="M18" s="166"/>
      <c r="N18" s="166"/>
    </row>
    <row r="19" spans="1:14" s="203" customFormat="1" ht="28.5" customHeight="1" x14ac:dyDescent="0.2">
      <c r="A19" s="166"/>
      <c r="B19" s="936" t="s">
        <v>254</v>
      </c>
      <c r="C19" s="951"/>
      <c r="D19" s="952">
        <f>+D15*D17</f>
        <v>0</v>
      </c>
      <c r="E19" s="952">
        <f>+E15*E17</f>
        <v>0</v>
      </c>
      <c r="F19" s="166"/>
      <c r="G19" s="567"/>
      <c r="H19" s="166"/>
      <c r="I19" s="166"/>
      <c r="J19" s="166"/>
      <c r="K19" s="166"/>
      <c r="L19" s="166"/>
      <c r="M19" s="166"/>
      <c r="N19" s="166"/>
    </row>
    <row r="20" spans="1:14" s="892" customFormat="1" ht="18" customHeight="1" x14ac:dyDescent="0.2">
      <c r="A20" s="175"/>
      <c r="B20" s="889" t="s">
        <v>251</v>
      </c>
      <c r="C20" s="575"/>
      <c r="D20" s="894">
        <f>+'T10'!C14</f>
        <v>0.25</v>
      </c>
      <c r="E20" s="894">
        <f>+'T10'!D14</f>
        <v>0.25</v>
      </c>
      <c r="F20" s="175"/>
      <c r="G20" s="567"/>
      <c r="H20" s="175"/>
      <c r="I20" s="175"/>
      <c r="J20" s="175"/>
      <c r="K20" s="175"/>
      <c r="L20" s="175"/>
      <c r="M20" s="175"/>
      <c r="N20" s="175"/>
    </row>
    <row r="21" spans="1:14" s="892" customFormat="1" ht="30.75" customHeight="1" x14ac:dyDescent="0.2">
      <c r="A21" s="175"/>
      <c r="B21" s="936" t="s">
        <v>255</v>
      </c>
      <c r="C21" s="884"/>
      <c r="D21" s="893">
        <f>-D19*D20/(1-D20)</f>
        <v>0</v>
      </c>
      <c r="E21" s="893">
        <f>-E19*E20/(1-E20)</f>
        <v>0</v>
      </c>
      <c r="F21" s="175"/>
      <c r="G21" s="567"/>
      <c r="H21" s="175"/>
      <c r="I21" s="175"/>
      <c r="J21" s="175"/>
      <c r="K21" s="175"/>
      <c r="L21" s="175"/>
      <c r="M21" s="175"/>
      <c r="N21" s="175"/>
    </row>
    <row r="22" spans="1:14" s="203" customFormat="1" x14ac:dyDescent="0.2">
      <c r="A22" s="166"/>
      <c r="B22" s="216"/>
      <c r="C22" s="212"/>
      <c r="D22" s="166"/>
      <c r="E22" s="212"/>
      <c r="F22" s="166"/>
      <c r="G22" s="292"/>
      <c r="H22" s="166"/>
      <c r="I22" s="166"/>
      <c r="J22" s="166"/>
      <c r="K22" s="166"/>
      <c r="L22" s="166"/>
      <c r="M22" s="166"/>
      <c r="N22" s="166"/>
    </row>
    <row r="23" spans="1:14" s="203" customFormat="1" x14ac:dyDescent="0.2">
      <c r="A23" s="166"/>
      <c r="B23" s="166"/>
      <c r="C23" s="212"/>
      <c r="D23" s="166"/>
      <c r="E23" s="212"/>
      <c r="F23" s="166"/>
      <c r="G23" s="292"/>
      <c r="H23" s="166"/>
      <c r="I23" s="166"/>
      <c r="J23" s="166"/>
      <c r="K23" s="166"/>
      <c r="L23" s="166"/>
      <c r="M23" s="166"/>
      <c r="N23" s="166"/>
    </row>
    <row r="24" spans="1:14" s="203" customFormat="1" x14ac:dyDescent="0.2">
      <c r="A24" s="166"/>
      <c r="B24" s="166"/>
      <c r="C24" s="212"/>
      <c r="D24" s="166"/>
      <c r="E24" s="212"/>
      <c r="F24" s="166"/>
      <c r="G24" s="292"/>
      <c r="H24" s="166"/>
      <c r="I24" s="166"/>
      <c r="J24" s="166"/>
      <c r="K24" s="166"/>
      <c r="L24" s="166"/>
      <c r="M24" s="166"/>
      <c r="N24" s="166"/>
    </row>
  </sheetData>
  <sheetProtection algorithmName="SHA-512" hashValue="vSLnkH+Go6YJsMmB9UH7aZi0sbypMVTr3H5M0833sES2KaCVJWWIRY3XD540nEf730zY4xglU0+F8K+o4utQYQ==" saltValue="qk7CwNnm9S1ruB1ZvxNFiQ==" spinCount="100000" sheet="1" objects="1" scenarios="1"/>
  <mergeCells count="2">
    <mergeCell ref="B5:E5"/>
    <mergeCell ref="A1:G1"/>
  </mergeCells>
  <conditionalFormatting sqref="E8:E21">
    <cfRule type="expression" dxfId="12" priority="1" stopIfTrue="1">
      <formula>$C$2="ex-ante"</formula>
    </cfRule>
  </conditionalFormatting>
  <pageMargins left="0.7" right="0.7" top="0.75" bottom="0.75" header="0.3" footer="0.3"/>
  <pageSetup paperSize="8" scale="4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AD4A-6622-47DC-95E4-62CDEAF67EE2}">
  <dimension ref="A1:AC118"/>
  <sheetViews>
    <sheetView topLeftCell="B1" zoomScale="80" zoomScaleNormal="80" workbookViewId="0">
      <selection activeCell="H12" sqref="H12"/>
    </sheetView>
  </sheetViews>
  <sheetFormatPr defaultColWidth="9.140625" defaultRowHeight="12.75" x14ac:dyDescent="0.2"/>
  <cols>
    <col min="1" max="1" width="51.42578125" style="166" customWidth="1"/>
    <col min="2" max="2" width="26.5703125" style="166" customWidth="1"/>
    <col min="3" max="7" width="31" style="166" customWidth="1"/>
    <col min="8" max="9" width="31" style="956" customWidth="1"/>
    <col min="10" max="10" width="31" style="166" customWidth="1"/>
    <col min="11" max="11" width="8.85546875" style="166" customWidth="1"/>
    <col min="12" max="53" width="9.140625" style="166" customWidth="1"/>
    <col min="54" max="259" width="9.140625" style="166"/>
    <col min="260" max="260" width="51.42578125" style="166" customWidth="1"/>
    <col min="261" max="261" width="26.5703125" style="166" customWidth="1"/>
    <col min="262" max="266" width="31" style="166" customWidth="1"/>
    <col min="267" max="267" width="8.85546875" style="166" customWidth="1"/>
    <col min="268" max="515" width="9.140625" style="166"/>
    <col min="516" max="516" width="51.42578125" style="166" customWidth="1"/>
    <col min="517" max="517" width="26.5703125" style="166" customWidth="1"/>
    <col min="518" max="522" width="31" style="166" customWidth="1"/>
    <col min="523" max="523" width="8.85546875" style="166" customWidth="1"/>
    <col min="524" max="771" width="9.140625" style="166"/>
    <col min="772" max="772" width="51.42578125" style="166" customWidth="1"/>
    <col min="773" max="773" width="26.5703125" style="166" customWidth="1"/>
    <col min="774" max="778" width="31" style="166" customWidth="1"/>
    <col min="779" max="779" width="8.85546875" style="166" customWidth="1"/>
    <col min="780" max="1027" width="9.140625" style="166"/>
    <col min="1028" max="1028" width="51.42578125" style="166" customWidth="1"/>
    <col min="1029" max="1029" width="26.5703125" style="166" customWidth="1"/>
    <col min="1030" max="1034" width="31" style="166" customWidth="1"/>
    <col min="1035" max="1035" width="8.85546875" style="166" customWidth="1"/>
    <col min="1036" max="1283" width="9.140625" style="166"/>
    <col min="1284" max="1284" width="51.42578125" style="166" customWidth="1"/>
    <col min="1285" max="1285" width="26.5703125" style="166" customWidth="1"/>
    <col min="1286" max="1290" width="31" style="166" customWidth="1"/>
    <col min="1291" max="1291" width="8.85546875" style="166" customWidth="1"/>
    <col min="1292" max="1539" width="9.140625" style="166"/>
    <col min="1540" max="1540" width="51.42578125" style="166" customWidth="1"/>
    <col min="1541" max="1541" width="26.5703125" style="166" customWidth="1"/>
    <col min="1542" max="1546" width="31" style="166" customWidth="1"/>
    <col min="1547" max="1547" width="8.85546875" style="166" customWidth="1"/>
    <col min="1548" max="1795" width="9.140625" style="166"/>
    <col min="1796" max="1796" width="51.42578125" style="166" customWidth="1"/>
    <col min="1797" max="1797" width="26.5703125" style="166" customWidth="1"/>
    <col min="1798" max="1802" width="31" style="166" customWidth="1"/>
    <col min="1803" max="1803" width="8.85546875" style="166" customWidth="1"/>
    <col min="1804" max="2051" width="9.140625" style="166"/>
    <col min="2052" max="2052" width="51.42578125" style="166" customWidth="1"/>
    <col min="2053" max="2053" width="26.5703125" style="166" customWidth="1"/>
    <col min="2054" max="2058" width="31" style="166" customWidth="1"/>
    <col min="2059" max="2059" width="8.85546875" style="166" customWidth="1"/>
    <col min="2060" max="2307" width="9.140625" style="166"/>
    <col min="2308" max="2308" width="51.42578125" style="166" customWidth="1"/>
    <col min="2309" max="2309" width="26.5703125" style="166" customWidth="1"/>
    <col min="2310" max="2314" width="31" style="166" customWidth="1"/>
    <col min="2315" max="2315" width="8.85546875" style="166" customWidth="1"/>
    <col min="2316" max="2563" width="9.140625" style="166"/>
    <col min="2564" max="2564" width="51.42578125" style="166" customWidth="1"/>
    <col min="2565" max="2565" width="26.5703125" style="166" customWidth="1"/>
    <col min="2566" max="2570" width="31" style="166" customWidth="1"/>
    <col min="2571" max="2571" width="8.85546875" style="166" customWidth="1"/>
    <col min="2572" max="2819" width="9.140625" style="166"/>
    <col min="2820" max="2820" width="51.42578125" style="166" customWidth="1"/>
    <col min="2821" max="2821" width="26.5703125" style="166" customWidth="1"/>
    <col min="2822" max="2826" width="31" style="166" customWidth="1"/>
    <col min="2827" max="2827" width="8.85546875" style="166" customWidth="1"/>
    <col min="2828" max="3075" width="9.140625" style="166"/>
    <col min="3076" max="3076" width="51.42578125" style="166" customWidth="1"/>
    <col min="3077" max="3077" width="26.5703125" style="166" customWidth="1"/>
    <col min="3078" max="3082" width="31" style="166" customWidth="1"/>
    <col min="3083" max="3083" width="8.85546875" style="166" customWidth="1"/>
    <col min="3084" max="3331" width="9.140625" style="166"/>
    <col min="3332" max="3332" width="51.42578125" style="166" customWidth="1"/>
    <col min="3333" max="3333" width="26.5703125" style="166" customWidth="1"/>
    <col min="3334" max="3338" width="31" style="166" customWidth="1"/>
    <col min="3339" max="3339" width="8.85546875" style="166" customWidth="1"/>
    <col min="3340" max="3587" width="9.140625" style="166"/>
    <col min="3588" max="3588" width="51.42578125" style="166" customWidth="1"/>
    <col min="3589" max="3589" width="26.5703125" style="166" customWidth="1"/>
    <col min="3590" max="3594" width="31" style="166" customWidth="1"/>
    <col min="3595" max="3595" width="8.85546875" style="166" customWidth="1"/>
    <col min="3596" max="3843" width="9.140625" style="166"/>
    <col min="3844" max="3844" width="51.42578125" style="166" customWidth="1"/>
    <col min="3845" max="3845" width="26.5703125" style="166" customWidth="1"/>
    <col min="3846" max="3850" width="31" style="166" customWidth="1"/>
    <col min="3851" max="3851" width="8.85546875" style="166" customWidth="1"/>
    <col min="3852" max="4099" width="9.140625" style="166"/>
    <col min="4100" max="4100" width="51.42578125" style="166" customWidth="1"/>
    <col min="4101" max="4101" width="26.5703125" style="166" customWidth="1"/>
    <col min="4102" max="4106" width="31" style="166" customWidth="1"/>
    <col min="4107" max="4107" width="8.85546875" style="166" customWidth="1"/>
    <col min="4108" max="4355" width="9.140625" style="166"/>
    <col min="4356" max="4356" width="51.42578125" style="166" customWidth="1"/>
    <col min="4357" max="4357" width="26.5703125" style="166" customWidth="1"/>
    <col min="4358" max="4362" width="31" style="166" customWidth="1"/>
    <col min="4363" max="4363" width="8.85546875" style="166" customWidth="1"/>
    <col min="4364" max="4611" width="9.140625" style="166"/>
    <col min="4612" max="4612" width="51.42578125" style="166" customWidth="1"/>
    <col min="4613" max="4613" width="26.5703125" style="166" customWidth="1"/>
    <col min="4614" max="4618" width="31" style="166" customWidth="1"/>
    <col min="4619" max="4619" width="8.85546875" style="166" customWidth="1"/>
    <col min="4620" max="4867" width="9.140625" style="166"/>
    <col min="4868" max="4868" width="51.42578125" style="166" customWidth="1"/>
    <col min="4869" max="4869" width="26.5703125" style="166" customWidth="1"/>
    <col min="4870" max="4874" width="31" style="166" customWidth="1"/>
    <col min="4875" max="4875" width="8.85546875" style="166" customWidth="1"/>
    <col min="4876" max="5123" width="9.140625" style="166"/>
    <col min="5124" max="5124" width="51.42578125" style="166" customWidth="1"/>
    <col min="5125" max="5125" width="26.5703125" style="166" customWidth="1"/>
    <col min="5126" max="5130" width="31" style="166" customWidth="1"/>
    <col min="5131" max="5131" width="8.85546875" style="166" customWidth="1"/>
    <col min="5132" max="5379" width="9.140625" style="166"/>
    <col min="5380" max="5380" width="51.42578125" style="166" customWidth="1"/>
    <col min="5381" max="5381" width="26.5703125" style="166" customWidth="1"/>
    <col min="5382" max="5386" width="31" style="166" customWidth="1"/>
    <col min="5387" max="5387" width="8.85546875" style="166" customWidth="1"/>
    <col min="5388" max="5635" width="9.140625" style="166"/>
    <col min="5636" max="5636" width="51.42578125" style="166" customWidth="1"/>
    <col min="5637" max="5637" width="26.5703125" style="166" customWidth="1"/>
    <col min="5638" max="5642" width="31" style="166" customWidth="1"/>
    <col min="5643" max="5643" width="8.85546875" style="166" customWidth="1"/>
    <col min="5644" max="5891" width="9.140625" style="166"/>
    <col min="5892" max="5892" width="51.42578125" style="166" customWidth="1"/>
    <col min="5893" max="5893" width="26.5703125" style="166" customWidth="1"/>
    <col min="5894" max="5898" width="31" style="166" customWidth="1"/>
    <col min="5899" max="5899" width="8.85546875" style="166" customWidth="1"/>
    <col min="5900" max="6147" width="9.140625" style="166"/>
    <col min="6148" max="6148" width="51.42578125" style="166" customWidth="1"/>
    <col min="6149" max="6149" width="26.5703125" style="166" customWidth="1"/>
    <col min="6150" max="6154" width="31" style="166" customWidth="1"/>
    <col min="6155" max="6155" width="8.85546875" style="166" customWidth="1"/>
    <col min="6156" max="6403" width="9.140625" style="166"/>
    <col min="6404" max="6404" width="51.42578125" style="166" customWidth="1"/>
    <col min="6405" max="6405" width="26.5703125" style="166" customWidth="1"/>
    <col min="6406" max="6410" width="31" style="166" customWidth="1"/>
    <col min="6411" max="6411" width="8.85546875" style="166" customWidth="1"/>
    <col min="6412" max="6659" width="9.140625" style="166"/>
    <col min="6660" max="6660" width="51.42578125" style="166" customWidth="1"/>
    <col min="6661" max="6661" width="26.5703125" style="166" customWidth="1"/>
    <col min="6662" max="6666" width="31" style="166" customWidth="1"/>
    <col min="6667" max="6667" width="8.85546875" style="166" customWidth="1"/>
    <col min="6668" max="6915" width="9.140625" style="166"/>
    <col min="6916" max="6916" width="51.42578125" style="166" customWidth="1"/>
    <col min="6917" max="6917" width="26.5703125" style="166" customWidth="1"/>
    <col min="6918" max="6922" width="31" style="166" customWidth="1"/>
    <col min="6923" max="6923" width="8.85546875" style="166" customWidth="1"/>
    <col min="6924" max="7171" width="9.140625" style="166"/>
    <col min="7172" max="7172" width="51.42578125" style="166" customWidth="1"/>
    <col min="7173" max="7173" width="26.5703125" style="166" customWidth="1"/>
    <col min="7174" max="7178" width="31" style="166" customWidth="1"/>
    <col min="7179" max="7179" width="8.85546875" style="166" customWidth="1"/>
    <col min="7180" max="7427" width="9.140625" style="166"/>
    <col min="7428" max="7428" width="51.42578125" style="166" customWidth="1"/>
    <col min="7429" max="7429" width="26.5703125" style="166" customWidth="1"/>
    <col min="7430" max="7434" width="31" style="166" customWidth="1"/>
    <col min="7435" max="7435" width="8.85546875" style="166" customWidth="1"/>
    <col min="7436" max="7683" width="9.140625" style="166"/>
    <col min="7684" max="7684" width="51.42578125" style="166" customWidth="1"/>
    <col min="7685" max="7685" width="26.5703125" style="166" customWidth="1"/>
    <col min="7686" max="7690" width="31" style="166" customWidth="1"/>
    <col min="7691" max="7691" width="8.85546875" style="166" customWidth="1"/>
    <col min="7692" max="7939" width="9.140625" style="166"/>
    <col min="7940" max="7940" width="51.42578125" style="166" customWidth="1"/>
    <col min="7941" max="7941" width="26.5703125" style="166" customWidth="1"/>
    <col min="7942" max="7946" width="31" style="166" customWidth="1"/>
    <col min="7947" max="7947" width="8.85546875" style="166" customWidth="1"/>
    <col min="7948" max="8195" width="9.140625" style="166"/>
    <col min="8196" max="8196" width="51.42578125" style="166" customWidth="1"/>
    <col min="8197" max="8197" width="26.5703125" style="166" customWidth="1"/>
    <col min="8198" max="8202" width="31" style="166" customWidth="1"/>
    <col min="8203" max="8203" width="8.85546875" style="166" customWidth="1"/>
    <col min="8204" max="8451" width="9.140625" style="166"/>
    <col min="8452" max="8452" width="51.42578125" style="166" customWidth="1"/>
    <col min="8453" max="8453" width="26.5703125" style="166" customWidth="1"/>
    <col min="8454" max="8458" width="31" style="166" customWidth="1"/>
    <col min="8459" max="8459" width="8.85546875" style="166" customWidth="1"/>
    <col min="8460" max="8707" width="9.140625" style="166"/>
    <col min="8708" max="8708" width="51.42578125" style="166" customWidth="1"/>
    <col min="8709" max="8709" width="26.5703125" style="166" customWidth="1"/>
    <col min="8710" max="8714" width="31" style="166" customWidth="1"/>
    <col min="8715" max="8715" width="8.85546875" style="166" customWidth="1"/>
    <col min="8716" max="8963" width="9.140625" style="166"/>
    <col min="8964" max="8964" width="51.42578125" style="166" customWidth="1"/>
    <col min="8965" max="8965" width="26.5703125" style="166" customWidth="1"/>
    <col min="8966" max="8970" width="31" style="166" customWidth="1"/>
    <col min="8971" max="8971" width="8.85546875" style="166" customWidth="1"/>
    <col min="8972" max="9219" width="9.140625" style="166"/>
    <col min="9220" max="9220" width="51.42578125" style="166" customWidth="1"/>
    <col min="9221" max="9221" width="26.5703125" style="166" customWidth="1"/>
    <col min="9222" max="9226" width="31" style="166" customWidth="1"/>
    <col min="9227" max="9227" width="8.85546875" style="166" customWidth="1"/>
    <col min="9228" max="9475" width="9.140625" style="166"/>
    <col min="9476" max="9476" width="51.42578125" style="166" customWidth="1"/>
    <col min="9477" max="9477" width="26.5703125" style="166" customWidth="1"/>
    <col min="9478" max="9482" width="31" style="166" customWidth="1"/>
    <col min="9483" max="9483" width="8.85546875" style="166" customWidth="1"/>
    <col min="9484" max="9731" width="9.140625" style="166"/>
    <col min="9732" max="9732" width="51.42578125" style="166" customWidth="1"/>
    <col min="9733" max="9733" width="26.5703125" style="166" customWidth="1"/>
    <col min="9734" max="9738" width="31" style="166" customWidth="1"/>
    <col min="9739" max="9739" width="8.85546875" style="166" customWidth="1"/>
    <col min="9740" max="9987" width="9.140625" style="166"/>
    <col min="9988" max="9988" width="51.42578125" style="166" customWidth="1"/>
    <col min="9989" max="9989" width="26.5703125" style="166" customWidth="1"/>
    <col min="9990" max="9994" width="31" style="166" customWidth="1"/>
    <col min="9995" max="9995" width="8.85546875" style="166" customWidth="1"/>
    <col min="9996" max="10243" width="9.140625" style="166"/>
    <col min="10244" max="10244" width="51.42578125" style="166" customWidth="1"/>
    <col min="10245" max="10245" width="26.5703125" style="166" customWidth="1"/>
    <col min="10246" max="10250" width="31" style="166" customWidth="1"/>
    <col min="10251" max="10251" width="8.85546875" style="166" customWidth="1"/>
    <col min="10252" max="10499" width="9.140625" style="166"/>
    <col min="10500" max="10500" width="51.42578125" style="166" customWidth="1"/>
    <col min="10501" max="10501" width="26.5703125" style="166" customWidth="1"/>
    <col min="10502" max="10506" width="31" style="166" customWidth="1"/>
    <col min="10507" max="10507" width="8.85546875" style="166" customWidth="1"/>
    <col min="10508" max="10755" width="9.140625" style="166"/>
    <col min="10756" max="10756" width="51.42578125" style="166" customWidth="1"/>
    <col min="10757" max="10757" width="26.5703125" style="166" customWidth="1"/>
    <col min="10758" max="10762" width="31" style="166" customWidth="1"/>
    <col min="10763" max="10763" width="8.85546875" style="166" customWidth="1"/>
    <col min="10764" max="11011" width="9.140625" style="166"/>
    <col min="11012" max="11012" width="51.42578125" style="166" customWidth="1"/>
    <col min="11013" max="11013" width="26.5703125" style="166" customWidth="1"/>
    <col min="11014" max="11018" width="31" style="166" customWidth="1"/>
    <col min="11019" max="11019" width="8.85546875" style="166" customWidth="1"/>
    <col min="11020" max="11267" width="9.140625" style="166"/>
    <col min="11268" max="11268" width="51.42578125" style="166" customWidth="1"/>
    <col min="11269" max="11269" width="26.5703125" style="166" customWidth="1"/>
    <col min="11270" max="11274" width="31" style="166" customWidth="1"/>
    <col min="11275" max="11275" width="8.85546875" style="166" customWidth="1"/>
    <col min="11276" max="11523" width="9.140625" style="166"/>
    <col min="11524" max="11524" width="51.42578125" style="166" customWidth="1"/>
    <col min="11525" max="11525" width="26.5703125" style="166" customWidth="1"/>
    <col min="11526" max="11530" width="31" style="166" customWidth="1"/>
    <col min="11531" max="11531" width="8.85546875" style="166" customWidth="1"/>
    <col min="11532" max="11779" width="9.140625" style="166"/>
    <col min="11780" max="11780" width="51.42578125" style="166" customWidth="1"/>
    <col min="11781" max="11781" width="26.5703125" style="166" customWidth="1"/>
    <col min="11782" max="11786" width="31" style="166" customWidth="1"/>
    <col min="11787" max="11787" width="8.85546875" style="166" customWidth="1"/>
    <col min="11788" max="12035" width="9.140625" style="166"/>
    <col min="12036" max="12036" width="51.42578125" style="166" customWidth="1"/>
    <col min="12037" max="12037" width="26.5703125" style="166" customWidth="1"/>
    <col min="12038" max="12042" width="31" style="166" customWidth="1"/>
    <col min="12043" max="12043" width="8.85546875" style="166" customWidth="1"/>
    <col min="12044" max="12291" width="9.140625" style="166"/>
    <col min="12292" max="12292" width="51.42578125" style="166" customWidth="1"/>
    <col min="12293" max="12293" width="26.5703125" style="166" customWidth="1"/>
    <col min="12294" max="12298" width="31" style="166" customWidth="1"/>
    <col min="12299" max="12299" width="8.85546875" style="166" customWidth="1"/>
    <col min="12300" max="12547" width="9.140625" style="166"/>
    <col min="12548" max="12548" width="51.42578125" style="166" customWidth="1"/>
    <col min="12549" max="12549" width="26.5703125" style="166" customWidth="1"/>
    <col min="12550" max="12554" width="31" style="166" customWidth="1"/>
    <col min="12555" max="12555" width="8.85546875" style="166" customWidth="1"/>
    <col min="12556" max="12803" width="9.140625" style="166"/>
    <col min="12804" max="12804" width="51.42578125" style="166" customWidth="1"/>
    <col min="12805" max="12805" width="26.5703125" style="166" customWidth="1"/>
    <col min="12806" max="12810" width="31" style="166" customWidth="1"/>
    <col min="12811" max="12811" width="8.85546875" style="166" customWidth="1"/>
    <col min="12812" max="13059" width="9.140625" style="166"/>
    <col min="13060" max="13060" width="51.42578125" style="166" customWidth="1"/>
    <col min="13061" max="13061" width="26.5703125" style="166" customWidth="1"/>
    <col min="13062" max="13066" width="31" style="166" customWidth="1"/>
    <col min="13067" max="13067" width="8.85546875" style="166" customWidth="1"/>
    <col min="13068" max="13315" width="9.140625" style="166"/>
    <col min="13316" max="13316" width="51.42578125" style="166" customWidth="1"/>
    <col min="13317" max="13317" width="26.5703125" style="166" customWidth="1"/>
    <col min="13318" max="13322" width="31" style="166" customWidth="1"/>
    <col min="13323" max="13323" width="8.85546875" style="166" customWidth="1"/>
    <col min="13324" max="13571" width="9.140625" style="166"/>
    <col min="13572" max="13572" width="51.42578125" style="166" customWidth="1"/>
    <col min="13573" max="13573" width="26.5703125" style="166" customWidth="1"/>
    <col min="13574" max="13578" width="31" style="166" customWidth="1"/>
    <col min="13579" max="13579" width="8.85546875" style="166" customWidth="1"/>
    <col min="13580" max="13827" width="9.140625" style="166"/>
    <col min="13828" max="13828" width="51.42578125" style="166" customWidth="1"/>
    <col min="13829" max="13829" width="26.5703125" style="166" customWidth="1"/>
    <col min="13830" max="13834" width="31" style="166" customWidth="1"/>
    <col min="13835" max="13835" width="8.85546875" style="166" customWidth="1"/>
    <col min="13836" max="14083" width="9.140625" style="166"/>
    <col min="14084" max="14084" width="51.42578125" style="166" customWidth="1"/>
    <col min="14085" max="14085" width="26.5703125" style="166" customWidth="1"/>
    <col min="14086" max="14090" width="31" style="166" customWidth="1"/>
    <col min="14091" max="14091" width="8.85546875" style="166" customWidth="1"/>
    <col min="14092" max="14339" width="9.140625" style="166"/>
    <col min="14340" max="14340" width="51.42578125" style="166" customWidth="1"/>
    <col min="14341" max="14341" width="26.5703125" style="166" customWidth="1"/>
    <col min="14342" max="14346" width="31" style="166" customWidth="1"/>
    <col min="14347" max="14347" width="8.85546875" style="166" customWidth="1"/>
    <col min="14348" max="14595" width="9.140625" style="166"/>
    <col min="14596" max="14596" width="51.42578125" style="166" customWidth="1"/>
    <col min="14597" max="14597" width="26.5703125" style="166" customWidth="1"/>
    <col min="14598" max="14602" width="31" style="166" customWidth="1"/>
    <col min="14603" max="14603" width="8.85546875" style="166" customWidth="1"/>
    <col min="14604" max="14851" width="9.140625" style="166"/>
    <col min="14852" max="14852" width="51.42578125" style="166" customWidth="1"/>
    <col min="14853" max="14853" width="26.5703125" style="166" customWidth="1"/>
    <col min="14854" max="14858" width="31" style="166" customWidth="1"/>
    <col min="14859" max="14859" width="8.85546875" style="166" customWidth="1"/>
    <col min="14860" max="15107" width="9.140625" style="166"/>
    <col min="15108" max="15108" width="51.42578125" style="166" customWidth="1"/>
    <col min="15109" max="15109" width="26.5703125" style="166" customWidth="1"/>
    <col min="15110" max="15114" width="31" style="166" customWidth="1"/>
    <col min="15115" max="15115" width="8.85546875" style="166" customWidth="1"/>
    <col min="15116" max="15363" width="9.140625" style="166"/>
    <col min="15364" max="15364" width="51.42578125" style="166" customWidth="1"/>
    <col min="15365" max="15365" width="26.5703125" style="166" customWidth="1"/>
    <col min="15366" max="15370" width="31" style="166" customWidth="1"/>
    <col min="15371" max="15371" width="8.85546875" style="166" customWidth="1"/>
    <col min="15372" max="15619" width="9.140625" style="166"/>
    <col min="15620" max="15620" width="51.42578125" style="166" customWidth="1"/>
    <col min="15621" max="15621" width="26.5703125" style="166" customWidth="1"/>
    <col min="15622" max="15626" width="31" style="166" customWidth="1"/>
    <col min="15627" max="15627" width="8.85546875" style="166" customWidth="1"/>
    <col min="15628" max="15875" width="9.140625" style="166"/>
    <col min="15876" max="15876" width="51.42578125" style="166" customWidth="1"/>
    <col min="15877" max="15877" width="26.5703125" style="166" customWidth="1"/>
    <col min="15878" max="15882" width="31" style="166" customWidth="1"/>
    <col min="15883" max="15883" width="8.85546875" style="166" customWidth="1"/>
    <col min="15884" max="16131" width="9.140625" style="166"/>
    <col min="16132" max="16132" width="51.42578125" style="166" customWidth="1"/>
    <col min="16133" max="16133" width="26.5703125" style="166" customWidth="1"/>
    <col min="16134" max="16138" width="31" style="166" customWidth="1"/>
    <col min="16139" max="16139" width="8.85546875" style="166" customWidth="1"/>
    <col min="16140" max="16384" width="9.140625" style="166"/>
  </cols>
  <sheetData>
    <row r="1" spans="1:29" ht="26.45" customHeight="1" thickBot="1" x14ac:dyDescent="0.25">
      <c r="A1" s="1208" t="s">
        <v>427</v>
      </c>
      <c r="B1" s="1209"/>
      <c r="C1" s="1209"/>
      <c r="D1" s="1209"/>
      <c r="E1" s="1209"/>
      <c r="F1" s="1209"/>
      <c r="G1" s="1209"/>
      <c r="H1" s="1210"/>
      <c r="I1" s="986"/>
      <c r="J1" s="291"/>
      <c r="K1" s="291"/>
      <c r="L1" s="203" t="str">
        <f>+TITELBLAD!C10</f>
        <v>gas</v>
      </c>
      <c r="M1" s="291"/>
      <c r="N1" s="291"/>
      <c r="O1" s="291"/>
      <c r="P1" s="291"/>
      <c r="Q1" s="291"/>
      <c r="R1" s="291"/>
      <c r="S1" s="291"/>
      <c r="T1" s="291"/>
      <c r="U1" s="291"/>
      <c r="V1" s="291"/>
      <c r="W1" s="291"/>
      <c r="X1" s="291"/>
      <c r="Y1" s="291"/>
      <c r="Z1" s="291"/>
      <c r="AA1" s="291"/>
      <c r="AB1" s="291"/>
      <c r="AC1" s="291"/>
    </row>
    <row r="2" spans="1:29" x14ac:dyDescent="0.2">
      <c r="A2" s="291"/>
      <c r="B2" s="291"/>
      <c r="C2" s="291"/>
      <c r="D2" s="291"/>
      <c r="E2" s="291"/>
      <c r="F2" s="291"/>
      <c r="G2" s="291"/>
      <c r="J2" s="291"/>
      <c r="K2" s="291"/>
      <c r="L2" s="291"/>
      <c r="M2" s="291"/>
      <c r="N2" s="291"/>
      <c r="O2" s="291"/>
      <c r="P2" s="291"/>
      <c r="Q2" s="291"/>
      <c r="R2" s="291"/>
      <c r="S2" s="291"/>
      <c r="T2" s="291"/>
      <c r="U2" s="291"/>
      <c r="V2" s="291"/>
      <c r="W2" s="291"/>
      <c r="X2" s="291"/>
      <c r="Y2" s="291"/>
      <c r="Z2" s="291"/>
      <c r="AA2" s="291"/>
      <c r="AB2" s="291"/>
      <c r="AC2" s="291"/>
    </row>
    <row r="3" spans="1:29" x14ac:dyDescent="0.2">
      <c r="A3" s="291"/>
      <c r="B3" s="291"/>
      <c r="C3" s="884" t="s">
        <v>300</v>
      </c>
      <c r="D3" s="884" t="s">
        <v>301</v>
      </c>
      <c r="E3" s="291"/>
      <c r="F3" s="291"/>
      <c r="G3" s="291"/>
      <c r="J3" s="291"/>
      <c r="K3" s="291"/>
      <c r="L3" s="291"/>
      <c r="M3" s="291"/>
      <c r="N3" s="291"/>
      <c r="O3" s="291"/>
      <c r="P3" s="291"/>
      <c r="Q3" s="291"/>
      <c r="R3" s="291"/>
      <c r="S3" s="291"/>
      <c r="T3" s="291"/>
      <c r="U3" s="291"/>
      <c r="V3" s="291"/>
      <c r="W3" s="291"/>
      <c r="X3" s="291"/>
      <c r="Y3" s="291"/>
      <c r="Z3" s="291"/>
      <c r="AA3" s="291"/>
      <c r="AB3" s="291"/>
      <c r="AC3" s="291"/>
    </row>
    <row r="4" spans="1:29" x14ac:dyDescent="0.2">
      <c r="A4" s="353" t="s">
        <v>433</v>
      </c>
      <c r="B4" s="895">
        <f>+TITELBLAD!E16</f>
        <v>2022</v>
      </c>
      <c r="C4" s="896">
        <f>-G63</f>
        <v>0</v>
      </c>
      <c r="D4" s="896">
        <f>-G117</f>
        <v>0</v>
      </c>
      <c r="E4" s="897"/>
      <c r="J4" s="291"/>
      <c r="K4" s="291"/>
      <c r="L4" s="291"/>
      <c r="M4" s="291"/>
      <c r="N4" s="291"/>
      <c r="O4" s="291"/>
      <c r="P4" s="291"/>
      <c r="Q4" s="291"/>
      <c r="R4" s="291"/>
      <c r="S4" s="291"/>
      <c r="T4" s="291"/>
      <c r="U4" s="291"/>
      <c r="V4" s="291"/>
      <c r="W4" s="291"/>
      <c r="X4" s="291"/>
      <c r="Y4" s="291"/>
      <c r="Z4" s="291"/>
      <c r="AA4" s="291"/>
      <c r="AB4" s="291"/>
      <c r="AC4" s="291"/>
    </row>
    <row r="5" spans="1:29" x14ac:dyDescent="0.2">
      <c r="D5" s="897"/>
      <c r="E5" s="897"/>
      <c r="J5" s="291"/>
      <c r="K5" s="291"/>
      <c r="L5" s="291"/>
      <c r="M5" s="291"/>
      <c r="N5" s="291"/>
      <c r="O5" s="291"/>
      <c r="P5" s="291"/>
      <c r="Q5" s="291"/>
      <c r="R5" s="291"/>
      <c r="S5" s="291"/>
      <c r="T5" s="291"/>
      <c r="U5" s="291"/>
      <c r="V5" s="291"/>
      <c r="W5" s="291"/>
      <c r="X5" s="291"/>
      <c r="Y5" s="291"/>
      <c r="Z5" s="291"/>
      <c r="AA5" s="291"/>
      <c r="AB5" s="291"/>
      <c r="AC5" s="291"/>
    </row>
    <row r="6" spans="1:29" x14ac:dyDescent="0.2">
      <c r="J6" s="291"/>
      <c r="K6" s="291"/>
      <c r="L6" s="291"/>
      <c r="M6" s="291"/>
      <c r="N6" s="291"/>
      <c r="O6" s="291"/>
      <c r="P6" s="291"/>
      <c r="Q6" s="291"/>
      <c r="R6" s="291"/>
      <c r="S6" s="291"/>
      <c r="T6" s="291"/>
      <c r="U6" s="291"/>
      <c r="V6" s="291"/>
      <c r="W6" s="291"/>
      <c r="X6" s="291"/>
      <c r="Y6" s="291"/>
      <c r="Z6" s="291"/>
      <c r="AA6" s="291"/>
      <c r="AB6" s="291"/>
      <c r="AC6" s="291"/>
    </row>
    <row r="7" spans="1:29" x14ac:dyDescent="0.2">
      <c r="J7" s="291"/>
      <c r="K7" s="291"/>
      <c r="L7" s="291"/>
      <c r="M7" s="291"/>
      <c r="N7" s="291"/>
      <c r="O7" s="291"/>
      <c r="P7" s="291"/>
      <c r="Q7" s="291"/>
      <c r="R7" s="291"/>
      <c r="S7" s="291"/>
      <c r="T7" s="291"/>
      <c r="U7" s="291"/>
      <c r="V7" s="291"/>
      <c r="W7" s="291"/>
      <c r="X7" s="291"/>
      <c r="Y7" s="291"/>
      <c r="Z7" s="291"/>
      <c r="AA7" s="291"/>
      <c r="AB7" s="291"/>
      <c r="AC7" s="291"/>
    </row>
    <row r="8" spans="1:29" x14ac:dyDescent="0.2">
      <c r="A8" s="353" t="s">
        <v>262</v>
      </c>
      <c r="J8" s="291"/>
      <c r="K8" s="291"/>
      <c r="L8" s="291"/>
      <c r="M8" s="291"/>
      <c r="N8" s="291"/>
      <c r="O8" s="291"/>
      <c r="P8" s="291"/>
      <c r="Q8" s="291"/>
      <c r="R8" s="291"/>
      <c r="S8" s="291"/>
      <c r="T8" s="291"/>
      <c r="U8" s="291"/>
      <c r="V8" s="291"/>
      <c r="W8" s="291"/>
      <c r="X8" s="291"/>
      <c r="Y8" s="291"/>
      <c r="Z8" s="291"/>
      <c r="AA8" s="291"/>
      <c r="AB8" s="291"/>
      <c r="AC8" s="291"/>
    </row>
    <row r="9" spans="1:29" x14ac:dyDescent="0.2">
      <c r="A9" s="216" t="s">
        <v>263</v>
      </c>
      <c r="J9" s="291"/>
      <c r="K9" s="291"/>
      <c r="L9" s="291"/>
      <c r="M9" s="291"/>
      <c r="N9" s="291"/>
      <c r="O9" s="291"/>
      <c r="P9" s="291"/>
      <c r="Q9" s="291"/>
      <c r="R9" s="291"/>
      <c r="S9" s="291"/>
      <c r="T9" s="291"/>
      <c r="U9" s="291"/>
      <c r="V9" s="291"/>
      <c r="W9" s="291"/>
      <c r="X9" s="291"/>
      <c r="Y9" s="291"/>
      <c r="Z9" s="291"/>
      <c r="AA9" s="291"/>
      <c r="AB9" s="291"/>
      <c r="AC9" s="291"/>
    </row>
    <row r="10" spans="1:29" x14ac:dyDescent="0.2">
      <c r="A10" s="898" t="s">
        <v>264</v>
      </c>
      <c r="J10" s="291"/>
      <c r="K10" s="291"/>
      <c r="L10" s="291"/>
      <c r="M10" s="291"/>
      <c r="N10" s="291"/>
      <c r="O10" s="291"/>
      <c r="P10" s="291"/>
      <c r="Q10" s="291"/>
      <c r="R10" s="291"/>
      <c r="S10" s="291"/>
      <c r="T10" s="291"/>
      <c r="U10" s="291"/>
      <c r="V10" s="291"/>
      <c r="W10" s="291"/>
      <c r="X10" s="291"/>
      <c r="Y10" s="291"/>
      <c r="Z10" s="291"/>
      <c r="AA10" s="291"/>
      <c r="AB10" s="291"/>
      <c r="AC10" s="291"/>
    </row>
    <row r="11" spans="1:29" x14ac:dyDescent="0.2">
      <c r="A11" s="898" t="s">
        <v>265</v>
      </c>
      <c r="H11" s="978" t="s">
        <v>467</v>
      </c>
      <c r="J11" s="291"/>
      <c r="K11" s="291"/>
      <c r="L11" s="291"/>
      <c r="M11" s="291"/>
      <c r="N11" s="291"/>
      <c r="O11" s="291"/>
      <c r="P11" s="291"/>
      <c r="Q11" s="291"/>
      <c r="R11" s="291"/>
      <c r="S11" s="291"/>
      <c r="T11" s="291"/>
      <c r="U11" s="291"/>
      <c r="V11" s="291"/>
      <c r="W11" s="291"/>
      <c r="X11" s="291"/>
      <c r="Y11" s="291"/>
      <c r="Z11" s="291"/>
      <c r="AA11" s="291"/>
      <c r="AB11" s="291"/>
      <c r="AC11" s="291"/>
    </row>
    <row r="12" spans="1:29" x14ac:dyDescent="0.2">
      <c r="J12" s="291"/>
      <c r="K12" s="291"/>
      <c r="L12" s="291"/>
      <c r="M12" s="291"/>
      <c r="N12" s="291"/>
      <c r="O12" s="291"/>
      <c r="P12" s="291"/>
      <c r="Q12" s="291"/>
      <c r="R12" s="291"/>
      <c r="S12" s="291"/>
      <c r="T12" s="291"/>
      <c r="U12" s="291"/>
      <c r="V12" s="291"/>
      <c r="W12" s="291"/>
      <c r="X12" s="291"/>
      <c r="Y12" s="291"/>
      <c r="Z12" s="291"/>
      <c r="AA12" s="291"/>
      <c r="AB12" s="291"/>
      <c r="AC12" s="291"/>
    </row>
    <row r="13" spans="1:29" ht="13.5" thickBot="1" x14ac:dyDescent="0.25"/>
    <row r="14" spans="1:29" ht="15.95" customHeight="1" thickBot="1" x14ac:dyDescent="0.25">
      <c r="A14" s="1215" t="str">
        <f>"BUDGET "&amp;B4</f>
        <v>BUDGET 2022</v>
      </c>
      <c r="B14" s="1216"/>
      <c r="C14" s="1216"/>
      <c r="D14" s="1216"/>
      <c r="E14" s="1216"/>
      <c r="F14" s="1216"/>
      <c r="G14" s="1216"/>
      <c r="H14" s="1216"/>
      <c r="I14" s="1216"/>
      <c r="J14" s="1217"/>
    </row>
    <row r="15" spans="1:29" ht="47.45" customHeight="1" x14ac:dyDescent="0.2">
      <c r="A15" s="899" t="s">
        <v>266</v>
      </c>
      <c r="B15" s="900" t="s">
        <v>297</v>
      </c>
      <c r="C15" s="901" t="str">
        <f>"Oorspronkelijke meerwaarde op basis van historische indexatie voor activa einde boekjaar "&amp;B4-1</f>
        <v>Oorspronkelijke meerwaarde op basis van historische indexatie voor activa einde boekjaar 2021</v>
      </c>
      <c r="D15" s="901" t="str">
        <f>"Gecumuleerde afschrijvingen activa einde boekjaar "&amp; B4-1</f>
        <v>Gecumuleerde afschrijvingen activa einde boekjaar 2021</v>
      </c>
      <c r="E15" s="901" t="str">
        <f>"Nettoboekwaarde meerwaarde op basis van historische indexatie einde boekjaar "&amp; B4-1</f>
        <v>Nettoboekwaarde meerwaarde op basis van historische indexatie einde boekjaar 2021</v>
      </c>
      <c r="F15" s="901" t="str">
        <f>"Transfers boekjaar "&amp;B4</f>
        <v>Transfers boekjaar 2022</v>
      </c>
      <c r="G15" s="901" t="str">
        <f>"Afschrijvingen boekjaar "&amp;B4</f>
        <v>Afschrijvingen boekjaar 2022</v>
      </c>
      <c r="H15" s="987" t="str">
        <f>"Desinvesteringen boekjaar "&amp;B4&amp;" n.a.v. verkoop"</f>
        <v>Desinvesteringen boekjaar 2022 n.a.v. verkoop</v>
      </c>
      <c r="I15" s="987" t="str">
        <f>"Desinvesteringen boekjaar "&amp;B4&amp;" n.a.v. structuurwijziging"</f>
        <v>Desinvesteringen boekjaar 2022 n.a.v. structuurwijziging</v>
      </c>
      <c r="J15" s="901" t="str">
        <f>"Nettoboekwaarde meerwaarde op basis van historische indexatie einde boekjaar "&amp;B4</f>
        <v>Nettoboekwaarde meerwaarde op basis van historische indexatie einde boekjaar 2022</v>
      </c>
    </row>
    <row r="16" spans="1:29" ht="13.5" thickBot="1" x14ac:dyDescent="0.25">
      <c r="A16" s="902"/>
      <c r="B16" s="903"/>
      <c r="C16" s="904" t="s">
        <v>4</v>
      </c>
      <c r="D16" s="904" t="s">
        <v>8</v>
      </c>
      <c r="E16" s="904"/>
      <c r="F16" s="904" t="s">
        <v>4</v>
      </c>
      <c r="G16" s="904" t="s">
        <v>8</v>
      </c>
      <c r="H16" s="988" t="s">
        <v>8</v>
      </c>
      <c r="I16" s="988" t="s">
        <v>8</v>
      </c>
      <c r="J16" s="905"/>
    </row>
    <row r="17" spans="1:10" x14ac:dyDescent="0.2">
      <c r="A17" s="906" t="s">
        <v>267</v>
      </c>
      <c r="B17" s="1212">
        <v>0.02</v>
      </c>
      <c r="C17" s="611">
        <v>0</v>
      </c>
      <c r="D17" s="611">
        <v>0</v>
      </c>
      <c r="E17" s="907">
        <f t="shared" ref="E17:E59" si="0">+C17+D17</f>
        <v>0</v>
      </c>
      <c r="F17" s="611">
        <v>0</v>
      </c>
      <c r="G17" s="611">
        <v>0</v>
      </c>
      <c r="H17" s="989">
        <v>0</v>
      </c>
      <c r="I17" s="989">
        <v>0</v>
      </c>
      <c r="J17" s="908">
        <f>+SUM(E17:I17)</f>
        <v>0</v>
      </c>
    </row>
    <row r="18" spans="1:10" x14ac:dyDescent="0.2">
      <c r="A18" s="909" t="s">
        <v>268</v>
      </c>
      <c r="B18" s="1213"/>
      <c r="C18" s="612">
        <v>0</v>
      </c>
      <c r="D18" s="612">
        <v>0</v>
      </c>
      <c r="E18" s="910">
        <f t="shared" si="0"/>
        <v>0</v>
      </c>
      <c r="F18" s="612">
        <v>0</v>
      </c>
      <c r="G18" s="612">
        <v>0</v>
      </c>
      <c r="H18" s="990">
        <v>0</v>
      </c>
      <c r="I18" s="990">
        <v>0</v>
      </c>
      <c r="J18" s="911">
        <f t="shared" ref="J18:J61" si="1">+SUM(E18:I18)</f>
        <v>0</v>
      </c>
    </row>
    <row r="19" spans="1:10" x14ac:dyDescent="0.2">
      <c r="A19" s="909" t="s">
        <v>269</v>
      </c>
      <c r="B19" s="1213"/>
      <c r="C19" s="612">
        <v>0</v>
      </c>
      <c r="D19" s="612">
        <v>0</v>
      </c>
      <c r="E19" s="910">
        <f t="shared" si="0"/>
        <v>0</v>
      </c>
      <c r="F19" s="612">
        <v>0</v>
      </c>
      <c r="G19" s="612">
        <v>0</v>
      </c>
      <c r="H19" s="990">
        <v>0</v>
      </c>
      <c r="I19" s="990">
        <v>0</v>
      </c>
      <c r="J19" s="911">
        <f t="shared" si="1"/>
        <v>0</v>
      </c>
    </row>
    <row r="20" spans="1:10" x14ac:dyDescent="0.2">
      <c r="A20" s="909" t="s">
        <v>270</v>
      </c>
      <c r="B20" s="1213"/>
      <c r="C20" s="612">
        <v>0</v>
      </c>
      <c r="D20" s="612">
        <v>0</v>
      </c>
      <c r="E20" s="910">
        <f t="shared" si="0"/>
        <v>0</v>
      </c>
      <c r="F20" s="612">
        <v>0</v>
      </c>
      <c r="G20" s="612">
        <v>0</v>
      </c>
      <c r="H20" s="990">
        <v>0</v>
      </c>
      <c r="I20" s="990">
        <v>0</v>
      </c>
      <c r="J20" s="911">
        <f t="shared" si="1"/>
        <v>0</v>
      </c>
    </row>
    <row r="21" spans="1:10" x14ac:dyDescent="0.2">
      <c r="A21" s="909" t="s">
        <v>383</v>
      </c>
      <c r="B21" s="1213"/>
      <c r="C21" s="612">
        <v>0</v>
      </c>
      <c r="D21" s="612">
        <v>0</v>
      </c>
      <c r="E21" s="910">
        <f t="shared" si="0"/>
        <v>0</v>
      </c>
      <c r="F21" s="612">
        <v>0</v>
      </c>
      <c r="G21" s="612">
        <v>0</v>
      </c>
      <c r="H21" s="990">
        <v>0</v>
      </c>
      <c r="I21" s="990">
        <v>0</v>
      </c>
      <c r="J21" s="911">
        <f t="shared" si="1"/>
        <v>0</v>
      </c>
    </row>
    <row r="22" spans="1:10" x14ac:dyDescent="0.2">
      <c r="A22" s="909" t="s">
        <v>384</v>
      </c>
      <c r="B22" s="1213"/>
      <c r="C22" s="612">
        <v>0</v>
      </c>
      <c r="D22" s="612">
        <v>0</v>
      </c>
      <c r="E22" s="910">
        <f t="shared" si="0"/>
        <v>0</v>
      </c>
      <c r="F22" s="612">
        <v>0</v>
      </c>
      <c r="G22" s="612">
        <v>0</v>
      </c>
      <c r="H22" s="990">
        <v>0</v>
      </c>
      <c r="I22" s="990">
        <v>0</v>
      </c>
      <c r="J22" s="911">
        <f t="shared" si="1"/>
        <v>0</v>
      </c>
    </row>
    <row r="23" spans="1:10" x14ac:dyDescent="0.2">
      <c r="A23" s="909" t="s">
        <v>271</v>
      </c>
      <c r="B23" s="1213"/>
      <c r="C23" s="612">
        <v>0</v>
      </c>
      <c r="D23" s="612">
        <v>0</v>
      </c>
      <c r="E23" s="910">
        <f t="shared" si="0"/>
        <v>0</v>
      </c>
      <c r="F23" s="612">
        <v>0</v>
      </c>
      <c r="G23" s="612">
        <v>0</v>
      </c>
      <c r="H23" s="990">
        <v>0</v>
      </c>
      <c r="I23" s="990">
        <v>0</v>
      </c>
      <c r="J23" s="911">
        <f t="shared" si="1"/>
        <v>0</v>
      </c>
    </row>
    <row r="24" spans="1:10" x14ac:dyDescent="0.2">
      <c r="A24" s="909" t="s">
        <v>385</v>
      </c>
      <c r="B24" s="1213"/>
      <c r="C24" s="612">
        <v>0</v>
      </c>
      <c r="D24" s="612">
        <v>0</v>
      </c>
      <c r="E24" s="910">
        <f t="shared" si="0"/>
        <v>0</v>
      </c>
      <c r="F24" s="612">
        <v>0</v>
      </c>
      <c r="G24" s="612">
        <v>0</v>
      </c>
      <c r="H24" s="990">
        <v>0</v>
      </c>
      <c r="I24" s="990">
        <v>0</v>
      </c>
      <c r="J24" s="911">
        <f t="shared" si="1"/>
        <v>0</v>
      </c>
    </row>
    <row r="25" spans="1:10" x14ac:dyDescent="0.2">
      <c r="A25" s="909" t="s">
        <v>272</v>
      </c>
      <c r="B25" s="1213"/>
      <c r="C25" s="612">
        <v>0</v>
      </c>
      <c r="D25" s="612">
        <v>0</v>
      </c>
      <c r="E25" s="910">
        <f t="shared" si="0"/>
        <v>0</v>
      </c>
      <c r="F25" s="612">
        <v>0</v>
      </c>
      <c r="G25" s="612">
        <v>0</v>
      </c>
      <c r="H25" s="990">
        <v>0</v>
      </c>
      <c r="I25" s="990">
        <v>0</v>
      </c>
      <c r="J25" s="911">
        <f t="shared" si="1"/>
        <v>0</v>
      </c>
    </row>
    <row r="26" spans="1:10" x14ac:dyDescent="0.2">
      <c r="A26" s="909" t="s">
        <v>386</v>
      </c>
      <c r="B26" s="1213"/>
      <c r="C26" s="612">
        <v>0</v>
      </c>
      <c r="D26" s="612">
        <v>0</v>
      </c>
      <c r="E26" s="910">
        <f t="shared" si="0"/>
        <v>0</v>
      </c>
      <c r="F26" s="612">
        <v>0</v>
      </c>
      <c r="G26" s="612">
        <v>0</v>
      </c>
      <c r="H26" s="990">
        <v>0</v>
      </c>
      <c r="I26" s="990">
        <v>0</v>
      </c>
      <c r="J26" s="911">
        <f t="shared" si="1"/>
        <v>0</v>
      </c>
    </row>
    <row r="27" spans="1:10" x14ac:dyDescent="0.2">
      <c r="A27" s="909" t="s">
        <v>387</v>
      </c>
      <c r="B27" s="1213"/>
      <c r="C27" s="612">
        <v>0</v>
      </c>
      <c r="D27" s="612">
        <v>0</v>
      </c>
      <c r="E27" s="910">
        <f t="shared" si="0"/>
        <v>0</v>
      </c>
      <c r="F27" s="612">
        <v>0</v>
      </c>
      <c r="G27" s="612">
        <v>0</v>
      </c>
      <c r="H27" s="990">
        <v>0</v>
      </c>
      <c r="I27" s="990">
        <v>0</v>
      </c>
      <c r="J27" s="911">
        <f t="shared" si="1"/>
        <v>0</v>
      </c>
    </row>
    <row r="28" spans="1:10" x14ac:dyDescent="0.2">
      <c r="A28" s="909" t="s">
        <v>273</v>
      </c>
      <c r="B28" s="1213"/>
      <c r="C28" s="612">
        <v>0</v>
      </c>
      <c r="D28" s="612">
        <v>0</v>
      </c>
      <c r="E28" s="910">
        <f t="shared" si="0"/>
        <v>0</v>
      </c>
      <c r="F28" s="612">
        <v>0</v>
      </c>
      <c r="G28" s="612">
        <v>0</v>
      </c>
      <c r="H28" s="990">
        <v>0</v>
      </c>
      <c r="I28" s="990">
        <v>0</v>
      </c>
      <c r="J28" s="911">
        <f t="shared" si="1"/>
        <v>0</v>
      </c>
    </row>
    <row r="29" spans="1:10" x14ac:dyDescent="0.2">
      <c r="A29" s="909" t="s">
        <v>388</v>
      </c>
      <c r="B29" s="1213"/>
      <c r="C29" s="612">
        <v>0</v>
      </c>
      <c r="D29" s="612">
        <v>0</v>
      </c>
      <c r="E29" s="910">
        <f t="shared" si="0"/>
        <v>0</v>
      </c>
      <c r="F29" s="612">
        <v>0</v>
      </c>
      <c r="G29" s="612">
        <v>0</v>
      </c>
      <c r="H29" s="990">
        <v>0</v>
      </c>
      <c r="I29" s="990">
        <v>0</v>
      </c>
      <c r="J29" s="911">
        <f t="shared" si="1"/>
        <v>0</v>
      </c>
    </row>
    <row r="30" spans="1:10" x14ac:dyDescent="0.2">
      <c r="A30" s="909" t="s">
        <v>274</v>
      </c>
      <c r="B30" s="1213"/>
      <c r="C30" s="612">
        <v>0</v>
      </c>
      <c r="D30" s="612">
        <v>0</v>
      </c>
      <c r="E30" s="910">
        <f t="shared" si="0"/>
        <v>0</v>
      </c>
      <c r="F30" s="612">
        <v>0</v>
      </c>
      <c r="G30" s="612">
        <v>0</v>
      </c>
      <c r="H30" s="990">
        <v>0</v>
      </c>
      <c r="I30" s="990">
        <v>0</v>
      </c>
      <c r="J30" s="911">
        <f t="shared" si="1"/>
        <v>0</v>
      </c>
    </row>
    <row r="31" spans="1:10" x14ac:dyDescent="0.2">
      <c r="A31" s="909" t="s">
        <v>389</v>
      </c>
      <c r="B31" s="1213"/>
      <c r="C31" s="612">
        <v>0</v>
      </c>
      <c r="D31" s="612">
        <v>0</v>
      </c>
      <c r="E31" s="910">
        <f t="shared" si="0"/>
        <v>0</v>
      </c>
      <c r="F31" s="612">
        <v>0</v>
      </c>
      <c r="G31" s="612">
        <v>0</v>
      </c>
      <c r="H31" s="990">
        <v>0</v>
      </c>
      <c r="I31" s="990">
        <v>0</v>
      </c>
      <c r="J31" s="911">
        <f t="shared" si="1"/>
        <v>0</v>
      </c>
    </row>
    <row r="32" spans="1:10" x14ac:dyDescent="0.2">
      <c r="A32" s="909" t="s">
        <v>390</v>
      </c>
      <c r="B32" s="1213"/>
      <c r="C32" s="612">
        <v>0</v>
      </c>
      <c r="D32" s="612">
        <v>0</v>
      </c>
      <c r="E32" s="910">
        <f t="shared" si="0"/>
        <v>0</v>
      </c>
      <c r="F32" s="612">
        <v>0</v>
      </c>
      <c r="G32" s="612">
        <v>0</v>
      </c>
      <c r="H32" s="990">
        <v>0</v>
      </c>
      <c r="I32" s="990">
        <v>0</v>
      </c>
      <c r="J32" s="911">
        <f t="shared" si="1"/>
        <v>0</v>
      </c>
    </row>
    <row r="33" spans="1:10" x14ac:dyDescent="0.2">
      <c r="A33" s="909" t="s">
        <v>275</v>
      </c>
      <c r="B33" s="1213"/>
      <c r="C33" s="612">
        <v>0</v>
      </c>
      <c r="D33" s="612">
        <v>0</v>
      </c>
      <c r="E33" s="910">
        <f t="shared" si="0"/>
        <v>0</v>
      </c>
      <c r="F33" s="612">
        <v>0</v>
      </c>
      <c r="G33" s="612">
        <v>0</v>
      </c>
      <c r="H33" s="990">
        <v>0</v>
      </c>
      <c r="I33" s="990">
        <v>0</v>
      </c>
      <c r="J33" s="911">
        <f t="shared" si="1"/>
        <v>0</v>
      </c>
    </row>
    <row r="34" spans="1:10" x14ac:dyDescent="0.2">
      <c r="A34" s="909" t="s">
        <v>391</v>
      </c>
      <c r="B34" s="1213"/>
      <c r="C34" s="612">
        <v>0</v>
      </c>
      <c r="D34" s="612">
        <v>0</v>
      </c>
      <c r="E34" s="910">
        <f t="shared" si="0"/>
        <v>0</v>
      </c>
      <c r="F34" s="612">
        <v>0</v>
      </c>
      <c r="G34" s="612">
        <v>0</v>
      </c>
      <c r="H34" s="990">
        <v>0</v>
      </c>
      <c r="I34" s="990">
        <v>0</v>
      </c>
      <c r="J34" s="911">
        <f t="shared" si="1"/>
        <v>0</v>
      </c>
    </row>
    <row r="35" spans="1:10" x14ac:dyDescent="0.2">
      <c r="A35" s="909" t="s">
        <v>276</v>
      </c>
      <c r="B35" s="1213"/>
      <c r="C35" s="612">
        <v>0</v>
      </c>
      <c r="D35" s="612">
        <v>0</v>
      </c>
      <c r="E35" s="910">
        <f>+C35+D35</f>
        <v>0</v>
      </c>
      <c r="F35" s="612">
        <v>0</v>
      </c>
      <c r="G35" s="612">
        <v>0</v>
      </c>
      <c r="H35" s="990">
        <v>0</v>
      </c>
      <c r="I35" s="990">
        <v>0</v>
      </c>
      <c r="J35" s="911">
        <f t="shared" si="1"/>
        <v>0</v>
      </c>
    </row>
    <row r="36" spans="1:10" x14ac:dyDescent="0.2">
      <c r="A36" s="909" t="s">
        <v>277</v>
      </c>
      <c r="B36" s="1213"/>
      <c r="C36" s="612">
        <v>0</v>
      </c>
      <c r="D36" s="612">
        <v>0</v>
      </c>
      <c r="E36" s="910">
        <f t="shared" si="0"/>
        <v>0</v>
      </c>
      <c r="F36" s="612">
        <v>0</v>
      </c>
      <c r="G36" s="612">
        <v>0</v>
      </c>
      <c r="H36" s="990">
        <v>0</v>
      </c>
      <c r="I36" s="990">
        <v>0</v>
      </c>
      <c r="J36" s="911">
        <f t="shared" si="1"/>
        <v>0</v>
      </c>
    </row>
    <row r="37" spans="1:10" x14ac:dyDescent="0.2">
      <c r="A37" s="909" t="s">
        <v>392</v>
      </c>
      <c r="B37" s="1213"/>
      <c r="C37" s="612">
        <v>0</v>
      </c>
      <c r="D37" s="612">
        <v>0</v>
      </c>
      <c r="E37" s="910">
        <f t="shared" si="0"/>
        <v>0</v>
      </c>
      <c r="F37" s="612">
        <v>0</v>
      </c>
      <c r="G37" s="612">
        <v>0</v>
      </c>
      <c r="H37" s="990">
        <v>0</v>
      </c>
      <c r="I37" s="990">
        <v>0</v>
      </c>
      <c r="J37" s="911">
        <f t="shared" si="1"/>
        <v>0</v>
      </c>
    </row>
    <row r="38" spans="1:10" x14ac:dyDescent="0.2">
      <c r="A38" s="909" t="s">
        <v>393</v>
      </c>
      <c r="B38" s="1213"/>
      <c r="C38" s="612">
        <v>0</v>
      </c>
      <c r="D38" s="612">
        <v>0</v>
      </c>
      <c r="E38" s="910">
        <f t="shared" si="0"/>
        <v>0</v>
      </c>
      <c r="F38" s="612">
        <v>0</v>
      </c>
      <c r="G38" s="612">
        <v>0</v>
      </c>
      <c r="H38" s="990">
        <v>0</v>
      </c>
      <c r="I38" s="990">
        <v>0</v>
      </c>
      <c r="J38" s="911">
        <f t="shared" si="1"/>
        <v>0</v>
      </c>
    </row>
    <row r="39" spans="1:10" x14ac:dyDescent="0.2">
      <c r="A39" s="909" t="s">
        <v>278</v>
      </c>
      <c r="B39" s="1213"/>
      <c r="C39" s="612">
        <v>0</v>
      </c>
      <c r="D39" s="612">
        <v>0</v>
      </c>
      <c r="E39" s="910">
        <f t="shared" si="0"/>
        <v>0</v>
      </c>
      <c r="F39" s="612">
        <v>0</v>
      </c>
      <c r="G39" s="612">
        <v>0</v>
      </c>
      <c r="H39" s="990">
        <v>0</v>
      </c>
      <c r="I39" s="990">
        <v>0</v>
      </c>
      <c r="J39" s="911">
        <f t="shared" si="1"/>
        <v>0</v>
      </c>
    </row>
    <row r="40" spans="1:10" x14ac:dyDescent="0.2">
      <c r="A40" s="909" t="s">
        <v>394</v>
      </c>
      <c r="B40" s="1213"/>
      <c r="C40" s="612">
        <v>0</v>
      </c>
      <c r="D40" s="612">
        <v>0</v>
      </c>
      <c r="E40" s="910">
        <f t="shared" si="0"/>
        <v>0</v>
      </c>
      <c r="F40" s="612">
        <v>0</v>
      </c>
      <c r="G40" s="612">
        <v>0</v>
      </c>
      <c r="H40" s="990">
        <v>0</v>
      </c>
      <c r="I40" s="990">
        <v>0</v>
      </c>
      <c r="J40" s="911">
        <f t="shared" si="1"/>
        <v>0</v>
      </c>
    </row>
    <row r="41" spans="1:10" x14ac:dyDescent="0.2">
      <c r="A41" s="909" t="s">
        <v>279</v>
      </c>
      <c r="B41" s="1213"/>
      <c r="C41" s="612">
        <v>0</v>
      </c>
      <c r="D41" s="612">
        <v>0</v>
      </c>
      <c r="E41" s="910">
        <f t="shared" si="0"/>
        <v>0</v>
      </c>
      <c r="F41" s="612">
        <v>0</v>
      </c>
      <c r="G41" s="612">
        <v>0</v>
      </c>
      <c r="H41" s="990">
        <v>0</v>
      </c>
      <c r="I41" s="990">
        <v>0</v>
      </c>
      <c r="J41" s="911">
        <f t="shared" si="1"/>
        <v>0</v>
      </c>
    </row>
    <row r="42" spans="1:10" x14ac:dyDescent="0.2">
      <c r="A42" s="909" t="s">
        <v>395</v>
      </c>
      <c r="B42" s="1213"/>
      <c r="C42" s="612">
        <v>0</v>
      </c>
      <c r="D42" s="612">
        <v>0</v>
      </c>
      <c r="E42" s="910">
        <f t="shared" si="0"/>
        <v>0</v>
      </c>
      <c r="F42" s="612">
        <v>0</v>
      </c>
      <c r="G42" s="612">
        <v>0</v>
      </c>
      <c r="H42" s="990">
        <v>0</v>
      </c>
      <c r="I42" s="990">
        <v>0</v>
      </c>
      <c r="J42" s="911">
        <f t="shared" si="1"/>
        <v>0</v>
      </c>
    </row>
    <row r="43" spans="1:10" x14ac:dyDescent="0.2">
      <c r="A43" s="909" t="s">
        <v>396</v>
      </c>
      <c r="B43" s="1213"/>
      <c r="C43" s="612">
        <v>0</v>
      </c>
      <c r="D43" s="612">
        <v>0</v>
      </c>
      <c r="E43" s="910">
        <f t="shared" si="0"/>
        <v>0</v>
      </c>
      <c r="F43" s="612">
        <v>0</v>
      </c>
      <c r="G43" s="612">
        <v>0</v>
      </c>
      <c r="H43" s="990">
        <v>0</v>
      </c>
      <c r="I43" s="990">
        <v>0</v>
      </c>
      <c r="J43" s="911">
        <f t="shared" si="1"/>
        <v>0</v>
      </c>
    </row>
    <row r="44" spans="1:10" x14ac:dyDescent="0.2">
      <c r="A44" s="909" t="s">
        <v>280</v>
      </c>
      <c r="B44" s="1213"/>
      <c r="C44" s="612">
        <v>0</v>
      </c>
      <c r="D44" s="612">
        <v>0</v>
      </c>
      <c r="E44" s="910">
        <f t="shared" si="0"/>
        <v>0</v>
      </c>
      <c r="F44" s="612">
        <v>0</v>
      </c>
      <c r="G44" s="612">
        <v>0</v>
      </c>
      <c r="H44" s="990">
        <v>0</v>
      </c>
      <c r="I44" s="990">
        <v>0</v>
      </c>
      <c r="J44" s="911">
        <f t="shared" si="1"/>
        <v>0</v>
      </c>
    </row>
    <row r="45" spans="1:10" x14ac:dyDescent="0.2">
      <c r="A45" s="909" t="s">
        <v>397</v>
      </c>
      <c r="B45" s="1213"/>
      <c r="C45" s="612">
        <v>0</v>
      </c>
      <c r="D45" s="612">
        <v>0</v>
      </c>
      <c r="E45" s="910">
        <f t="shared" si="0"/>
        <v>0</v>
      </c>
      <c r="F45" s="612">
        <v>0</v>
      </c>
      <c r="G45" s="612">
        <v>0</v>
      </c>
      <c r="H45" s="990">
        <v>0</v>
      </c>
      <c r="I45" s="990">
        <v>0</v>
      </c>
      <c r="J45" s="911">
        <f t="shared" si="1"/>
        <v>0</v>
      </c>
    </row>
    <row r="46" spans="1:10" x14ac:dyDescent="0.2">
      <c r="A46" s="909" t="s">
        <v>281</v>
      </c>
      <c r="B46" s="1213"/>
      <c r="C46" s="612">
        <v>0</v>
      </c>
      <c r="D46" s="612">
        <v>0</v>
      </c>
      <c r="E46" s="910">
        <f t="shared" si="0"/>
        <v>0</v>
      </c>
      <c r="F46" s="612">
        <v>0</v>
      </c>
      <c r="G46" s="612">
        <v>0</v>
      </c>
      <c r="H46" s="990">
        <v>0</v>
      </c>
      <c r="I46" s="990">
        <v>0</v>
      </c>
      <c r="J46" s="911">
        <f t="shared" si="1"/>
        <v>0</v>
      </c>
    </row>
    <row r="47" spans="1:10" x14ac:dyDescent="0.2">
      <c r="A47" s="909" t="s">
        <v>282</v>
      </c>
      <c r="B47" s="1213"/>
      <c r="C47" s="612">
        <v>0</v>
      </c>
      <c r="D47" s="612">
        <v>0</v>
      </c>
      <c r="E47" s="910">
        <f t="shared" si="0"/>
        <v>0</v>
      </c>
      <c r="F47" s="612">
        <v>0</v>
      </c>
      <c r="G47" s="612">
        <v>0</v>
      </c>
      <c r="H47" s="990">
        <v>0</v>
      </c>
      <c r="I47" s="990">
        <v>0</v>
      </c>
      <c r="J47" s="911">
        <f t="shared" si="1"/>
        <v>0</v>
      </c>
    </row>
    <row r="48" spans="1:10" x14ac:dyDescent="0.2">
      <c r="A48" s="909" t="s">
        <v>283</v>
      </c>
      <c r="B48" s="1213"/>
      <c r="C48" s="612">
        <v>0</v>
      </c>
      <c r="D48" s="612">
        <v>0</v>
      </c>
      <c r="E48" s="910">
        <f t="shared" si="0"/>
        <v>0</v>
      </c>
      <c r="F48" s="612">
        <v>0</v>
      </c>
      <c r="G48" s="612">
        <v>0</v>
      </c>
      <c r="H48" s="990">
        <v>0</v>
      </c>
      <c r="I48" s="990">
        <v>0</v>
      </c>
      <c r="J48" s="911">
        <f t="shared" si="1"/>
        <v>0</v>
      </c>
    </row>
    <row r="49" spans="1:10" x14ac:dyDescent="0.2">
      <c r="A49" s="909" t="s">
        <v>284</v>
      </c>
      <c r="B49" s="1213"/>
      <c r="C49" s="612">
        <v>0</v>
      </c>
      <c r="D49" s="612">
        <v>0</v>
      </c>
      <c r="E49" s="910">
        <f t="shared" si="0"/>
        <v>0</v>
      </c>
      <c r="F49" s="612">
        <v>0</v>
      </c>
      <c r="G49" s="612">
        <v>0</v>
      </c>
      <c r="H49" s="990">
        <v>0</v>
      </c>
      <c r="I49" s="990">
        <v>0</v>
      </c>
      <c r="J49" s="911">
        <f t="shared" si="1"/>
        <v>0</v>
      </c>
    </row>
    <row r="50" spans="1:10" x14ac:dyDescent="0.2">
      <c r="A50" s="909" t="s">
        <v>285</v>
      </c>
      <c r="B50" s="1213"/>
      <c r="C50" s="612">
        <v>0</v>
      </c>
      <c r="D50" s="612">
        <v>0</v>
      </c>
      <c r="E50" s="910">
        <f t="shared" si="0"/>
        <v>0</v>
      </c>
      <c r="F50" s="612">
        <v>0</v>
      </c>
      <c r="G50" s="612">
        <v>0</v>
      </c>
      <c r="H50" s="990">
        <v>0</v>
      </c>
      <c r="I50" s="990">
        <v>0</v>
      </c>
      <c r="J50" s="911">
        <f t="shared" si="1"/>
        <v>0</v>
      </c>
    </row>
    <row r="51" spans="1:10" x14ac:dyDescent="0.2">
      <c r="A51" s="909" t="s">
        <v>286</v>
      </c>
      <c r="B51" s="1213"/>
      <c r="C51" s="612">
        <v>0</v>
      </c>
      <c r="D51" s="612">
        <v>0</v>
      </c>
      <c r="E51" s="910">
        <f t="shared" si="0"/>
        <v>0</v>
      </c>
      <c r="F51" s="612">
        <v>0</v>
      </c>
      <c r="G51" s="612">
        <v>0</v>
      </c>
      <c r="H51" s="990">
        <v>0</v>
      </c>
      <c r="I51" s="990">
        <v>0</v>
      </c>
      <c r="J51" s="911">
        <f t="shared" si="1"/>
        <v>0</v>
      </c>
    </row>
    <row r="52" spans="1:10" x14ac:dyDescent="0.2">
      <c r="A52" s="909" t="s">
        <v>287</v>
      </c>
      <c r="B52" s="1213"/>
      <c r="C52" s="612">
        <v>0</v>
      </c>
      <c r="D52" s="612">
        <v>0</v>
      </c>
      <c r="E52" s="910">
        <f t="shared" si="0"/>
        <v>0</v>
      </c>
      <c r="F52" s="612">
        <v>0</v>
      </c>
      <c r="G52" s="612">
        <v>0</v>
      </c>
      <c r="H52" s="990">
        <v>0</v>
      </c>
      <c r="I52" s="990">
        <v>0</v>
      </c>
      <c r="J52" s="911">
        <f t="shared" si="1"/>
        <v>0</v>
      </c>
    </row>
    <row r="53" spans="1:10" x14ac:dyDescent="0.2">
      <c r="A53" s="909" t="s">
        <v>298</v>
      </c>
      <c r="B53" s="1213"/>
      <c r="C53" s="612">
        <v>0</v>
      </c>
      <c r="D53" s="612">
        <v>0</v>
      </c>
      <c r="E53" s="910">
        <f t="shared" ref="E53" si="2">+C53+D53</f>
        <v>0</v>
      </c>
      <c r="F53" s="612">
        <v>0</v>
      </c>
      <c r="G53" s="612">
        <v>0</v>
      </c>
      <c r="H53" s="990">
        <v>0</v>
      </c>
      <c r="I53" s="990">
        <v>0</v>
      </c>
      <c r="J53" s="911">
        <f t="shared" si="1"/>
        <v>0</v>
      </c>
    </row>
    <row r="54" spans="1:10" x14ac:dyDescent="0.2">
      <c r="A54" s="909" t="s">
        <v>288</v>
      </c>
      <c r="B54" s="1213"/>
      <c r="C54" s="612">
        <v>0</v>
      </c>
      <c r="D54" s="612">
        <v>0</v>
      </c>
      <c r="E54" s="910">
        <f t="shared" si="0"/>
        <v>0</v>
      </c>
      <c r="F54" s="612">
        <v>0</v>
      </c>
      <c r="G54" s="612">
        <v>0</v>
      </c>
      <c r="H54" s="990">
        <v>0</v>
      </c>
      <c r="I54" s="990">
        <v>0</v>
      </c>
      <c r="J54" s="911">
        <f t="shared" si="1"/>
        <v>0</v>
      </c>
    </row>
    <row r="55" spans="1:10" x14ac:dyDescent="0.2">
      <c r="A55" s="909" t="s">
        <v>289</v>
      </c>
      <c r="B55" s="1213"/>
      <c r="C55" s="612">
        <v>0</v>
      </c>
      <c r="D55" s="612">
        <v>0</v>
      </c>
      <c r="E55" s="910">
        <f t="shared" si="0"/>
        <v>0</v>
      </c>
      <c r="F55" s="612">
        <v>0</v>
      </c>
      <c r="G55" s="612">
        <v>0</v>
      </c>
      <c r="H55" s="990">
        <v>0</v>
      </c>
      <c r="I55" s="990">
        <v>0</v>
      </c>
      <c r="J55" s="911">
        <f t="shared" si="1"/>
        <v>0</v>
      </c>
    </row>
    <row r="56" spans="1:10" x14ac:dyDescent="0.2">
      <c r="A56" s="909" t="s">
        <v>290</v>
      </c>
      <c r="B56" s="1213"/>
      <c r="C56" s="612">
        <v>0</v>
      </c>
      <c r="D56" s="612">
        <v>0</v>
      </c>
      <c r="E56" s="910">
        <f t="shared" si="0"/>
        <v>0</v>
      </c>
      <c r="F56" s="612">
        <v>0</v>
      </c>
      <c r="G56" s="612">
        <v>0</v>
      </c>
      <c r="H56" s="990">
        <v>0</v>
      </c>
      <c r="I56" s="990">
        <v>0</v>
      </c>
      <c r="J56" s="911">
        <f t="shared" si="1"/>
        <v>0</v>
      </c>
    </row>
    <row r="57" spans="1:10" x14ac:dyDescent="0.2">
      <c r="A57" s="909" t="s">
        <v>291</v>
      </c>
      <c r="B57" s="1213"/>
      <c r="C57" s="612">
        <v>0</v>
      </c>
      <c r="D57" s="612">
        <v>0</v>
      </c>
      <c r="E57" s="910">
        <f t="shared" si="0"/>
        <v>0</v>
      </c>
      <c r="F57" s="612">
        <v>0</v>
      </c>
      <c r="G57" s="612">
        <v>0</v>
      </c>
      <c r="H57" s="990">
        <v>0</v>
      </c>
      <c r="I57" s="990">
        <v>0</v>
      </c>
      <c r="J57" s="911">
        <f t="shared" si="1"/>
        <v>0</v>
      </c>
    </row>
    <row r="58" spans="1:10" x14ac:dyDescent="0.2">
      <c r="A58" s="909" t="s">
        <v>292</v>
      </c>
      <c r="B58" s="1213"/>
      <c r="C58" s="612">
        <v>0</v>
      </c>
      <c r="D58" s="612">
        <v>0</v>
      </c>
      <c r="E58" s="910">
        <f t="shared" si="0"/>
        <v>0</v>
      </c>
      <c r="F58" s="612">
        <v>0</v>
      </c>
      <c r="G58" s="612">
        <v>0</v>
      </c>
      <c r="H58" s="990">
        <v>0</v>
      </c>
      <c r="I58" s="990">
        <v>0</v>
      </c>
      <c r="J58" s="911">
        <f t="shared" si="1"/>
        <v>0</v>
      </c>
    </row>
    <row r="59" spans="1:10" x14ac:dyDescent="0.2">
      <c r="A59" s="909" t="s">
        <v>293</v>
      </c>
      <c r="B59" s="1213"/>
      <c r="C59" s="613">
        <v>0</v>
      </c>
      <c r="D59" s="612">
        <v>0</v>
      </c>
      <c r="E59" s="910">
        <f t="shared" si="0"/>
        <v>0</v>
      </c>
      <c r="F59" s="612">
        <v>0</v>
      </c>
      <c r="G59" s="612">
        <v>0</v>
      </c>
      <c r="H59" s="990">
        <v>0</v>
      </c>
      <c r="I59" s="990">
        <v>0</v>
      </c>
      <c r="J59" s="911">
        <f t="shared" si="1"/>
        <v>0</v>
      </c>
    </row>
    <row r="60" spans="1:10" x14ac:dyDescent="0.2">
      <c r="A60" s="909" t="s">
        <v>294</v>
      </c>
      <c r="B60" s="1213"/>
      <c r="C60" s="612">
        <v>0</v>
      </c>
      <c r="D60" s="612">
        <v>0</v>
      </c>
      <c r="E60" s="910">
        <f t="shared" ref="E60" si="3">+C60+D60</f>
        <v>0</v>
      </c>
      <c r="F60" s="612">
        <v>0</v>
      </c>
      <c r="G60" s="612">
        <v>0</v>
      </c>
      <c r="H60" s="990">
        <v>0</v>
      </c>
      <c r="I60" s="990">
        <v>0</v>
      </c>
      <c r="J60" s="911">
        <f t="shared" si="1"/>
        <v>0</v>
      </c>
    </row>
    <row r="61" spans="1:10" ht="13.5" thickBot="1" x14ac:dyDescent="0.25">
      <c r="A61" s="912" t="s">
        <v>295</v>
      </c>
      <c r="B61" s="1214"/>
      <c r="C61" s="614">
        <v>0</v>
      </c>
      <c r="D61" s="614">
        <v>0</v>
      </c>
      <c r="E61" s="913">
        <f>+C61+D61</f>
        <v>0</v>
      </c>
      <c r="F61" s="614">
        <v>0</v>
      </c>
      <c r="G61" s="614">
        <v>0</v>
      </c>
      <c r="H61" s="991">
        <v>0</v>
      </c>
      <c r="I61" s="991">
        <v>0</v>
      </c>
      <c r="J61" s="914">
        <f t="shared" si="1"/>
        <v>0</v>
      </c>
    </row>
    <row r="62" spans="1:10" x14ac:dyDescent="0.2">
      <c r="A62" s="915"/>
      <c r="B62" s="916"/>
      <c r="C62" s="917"/>
      <c r="D62" s="917"/>
      <c r="E62" s="917"/>
      <c r="F62" s="917"/>
      <c r="G62" s="917"/>
      <c r="H62" s="992"/>
      <c r="I62" s="992"/>
      <c r="J62" s="917"/>
    </row>
    <row r="63" spans="1:10" x14ac:dyDescent="0.2">
      <c r="A63" s="915" t="s">
        <v>296</v>
      </c>
      <c r="B63" s="916"/>
      <c r="C63" s="918">
        <f t="shared" ref="C63:J63" si="4">SUM(C17:C61)</f>
        <v>0</v>
      </c>
      <c r="D63" s="918">
        <f t="shared" si="4"/>
        <v>0</v>
      </c>
      <c r="E63" s="918">
        <f t="shared" si="4"/>
        <v>0</v>
      </c>
      <c r="F63" s="918">
        <f t="shared" ref="F63" si="5">SUM(F17:F61)</f>
        <v>0</v>
      </c>
      <c r="G63" s="918">
        <f t="shared" si="4"/>
        <v>0</v>
      </c>
      <c r="H63" s="993">
        <f t="shared" si="4"/>
        <v>0</v>
      </c>
      <c r="I63" s="993">
        <f t="shared" ref="I63" si="6">SUM(I17:I61)</f>
        <v>0</v>
      </c>
      <c r="J63" s="918">
        <f t="shared" si="4"/>
        <v>0</v>
      </c>
    </row>
    <row r="64" spans="1:10" ht="13.5" thickBot="1" x14ac:dyDescent="0.25">
      <c r="A64" s="919"/>
      <c r="B64" s="920"/>
      <c r="C64" s="921"/>
      <c r="D64" s="921"/>
      <c r="E64" s="921"/>
      <c r="F64" s="921"/>
      <c r="G64" s="921"/>
      <c r="H64" s="994"/>
      <c r="I64" s="994"/>
      <c r="J64" s="922"/>
    </row>
    <row r="65" spans="1:10" s="924" customFormat="1" ht="12" x14ac:dyDescent="0.2">
      <c r="A65" s="923"/>
      <c r="B65" s="923"/>
      <c r="H65" s="995"/>
      <c r="I65" s="995"/>
    </row>
    <row r="66" spans="1:10" s="924" customFormat="1" ht="12" x14ac:dyDescent="0.2">
      <c r="H66" s="995"/>
      <c r="I66" s="995"/>
    </row>
    <row r="67" spans="1:10" ht="13.5" thickBot="1" x14ac:dyDescent="0.25"/>
    <row r="68" spans="1:10" ht="15.95" customHeight="1" thickBot="1" x14ac:dyDescent="0.25">
      <c r="A68" s="1215" t="str">
        <f>"REALITEIT "&amp;B4</f>
        <v>REALITEIT 2022</v>
      </c>
      <c r="B68" s="1216"/>
      <c r="C68" s="1216"/>
      <c r="D68" s="1216"/>
      <c r="E68" s="1216"/>
      <c r="F68" s="1216"/>
      <c r="G68" s="1216"/>
      <c r="H68" s="1216"/>
      <c r="I68" s="1216"/>
      <c r="J68" s="1217"/>
    </row>
    <row r="69" spans="1:10" ht="47.45" customHeight="1" x14ac:dyDescent="0.2">
      <c r="A69" s="899" t="s">
        <v>266</v>
      </c>
      <c r="B69" s="900" t="s">
        <v>297</v>
      </c>
      <c r="C69" s="901" t="str">
        <f>"Oorspronkelijke meerwaarde op basis van historische indexatie voor activa einde boekjaar "&amp;B4-1</f>
        <v>Oorspronkelijke meerwaarde op basis van historische indexatie voor activa einde boekjaar 2021</v>
      </c>
      <c r="D69" s="901" t="str">
        <f>"Gecumuleerde afschrijvingen activa einde boekjaar "&amp; B4-1</f>
        <v>Gecumuleerde afschrijvingen activa einde boekjaar 2021</v>
      </c>
      <c r="E69" s="901" t="str">
        <f>"Nettoboekwaarde meerwaarde op basis van historische indexatie einde boekjaar "&amp; B4-1</f>
        <v>Nettoboekwaarde meerwaarde op basis van historische indexatie einde boekjaar 2021</v>
      </c>
      <c r="F69" s="901" t="str">
        <f>"Transfers boekjaar "&amp;B4</f>
        <v>Transfers boekjaar 2022</v>
      </c>
      <c r="G69" s="901" t="str">
        <f>"Afschrijvingen boekjaar "&amp;B4</f>
        <v>Afschrijvingen boekjaar 2022</v>
      </c>
      <c r="H69" s="987" t="str">
        <f>"Desinvesteringen boekjaar "&amp;B4&amp;" n.a.v. verkoop"</f>
        <v>Desinvesteringen boekjaar 2022 n.a.v. verkoop</v>
      </c>
      <c r="I69" s="987" t="str">
        <f>"Desinvesteringen boekjaar "&amp;B4&amp;" n.a.v. structuurwijziging"</f>
        <v>Desinvesteringen boekjaar 2022 n.a.v. structuurwijziging</v>
      </c>
      <c r="J69" s="901" t="str">
        <f>"Nettoboekwaarde meerwaarde op basis van historische indexatie einde boekjaar "&amp;B4</f>
        <v>Nettoboekwaarde meerwaarde op basis van historische indexatie einde boekjaar 2022</v>
      </c>
    </row>
    <row r="70" spans="1:10" ht="13.5" thickBot="1" x14ac:dyDescent="0.25">
      <c r="A70" s="902"/>
      <c r="B70" s="903"/>
      <c r="C70" s="904" t="s">
        <v>4</v>
      </c>
      <c r="D70" s="904" t="s">
        <v>8</v>
      </c>
      <c r="E70" s="904"/>
      <c r="F70" s="904" t="s">
        <v>4</v>
      </c>
      <c r="G70" s="904" t="s">
        <v>8</v>
      </c>
      <c r="H70" s="988" t="s">
        <v>8</v>
      </c>
      <c r="I70" s="988" t="s">
        <v>8</v>
      </c>
      <c r="J70" s="905"/>
    </row>
    <row r="71" spans="1:10" x14ac:dyDescent="0.2">
      <c r="A71" s="906" t="s">
        <v>267</v>
      </c>
      <c r="B71" s="1212">
        <v>0.02</v>
      </c>
      <c r="C71" s="611">
        <v>0</v>
      </c>
      <c r="D71" s="611">
        <v>0</v>
      </c>
      <c r="E71" s="907">
        <f t="shared" ref="E71:E88" si="7">+C71+D71</f>
        <v>0</v>
      </c>
      <c r="F71" s="611">
        <v>0</v>
      </c>
      <c r="G71" s="611">
        <v>0</v>
      </c>
      <c r="H71" s="989">
        <v>0</v>
      </c>
      <c r="I71" s="989">
        <v>0</v>
      </c>
      <c r="J71" s="908">
        <f>+SUM(E71:I71)</f>
        <v>0</v>
      </c>
    </row>
    <row r="72" spans="1:10" x14ac:dyDescent="0.2">
      <c r="A72" s="909" t="s">
        <v>268</v>
      </c>
      <c r="B72" s="1213"/>
      <c r="C72" s="612">
        <v>0</v>
      </c>
      <c r="D72" s="612">
        <v>0</v>
      </c>
      <c r="E72" s="910">
        <f t="shared" si="7"/>
        <v>0</v>
      </c>
      <c r="F72" s="612">
        <v>0</v>
      </c>
      <c r="G72" s="612">
        <v>0</v>
      </c>
      <c r="H72" s="990">
        <v>0</v>
      </c>
      <c r="I72" s="990">
        <v>0</v>
      </c>
      <c r="J72" s="911">
        <f t="shared" ref="J72:J115" si="8">+SUM(E72:I72)</f>
        <v>0</v>
      </c>
    </row>
    <row r="73" spans="1:10" x14ac:dyDescent="0.2">
      <c r="A73" s="909" t="s">
        <v>269</v>
      </c>
      <c r="B73" s="1213"/>
      <c r="C73" s="612">
        <v>0</v>
      </c>
      <c r="D73" s="612">
        <v>0</v>
      </c>
      <c r="E73" s="910">
        <f t="shared" si="7"/>
        <v>0</v>
      </c>
      <c r="F73" s="612">
        <v>0</v>
      </c>
      <c r="G73" s="612">
        <v>0</v>
      </c>
      <c r="H73" s="990">
        <v>0</v>
      </c>
      <c r="I73" s="990">
        <v>0</v>
      </c>
      <c r="J73" s="911">
        <f t="shared" si="8"/>
        <v>0</v>
      </c>
    </row>
    <row r="74" spans="1:10" x14ac:dyDescent="0.2">
      <c r="A74" s="909" t="s">
        <v>270</v>
      </c>
      <c r="B74" s="1213"/>
      <c r="C74" s="612">
        <v>0</v>
      </c>
      <c r="D74" s="612">
        <v>0</v>
      </c>
      <c r="E74" s="910">
        <f t="shared" si="7"/>
        <v>0</v>
      </c>
      <c r="F74" s="612">
        <v>0</v>
      </c>
      <c r="G74" s="612">
        <v>0</v>
      </c>
      <c r="H74" s="990">
        <v>0</v>
      </c>
      <c r="I74" s="990">
        <v>0</v>
      </c>
      <c r="J74" s="911">
        <f t="shared" si="8"/>
        <v>0</v>
      </c>
    </row>
    <row r="75" spans="1:10" x14ac:dyDescent="0.2">
      <c r="A75" s="909" t="s">
        <v>383</v>
      </c>
      <c r="B75" s="1213"/>
      <c r="C75" s="612">
        <v>0</v>
      </c>
      <c r="D75" s="612">
        <v>0</v>
      </c>
      <c r="E75" s="910">
        <f t="shared" si="7"/>
        <v>0</v>
      </c>
      <c r="F75" s="612">
        <v>0</v>
      </c>
      <c r="G75" s="612">
        <v>0</v>
      </c>
      <c r="H75" s="990">
        <v>0</v>
      </c>
      <c r="I75" s="990">
        <v>0</v>
      </c>
      <c r="J75" s="911">
        <f t="shared" si="8"/>
        <v>0</v>
      </c>
    </row>
    <row r="76" spans="1:10" x14ac:dyDescent="0.2">
      <c r="A76" s="909" t="s">
        <v>384</v>
      </c>
      <c r="B76" s="1213"/>
      <c r="C76" s="612">
        <v>0</v>
      </c>
      <c r="D76" s="612">
        <v>0</v>
      </c>
      <c r="E76" s="910">
        <f t="shared" si="7"/>
        <v>0</v>
      </c>
      <c r="F76" s="612">
        <v>0</v>
      </c>
      <c r="G76" s="612">
        <v>0</v>
      </c>
      <c r="H76" s="990">
        <v>0</v>
      </c>
      <c r="I76" s="990">
        <v>0</v>
      </c>
      <c r="J76" s="911">
        <f t="shared" si="8"/>
        <v>0</v>
      </c>
    </row>
    <row r="77" spans="1:10" x14ac:dyDescent="0.2">
      <c r="A77" s="909" t="s">
        <v>271</v>
      </c>
      <c r="B77" s="1213"/>
      <c r="C77" s="612">
        <v>0</v>
      </c>
      <c r="D77" s="612">
        <v>0</v>
      </c>
      <c r="E77" s="910">
        <f t="shared" si="7"/>
        <v>0</v>
      </c>
      <c r="F77" s="612">
        <v>0</v>
      </c>
      <c r="G77" s="612">
        <v>0</v>
      </c>
      <c r="H77" s="990">
        <v>0</v>
      </c>
      <c r="I77" s="990">
        <v>0</v>
      </c>
      <c r="J77" s="911">
        <f t="shared" si="8"/>
        <v>0</v>
      </c>
    </row>
    <row r="78" spans="1:10" x14ac:dyDescent="0.2">
      <c r="A78" s="909" t="s">
        <v>385</v>
      </c>
      <c r="B78" s="1213"/>
      <c r="C78" s="612">
        <v>0</v>
      </c>
      <c r="D78" s="612">
        <v>0</v>
      </c>
      <c r="E78" s="910">
        <f t="shared" si="7"/>
        <v>0</v>
      </c>
      <c r="F78" s="612">
        <v>0</v>
      </c>
      <c r="G78" s="612">
        <v>0</v>
      </c>
      <c r="H78" s="990">
        <v>0</v>
      </c>
      <c r="I78" s="990">
        <v>0</v>
      </c>
      <c r="J78" s="911">
        <f t="shared" si="8"/>
        <v>0</v>
      </c>
    </row>
    <row r="79" spans="1:10" x14ac:dyDescent="0.2">
      <c r="A79" s="909" t="s">
        <v>272</v>
      </c>
      <c r="B79" s="1213"/>
      <c r="C79" s="612">
        <v>0</v>
      </c>
      <c r="D79" s="612">
        <v>0</v>
      </c>
      <c r="E79" s="910">
        <f t="shared" si="7"/>
        <v>0</v>
      </c>
      <c r="F79" s="612">
        <v>0</v>
      </c>
      <c r="G79" s="612">
        <v>0</v>
      </c>
      <c r="H79" s="990">
        <v>0</v>
      </c>
      <c r="I79" s="990">
        <v>0</v>
      </c>
      <c r="J79" s="911">
        <f t="shared" si="8"/>
        <v>0</v>
      </c>
    </row>
    <row r="80" spans="1:10" x14ac:dyDescent="0.2">
      <c r="A80" s="909" t="s">
        <v>386</v>
      </c>
      <c r="B80" s="1213"/>
      <c r="C80" s="612">
        <v>0</v>
      </c>
      <c r="D80" s="612">
        <v>0</v>
      </c>
      <c r="E80" s="910">
        <f t="shared" si="7"/>
        <v>0</v>
      </c>
      <c r="F80" s="612">
        <v>0</v>
      </c>
      <c r="G80" s="612">
        <v>0</v>
      </c>
      <c r="H80" s="990">
        <v>0</v>
      </c>
      <c r="I80" s="990">
        <v>0</v>
      </c>
      <c r="J80" s="911">
        <f t="shared" si="8"/>
        <v>0</v>
      </c>
    </row>
    <row r="81" spans="1:10" x14ac:dyDescent="0.2">
      <c r="A81" s="909" t="s">
        <v>387</v>
      </c>
      <c r="B81" s="1213"/>
      <c r="C81" s="612">
        <v>0</v>
      </c>
      <c r="D81" s="612">
        <v>0</v>
      </c>
      <c r="E81" s="910">
        <f t="shared" si="7"/>
        <v>0</v>
      </c>
      <c r="F81" s="612">
        <v>0</v>
      </c>
      <c r="G81" s="612">
        <v>0</v>
      </c>
      <c r="H81" s="990">
        <v>0</v>
      </c>
      <c r="I81" s="990">
        <v>0</v>
      </c>
      <c r="J81" s="911">
        <f t="shared" si="8"/>
        <v>0</v>
      </c>
    </row>
    <row r="82" spans="1:10" x14ac:dyDescent="0.2">
      <c r="A82" s="909" t="s">
        <v>273</v>
      </c>
      <c r="B82" s="1213"/>
      <c r="C82" s="612">
        <v>0</v>
      </c>
      <c r="D82" s="612">
        <v>0</v>
      </c>
      <c r="E82" s="910">
        <f t="shared" si="7"/>
        <v>0</v>
      </c>
      <c r="F82" s="612">
        <v>0</v>
      </c>
      <c r="G82" s="612">
        <v>0</v>
      </c>
      <c r="H82" s="990">
        <v>0</v>
      </c>
      <c r="I82" s="990">
        <v>0</v>
      </c>
      <c r="J82" s="911">
        <f t="shared" si="8"/>
        <v>0</v>
      </c>
    </row>
    <row r="83" spans="1:10" x14ac:dyDescent="0.2">
      <c r="A83" s="909" t="s">
        <v>388</v>
      </c>
      <c r="B83" s="1213"/>
      <c r="C83" s="612">
        <v>0</v>
      </c>
      <c r="D83" s="612">
        <v>0</v>
      </c>
      <c r="E83" s="910">
        <f t="shared" si="7"/>
        <v>0</v>
      </c>
      <c r="F83" s="612">
        <v>0</v>
      </c>
      <c r="G83" s="612">
        <v>0</v>
      </c>
      <c r="H83" s="990">
        <v>0</v>
      </c>
      <c r="I83" s="990">
        <v>0</v>
      </c>
      <c r="J83" s="911">
        <f t="shared" si="8"/>
        <v>0</v>
      </c>
    </row>
    <row r="84" spans="1:10" x14ac:dyDescent="0.2">
      <c r="A84" s="909" t="s">
        <v>274</v>
      </c>
      <c r="B84" s="1213"/>
      <c r="C84" s="612">
        <v>0</v>
      </c>
      <c r="D84" s="612">
        <v>0</v>
      </c>
      <c r="E84" s="910">
        <f t="shared" si="7"/>
        <v>0</v>
      </c>
      <c r="F84" s="612">
        <v>0</v>
      </c>
      <c r="G84" s="612">
        <v>0</v>
      </c>
      <c r="H84" s="990">
        <v>0</v>
      </c>
      <c r="I84" s="990">
        <v>0</v>
      </c>
      <c r="J84" s="911">
        <f t="shared" si="8"/>
        <v>0</v>
      </c>
    </row>
    <row r="85" spans="1:10" x14ac:dyDescent="0.2">
      <c r="A85" s="909" t="s">
        <v>389</v>
      </c>
      <c r="B85" s="1213"/>
      <c r="C85" s="612">
        <v>0</v>
      </c>
      <c r="D85" s="612">
        <v>0</v>
      </c>
      <c r="E85" s="910">
        <f t="shared" si="7"/>
        <v>0</v>
      </c>
      <c r="F85" s="612">
        <v>0</v>
      </c>
      <c r="G85" s="612">
        <v>0</v>
      </c>
      <c r="H85" s="990">
        <v>0</v>
      </c>
      <c r="I85" s="990">
        <v>0</v>
      </c>
      <c r="J85" s="911">
        <f t="shared" si="8"/>
        <v>0</v>
      </c>
    </row>
    <row r="86" spans="1:10" x14ac:dyDescent="0.2">
      <c r="A86" s="909" t="s">
        <v>390</v>
      </c>
      <c r="B86" s="1213"/>
      <c r="C86" s="612">
        <v>0</v>
      </c>
      <c r="D86" s="612">
        <v>0</v>
      </c>
      <c r="E86" s="910">
        <f t="shared" si="7"/>
        <v>0</v>
      </c>
      <c r="F86" s="612">
        <v>0</v>
      </c>
      <c r="G86" s="612">
        <v>0</v>
      </c>
      <c r="H86" s="990">
        <v>0</v>
      </c>
      <c r="I86" s="990">
        <v>0</v>
      </c>
      <c r="J86" s="911">
        <f t="shared" si="8"/>
        <v>0</v>
      </c>
    </row>
    <row r="87" spans="1:10" x14ac:dyDescent="0.2">
      <c r="A87" s="909" t="s">
        <v>275</v>
      </c>
      <c r="B87" s="1213"/>
      <c r="C87" s="612">
        <v>0</v>
      </c>
      <c r="D87" s="612">
        <v>0</v>
      </c>
      <c r="E87" s="910">
        <f t="shared" si="7"/>
        <v>0</v>
      </c>
      <c r="F87" s="612">
        <v>0</v>
      </c>
      <c r="G87" s="612">
        <v>0</v>
      </c>
      <c r="H87" s="990">
        <v>0</v>
      </c>
      <c r="I87" s="990">
        <v>0</v>
      </c>
      <c r="J87" s="911">
        <f t="shared" si="8"/>
        <v>0</v>
      </c>
    </row>
    <row r="88" spans="1:10" x14ac:dyDescent="0.2">
      <c r="A88" s="909" t="s">
        <v>391</v>
      </c>
      <c r="B88" s="1213"/>
      <c r="C88" s="612">
        <v>0</v>
      </c>
      <c r="D88" s="612">
        <v>0</v>
      </c>
      <c r="E88" s="910">
        <f t="shared" si="7"/>
        <v>0</v>
      </c>
      <c r="F88" s="612">
        <v>0</v>
      </c>
      <c r="G88" s="612">
        <v>0</v>
      </c>
      <c r="H88" s="990">
        <v>0</v>
      </c>
      <c r="I88" s="990">
        <v>0</v>
      </c>
      <c r="J88" s="911">
        <f t="shared" si="8"/>
        <v>0</v>
      </c>
    </row>
    <row r="89" spans="1:10" x14ac:dyDescent="0.2">
      <c r="A89" s="909" t="s">
        <v>276</v>
      </c>
      <c r="B89" s="1213"/>
      <c r="C89" s="612">
        <v>0</v>
      </c>
      <c r="D89" s="612">
        <v>0</v>
      </c>
      <c r="E89" s="910">
        <f>+C89+D89</f>
        <v>0</v>
      </c>
      <c r="F89" s="612">
        <v>0</v>
      </c>
      <c r="G89" s="612">
        <v>0</v>
      </c>
      <c r="H89" s="990">
        <v>0</v>
      </c>
      <c r="I89" s="990">
        <v>0</v>
      </c>
      <c r="J89" s="911">
        <f t="shared" si="8"/>
        <v>0</v>
      </c>
    </row>
    <row r="90" spans="1:10" x14ac:dyDescent="0.2">
      <c r="A90" s="909" t="s">
        <v>277</v>
      </c>
      <c r="B90" s="1213"/>
      <c r="C90" s="612">
        <v>0</v>
      </c>
      <c r="D90" s="612">
        <v>0</v>
      </c>
      <c r="E90" s="910">
        <f t="shared" ref="E90:E114" si="9">+C90+D90</f>
        <v>0</v>
      </c>
      <c r="F90" s="612">
        <v>0</v>
      </c>
      <c r="G90" s="612">
        <v>0</v>
      </c>
      <c r="H90" s="990">
        <v>0</v>
      </c>
      <c r="I90" s="990">
        <v>0</v>
      </c>
      <c r="J90" s="911">
        <f t="shared" si="8"/>
        <v>0</v>
      </c>
    </row>
    <row r="91" spans="1:10" x14ac:dyDescent="0.2">
      <c r="A91" s="909" t="s">
        <v>392</v>
      </c>
      <c r="B91" s="1213"/>
      <c r="C91" s="612">
        <v>0</v>
      </c>
      <c r="D91" s="612">
        <v>0</v>
      </c>
      <c r="E91" s="910">
        <f t="shared" si="9"/>
        <v>0</v>
      </c>
      <c r="F91" s="612">
        <v>0</v>
      </c>
      <c r="G91" s="612">
        <v>0</v>
      </c>
      <c r="H91" s="990">
        <v>0</v>
      </c>
      <c r="I91" s="990">
        <v>0</v>
      </c>
      <c r="J91" s="911">
        <f t="shared" si="8"/>
        <v>0</v>
      </c>
    </row>
    <row r="92" spans="1:10" x14ac:dyDescent="0.2">
      <c r="A92" s="909" t="s">
        <v>393</v>
      </c>
      <c r="B92" s="1213"/>
      <c r="C92" s="612">
        <v>0</v>
      </c>
      <c r="D92" s="612">
        <v>0</v>
      </c>
      <c r="E92" s="910">
        <f t="shared" si="9"/>
        <v>0</v>
      </c>
      <c r="F92" s="612">
        <v>0</v>
      </c>
      <c r="G92" s="612">
        <v>0</v>
      </c>
      <c r="H92" s="990">
        <v>0</v>
      </c>
      <c r="I92" s="990">
        <v>0</v>
      </c>
      <c r="J92" s="911">
        <f t="shared" si="8"/>
        <v>0</v>
      </c>
    </row>
    <row r="93" spans="1:10" x14ac:dyDescent="0.2">
      <c r="A93" s="909" t="s">
        <v>278</v>
      </c>
      <c r="B93" s="1213"/>
      <c r="C93" s="612">
        <v>0</v>
      </c>
      <c r="D93" s="612">
        <v>0</v>
      </c>
      <c r="E93" s="910">
        <f t="shared" si="9"/>
        <v>0</v>
      </c>
      <c r="F93" s="612">
        <v>0</v>
      </c>
      <c r="G93" s="612">
        <v>0</v>
      </c>
      <c r="H93" s="990">
        <v>0</v>
      </c>
      <c r="I93" s="990">
        <v>0</v>
      </c>
      <c r="J93" s="911">
        <f t="shared" si="8"/>
        <v>0</v>
      </c>
    </row>
    <row r="94" spans="1:10" x14ac:dyDescent="0.2">
      <c r="A94" s="909" t="s">
        <v>394</v>
      </c>
      <c r="B94" s="1213"/>
      <c r="C94" s="612">
        <v>0</v>
      </c>
      <c r="D94" s="612">
        <v>0</v>
      </c>
      <c r="E94" s="910">
        <f t="shared" si="9"/>
        <v>0</v>
      </c>
      <c r="F94" s="612">
        <v>0</v>
      </c>
      <c r="G94" s="612">
        <v>0</v>
      </c>
      <c r="H94" s="990">
        <v>0</v>
      </c>
      <c r="I94" s="990">
        <v>0</v>
      </c>
      <c r="J94" s="911">
        <f t="shared" si="8"/>
        <v>0</v>
      </c>
    </row>
    <row r="95" spans="1:10" x14ac:dyDescent="0.2">
      <c r="A95" s="909" t="s">
        <v>279</v>
      </c>
      <c r="B95" s="1213"/>
      <c r="C95" s="612">
        <v>0</v>
      </c>
      <c r="D95" s="612">
        <v>0</v>
      </c>
      <c r="E95" s="910">
        <f t="shared" si="9"/>
        <v>0</v>
      </c>
      <c r="F95" s="612">
        <v>0</v>
      </c>
      <c r="G95" s="612">
        <v>0</v>
      </c>
      <c r="H95" s="990">
        <v>0</v>
      </c>
      <c r="I95" s="990">
        <v>0</v>
      </c>
      <c r="J95" s="911">
        <f t="shared" si="8"/>
        <v>0</v>
      </c>
    </row>
    <row r="96" spans="1:10" x14ac:dyDescent="0.2">
      <c r="A96" s="909" t="s">
        <v>395</v>
      </c>
      <c r="B96" s="1213"/>
      <c r="C96" s="612">
        <v>0</v>
      </c>
      <c r="D96" s="612">
        <v>0</v>
      </c>
      <c r="E96" s="910">
        <f t="shared" si="9"/>
        <v>0</v>
      </c>
      <c r="F96" s="612">
        <v>0</v>
      </c>
      <c r="G96" s="612">
        <v>0</v>
      </c>
      <c r="H96" s="990">
        <v>0</v>
      </c>
      <c r="I96" s="990">
        <v>0</v>
      </c>
      <c r="J96" s="911">
        <f t="shared" si="8"/>
        <v>0</v>
      </c>
    </row>
    <row r="97" spans="1:10" x14ac:dyDescent="0.2">
      <c r="A97" s="909" t="s">
        <v>396</v>
      </c>
      <c r="B97" s="1213"/>
      <c r="C97" s="612">
        <v>0</v>
      </c>
      <c r="D97" s="612">
        <v>0</v>
      </c>
      <c r="E97" s="910">
        <f t="shared" si="9"/>
        <v>0</v>
      </c>
      <c r="F97" s="612">
        <v>0</v>
      </c>
      <c r="G97" s="612">
        <v>0</v>
      </c>
      <c r="H97" s="990">
        <v>0</v>
      </c>
      <c r="I97" s="990">
        <v>0</v>
      </c>
      <c r="J97" s="911">
        <f t="shared" si="8"/>
        <v>0</v>
      </c>
    </row>
    <row r="98" spans="1:10" x14ac:dyDescent="0.2">
      <c r="A98" s="909" t="s">
        <v>280</v>
      </c>
      <c r="B98" s="1213"/>
      <c r="C98" s="612">
        <v>0</v>
      </c>
      <c r="D98" s="612">
        <v>0</v>
      </c>
      <c r="E98" s="910">
        <f t="shared" si="9"/>
        <v>0</v>
      </c>
      <c r="F98" s="612">
        <v>0</v>
      </c>
      <c r="G98" s="612">
        <v>0</v>
      </c>
      <c r="H98" s="990">
        <v>0</v>
      </c>
      <c r="I98" s="990">
        <v>0</v>
      </c>
      <c r="J98" s="911">
        <f t="shared" si="8"/>
        <v>0</v>
      </c>
    </row>
    <row r="99" spans="1:10" x14ac:dyDescent="0.2">
      <c r="A99" s="909" t="s">
        <v>397</v>
      </c>
      <c r="B99" s="1213"/>
      <c r="C99" s="612">
        <v>0</v>
      </c>
      <c r="D99" s="612">
        <v>0</v>
      </c>
      <c r="E99" s="910">
        <f t="shared" si="9"/>
        <v>0</v>
      </c>
      <c r="F99" s="612">
        <v>0</v>
      </c>
      <c r="G99" s="612">
        <v>0</v>
      </c>
      <c r="H99" s="990">
        <v>0</v>
      </c>
      <c r="I99" s="990">
        <v>0</v>
      </c>
      <c r="J99" s="911">
        <f t="shared" si="8"/>
        <v>0</v>
      </c>
    </row>
    <row r="100" spans="1:10" x14ac:dyDescent="0.2">
      <c r="A100" s="909" t="s">
        <v>281</v>
      </c>
      <c r="B100" s="1213"/>
      <c r="C100" s="612">
        <v>0</v>
      </c>
      <c r="D100" s="612">
        <v>0</v>
      </c>
      <c r="E100" s="910">
        <f t="shared" si="9"/>
        <v>0</v>
      </c>
      <c r="F100" s="612">
        <v>0</v>
      </c>
      <c r="G100" s="612">
        <v>0</v>
      </c>
      <c r="H100" s="990">
        <v>0</v>
      </c>
      <c r="I100" s="990">
        <v>0</v>
      </c>
      <c r="J100" s="911">
        <f t="shared" si="8"/>
        <v>0</v>
      </c>
    </row>
    <row r="101" spans="1:10" x14ac:dyDescent="0.2">
      <c r="A101" s="909" t="s">
        <v>282</v>
      </c>
      <c r="B101" s="1213"/>
      <c r="C101" s="612">
        <v>0</v>
      </c>
      <c r="D101" s="612">
        <v>0</v>
      </c>
      <c r="E101" s="910">
        <f t="shared" si="9"/>
        <v>0</v>
      </c>
      <c r="F101" s="612">
        <v>0</v>
      </c>
      <c r="G101" s="612">
        <v>0</v>
      </c>
      <c r="H101" s="990">
        <v>0</v>
      </c>
      <c r="I101" s="990">
        <v>0</v>
      </c>
      <c r="J101" s="911">
        <f t="shared" si="8"/>
        <v>0</v>
      </c>
    </row>
    <row r="102" spans="1:10" x14ac:dyDescent="0.2">
      <c r="A102" s="909" t="s">
        <v>283</v>
      </c>
      <c r="B102" s="1213"/>
      <c r="C102" s="612">
        <v>0</v>
      </c>
      <c r="D102" s="612">
        <v>0</v>
      </c>
      <c r="E102" s="910">
        <f t="shared" si="9"/>
        <v>0</v>
      </c>
      <c r="F102" s="612">
        <v>0</v>
      </c>
      <c r="G102" s="612">
        <v>0</v>
      </c>
      <c r="H102" s="990">
        <v>0</v>
      </c>
      <c r="I102" s="990">
        <v>0</v>
      </c>
      <c r="J102" s="911">
        <f t="shared" si="8"/>
        <v>0</v>
      </c>
    </row>
    <row r="103" spans="1:10" x14ac:dyDescent="0.2">
      <c r="A103" s="909" t="s">
        <v>284</v>
      </c>
      <c r="B103" s="1213"/>
      <c r="C103" s="612">
        <v>0</v>
      </c>
      <c r="D103" s="612">
        <v>0</v>
      </c>
      <c r="E103" s="910">
        <f t="shared" si="9"/>
        <v>0</v>
      </c>
      <c r="F103" s="612">
        <v>0</v>
      </c>
      <c r="G103" s="612">
        <v>0</v>
      </c>
      <c r="H103" s="990">
        <v>0</v>
      </c>
      <c r="I103" s="990">
        <v>0</v>
      </c>
      <c r="J103" s="911">
        <f t="shared" si="8"/>
        <v>0</v>
      </c>
    </row>
    <row r="104" spans="1:10" x14ac:dyDescent="0.2">
      <c r="A104" s="909" t="s">
        <v>285</v>
      </c>
      <c r="B104" s="1213"/>
      <c r="C104" s="612">
        <v>0</v>
      </c>
      <c r="D104" s="612">
        <v>0</v>
      </c>
      <c r="E104" s="910">
        <f t="shared" si="9"/>
        <v>0</v>
      </c>
      <c r="F104" s="612">
        <v>0</v>
      </c>
      <c r="G104" s="612">
        <v>0</v>
      </c>
      <c r="H104" s="990">
        <v>0</v>
      </c>
      <c r="I104" s="990">
        <v>0</v>
      </c>
      <c r="J104" s="911">
        <f t="shared" si="8"/>
        <v>0</v>
      </c>
    </row>
    <row r="105" spans="1:10" x14ac:dyDescent="0.2">
      <c r="A105" s="909" t="s">
        <v>286</v>
      </c>
      <c r="B105" s="1213"/>
      <c r="C105" s="612">
        <v>0</v>
      </c>
      <c r="D105" s="612">
        <v>0</v>
      </c>
      <c r="E105" s="910">
        <f t="shared" si="9"/>
        <v>0</v>
      </c>
      <c r="F105" s="612">
        <v>0</v>
      </c>
      <c r="G105" s="612">
        <v>0</v>
      </c>
      <c r="H105" s="990">
        <v>0</v>
      </c>
      <c r="I105" s="990">
        <v>0</v>
      </c>
      <c r="J105" s="911">
        <f t="shared" si="8"/>
        <v>0</v>
      </c>
    </row>
    <row r="106" spans="1:10" x14ac:dyDescent="0.2">
      <c r="A106" s="909" t="s">
        <v>287</v>
      </c>
      <c r="B106" s="1213"/>
      <c r="C106" s="612">
        <v>0</v>
      </c>
      <c r="D106" s="612">
        <v>0</v>
      </c>
      <c r="E106" s="910">
        <f t="shared" si="9"/>
        <v>0</v>
      </c>
      <c r="F106" s="612">
        <v>0</v>
      </c>
      <c r="G106" s="612">
        <v>0</v>
      </c>
      <c r="H106" s="990">
        <v>0</v>
      </c>
      <c r="I106" s="990">
        <v>0</v>
      </c>
      <c r="J106" s="911">
        <f t="shared" si="8"/>
        <v>0</v>
      </c>
    </row>
    <row r="107" spans="1:10" x14ac:dyDescent="0.2">
      <c r="A107" s="909" t="s">
        <v>298</v>
      </c>
      <c r="B107" s="1213"/>
      <c r="C107" s="612">
        <v>0</v>
      </c>
      <c r="D107" s="612">
        <v>0</v>
      </c>
      <c r="E107" s="910">
        <f t="shared" si="9"/>
        <v>0</v>
      </c>
      <c r="F107" s="612">
        <v>0</v>
      </c>
      <c r="G107" s="612">
        <v>0</v>
      </c>
      <c r="H107" s="990">
        <v>0</v>
      </c>
      <c r="I107" s="990">
        <v>0</v>
      </c>
      <c r="J107" s="911">
        <f t="shared" si="8"/>
        <v>0</v>
      </c>
    </row>
    <row r="108" spans="1:10" x14ac:dyDescent="0.2">
      <c r="A108" s="909" t="s">
        <v>288</v>
      </c>
      <c r="B108" s="1213"/>
      <c r="C108" s="612">
        <v>0</v>
      </c>
      <c r="D108" s="612">
        <v>0</v>
      </c>
      <c r="E108" s="910">
        <f t="shared" si="9"/>
        <v>0</v>
      </c>
      <c r="F108" s="612">
        <v>0</v>
      </c>
      <c r="G108" s="612">
        <v>0</v>
      </c>
      <c r="H108" s="990">
        <v>0</v>
      </c>
      <c r="I108" s="990">
        <v>0</v>
      </c>
      <c r="J108" s="911">
        <f t="shared" si="8"/>
        <v>0</v>
      </c>
    </row>
    <row r="109" spans="1:10" x14ac:dyDescent="0.2">
      <c r="A109" s="909" t="s">
        <v>289</v>
      </c>
      <c r="B109" s="1213"/>
      <c r="C109" s="612">
        <v>0</v>
      </c>
      <c r="D109" s="612">
        <v>0</v>
      </c>
      <c r="E109" s="910">
        <f t="shared" si="9"/>
        <v>0</v>
      </c>
      <c r="F109" s="612">
        <v>0</v>
      </c>
      <c r="G109" s="612">
        <v>0</v>
      </c>
      <c r="H109" s="990">
        <v>0</v>
      </c>
      <c r="I109" s="990">
        <v>0</v>
      </c>
      <c r="J109" s="911">
        <f t="shared" si="8"/>
        <v>0</v>
      </c>
    </row>
    <row r="110" spans="1:10" x14ac:dyDescent="0.2">
      <c r="A110" s="909" t="s">
        <v>290</v>
      </c>
      <c r="B110" s="1213"/>
      <c r="C110" s="612">
        <v>0</v>
      </c>
      <c r="D110" s="612">
        <v>0</v>
      </c>
      <c r="E110" s="910">
        <f t="shared" si="9"/>
        <v>0</v>
      </c>
      <c r="F110" s="612">
        <v>0</v>
      </c>
      <c r="G110" s="612">
        <v>0</v>
      </c>
      <c r="H110" s="990">
        <v>0</v>
      </c>
      <c r="I110" s="990">
        <v>0</v>
      </c>
      <c r="J110" s="911">
        <f t="shared" si="8"/>
        <v>0</v>
      </c>
    </row>
    <row r="111" spans="1:10" x14ac:dyDescent="0.2">
      <c r="A111" s="909" t="s">
        <v>291</v>
      </c>
      <c r="B111" s="1213"/>
      <c r="C111" s="612">
        <v>0</v>
      </c>
      <c r="D111" s="612">
        <v>0</v>
      </c>
      <c r="E111" s="910">
        <f t="shared" si="9"/>
        <v>0</v>
      </c>
      <c r="F111" s="612">
        <v>0</v>
      </c>
      <c r="G111" s="612">
        <v>0</v>
      </c>
      <c r="H111" s="990">
        <v>0</v>
      </c>
      <c r="I111" s="990">
        <v>0</v>
      </c>
      <c r="J111" s="911">
        <f t="shared" si="8"/>
        <v>0</v>
      </c>
    </row>
    <row r="112" spans="1:10" x14ac:dyDescent="0.2">
      <c r="A112" s="909" t="s">
        <v>292</v>
      </c>
      <c r="B112" s="1213"/>
      <c r="C112" s="612">
        <v>0</v>
      </c>
      <c r="D112" s="612">
        <v>0</v>
      </c>
      <c r="E112" s="910">
        <f t="shared" si="9"/>
        <v>0</v>
      </c>
      <c r="F112" s="612">
        <v>0</v>
      </c>
      <c r="G112" s="612">
        <v>0</v>
      </c>
      <c r="H112" s="990">
        <v>0</v>
      </c>
      <c r="I112" s="990">
        <v>0</v>
      </c>
      <c r="J112" s="911">
        <f t="shared" si="8"/>
        <v>0</v>
      </c>
    </row>
    <row r="113" spans="1:10" x14ac:dyDescent="0.2">
      <c r="A113" s="909" t="s">
        <v>293</v>
      </c>
      <c r="B113" s="1213"/>
      <c r="C113" s="613">
        <v>0</v>
      </c>
      <c r="D113" s="612">
        <v>0</v>
      </c>
      <c r="E113" s="910">
        <f t="shared" si="9"/>
        <v>0</v>
      </c>
      <c r="F113" s="612">
        <v>0</v>
      </c>
      <c r="G113" s="612">
        <v>0</v>
      </c>
      <c r="H113" s="990">
        <v>0</v>
      </c>
      <c r="I113" s="990">
        <v>0</v>
      </c>
      <c r="J113" s="911">
        <f t="shared" si="8"/>
        <v>0</v>
      </c>
    </row>
    <row r="114" spans="1:10" x14ac:dyDescent="0.2">
      <c r="A114" s="909" t="s">
        <v>294</v>
      </c>
      <c r="B114" s="1213"/>
      <c r="C114" s="612">
        <v>0</v>
      </c>
      <c r="D114" s="612">
        <v>0</v>
      </c>
      <c r="E114" s="910">
        <f t="shared" si="9"/>
        <v>0</v>
      </c>
      <c r="F114" s="612">
        <v>0</v>
      </c>
      <c r="G114" s="612">
        <v>0</v>
      </c>
      <c r="H114" s="990">
        <v>0</v>
      </c>
      <c r="I114" s="990">
        <v>0</v>
      </c>
      <c r="J114" s="911">
        <f t="shared" si="8"/>
        <v>0</v>
      </c>
    </row>
    <row r="115" spans="1:10" ht="13.5" thickBot="1" x14ac:dyDescent="0.25">
      <c r="A115" s="912" t="s">
        <v>295</v>
      </c>
      <c r="B115" s="1214"/>
      <c r="C115" s="614">
        <v>0</v>
      </c>
      <c r="D115" s="614">
        <v>0</v>
      </c>
      <c r="E115" s="913">
        <f>+C115+D115</f>
        <v>0</v>
      </c>
      <c r="F115" s="614">
        <v>0</v>
      </c>
      <c r="G115" s="614">
        <v>0</v>
      </c>
      <c r="H115" s="991">
        <v>0</v>
      </c>
      <c r="I115" s="991">
        <v>0</v>
      </c>
      <c r="J115" s="914">
        <f t="shared" si="8"/>
        <v>0</v>
      </c>
    </row>
    <row r="116" spans="1:10" x14ac:dyDescent="0.2">
      <c r="A116" s="915"/>
      <c r="B116" s="916"/>
      <c r="C116" s="917"/>
      <c r="D116" s="917"/>
      <c r="E116" s="917"/>
      <c r="F116" s="917"/>
      <c r="G116" s="917"/>
      <c r="H116" s="992"/>
      <c r="I116" s="992"/>
      <c r="J116" s="917"/>
    </row>
    <row r="117" spans="1:10" x14ac:dyDescent="0.2">
      <c r="A117" s="915" t="s">
        <v>296</v>
      </c>
      <c r="B117" s="916"/>
      <c r="C117" s="918">
        <f t="shared" ref="C117:J117" si="10">SUM(C71:C115)</f>
        <v>0</v>
      </c>
      <c r="D117" s="918">
        <f t="shared" si="10"/>
        <v>0</v>
      </c>
      <c r="E117" s="918">
        <f t="shared" si="10"/>
        <v>0</v>
      </c>
      <c r="F117" s="918">
        <f t="shared" ref="F117" si="11">SUM(F71:F115)</f>
        <v>0</v>
      </c>
      <c r="G117" s="918">
        <f t="shared" si="10"/>
        <v>0</v>
      </c>
      <c r="H117" s="993">
        <f t="shared" si="10"/>
        <v>0</v>
      </c>
      <c r="I117" s="993">
        <f t="shared" ref="I117" si="12">SUM(I71:I115)</f>
        <v>0</v>
      </c>
      <c r="J117" s="918">
        <f t="shared" si="10"/>
        <v>0</v>
      </c>
    </row>
    <row r="118" spans="1:10" ht="13.5" thickBot="1" x14ac:dyDescent="0.25">
      <c r="A118" s="919"/>
      <c r="B118" s="920"/>
      <c r="C118" s="921"/>
      <c r="D118" s="921"/>
      <c r="E118" s="921"/>
      <c r="F118" s="921"/>
      <c r="G118" s="921"/>
      <c r="H118" s="994"/>
      <c r="I118" s="994"/>
      <c r="J118" s="922"/>
    </row>
  </sheetData>
  <sheetProtection algorithmName="SHA-512" hashValue="oRSKVTmlqOuEd5TrGuj3BXPAah3NFrBLoSAYzOZMFvl6BLDHEYnijDTDyAoPxY7STGUfCaS8Qm1iXcS/Cr+sAA==" saltValue="DLekGrca3/+IscscQ0PVcQ==" spinCount="100000" sheet="1" objects="1" scenarios="1"/>
  <mergeCells count="5">
    <mergeCell ref="B71:B115"/>
    <mergeCell ref="A14:J14"/>
    <mergeCell ref="A68:J68"/>
    <mergeCell ref="A1:H1"/>
    <mergeCell ref="B17:B61"/>
  </mergeCells>
  <conditionalFormatting sqref="A1:XFD1048576">
    <cfRule type="expression" dxfId="11" priority="5">
      <formula>$L$1="gas"</formula>
    </cfRule>
  </conditionalFormatting>
  <dataValidations count="2">
    <dataValidation type="decimal" operator="greaterThanOrEqual" allowBlank="1" showInputMessage="1" showErrorMessage="1" errorTitle="Negatief bedrag" error="Gelieve een positieve waarde in te geven" sqref="WVN983058:WVN983101 C65554:C65597 JB65554:JB65597 SX65554:SX65597 ACT65554:ACT65597 AMP65554:AMP65597 AWL65554:AWL65597 BGH65554:BGH65597 BQD65554:BQD65597 BZZ65554:BZZ65597 CJV65554:CJV65597 CTR65554:CTR65597 DDN65554:DDN65597 DNJ65554:DNJ65597 DXF65554:DXF65597 EHB65554:EHB65597 EQX65554:EQX65597 FAT65554:FAT65597 FKP65554:FKP65597 FUL65554:FUL65597 GEH65554:GEH65597 GOD65554:GOD65597 GXZ65554:GXZ65597 HHV65554:HHV65597 HRR65554:HRR65597 IBN65554:IBN65597 ILJ65554:ILJ65597 IVF65554:IVF65597 JFB65554:JFB65597 JOX65554:JOX65597 JYT65554:JYT65597 KIP65554:KIP65597 KSL65554:KSL65597 LCH65554:LCH65597 LMD65554:LMD65597 LVZ65554:LVZ65597 MFV65554:MFV65597 MPR65554:MPR65597 MZN65554:MZN65597 NJJ65554:NJJ65597 NTF65554:NTF65597 ODB65554:ODB65597 OMX65554:OMX65597 OWT65554:OWT65597 PGP65554:PGP65597 PQL65554:PQL65597 QAH65554:QAH65597 QKD65554:QKD65597 QTZ65554:QTZ65597 RDV65554:RDV65597 RNR65554:RNR65597 RXN65554:RXN65597 SHJ65554:SHJ65597 SRF65554:SRF65597 TBB65554:TBB65597 TKX65554:TKX65597 TUT65554:TUT65597 UEP65554:UEP65597 UOL65554:UOL65597 UYH65554:UYH65597 VID65554:VID65597 VRZ65554:VRZ65597 WBV65554:WBV65597 WLR65554:WLR65597 WVN65554:WVN65597 C131090:C131133 JB131090:JB131133 SX131090:SX131133 ACT131090:ACT131133 AMP131090:AMP131133 AWL131090:AWL131133 BGH131090:BGH131133 BQD131090:BQD131133 BZZ131090:BZZ131133 CJV131090:CJV131133 CTR131090:CTR131133 DDN131090:DDN131133 DNJ131090:DNJ131133 DXF131090:DXF131133 EHB131090:EHB131133 EQX131090:EQX131133 FAT131090:FAT131133 FKP131090:FKP131133 FUL131090:FUL131133 GEH131090:GEH131133 GOD131090:GOD131133 GXZ131090:GXZ131133 HHV131090:HHV131133 HRR131090:HRR131133 IBN131090:IBN131133 ILJ131090:ILJ131133 IVF131090:IVF131133 JFB131090:JFB131133 JOX131090:JOX131133 JYT131090:JYT131133 KIP131090:KIP131133 KSL131090:KSL131133 LCH131090:LCH131133 LMD131090:LMD131133 LVZ131090:LVZ131133 MFV131090:MFV131133 MPR131090:MPR131133 MZN131090:MZN131133 NJJ131090:NJJ131133 NTF131090:NTF131133 ODB131090:ODB131133 OMX131090:OMX131133 OWT131090:OWT131133 PGP131090:PGP131133 PQL131090:PQL131133 QAH131090:QAH131133 QKD131090:QKD131133 QTZ131090:QTZ131133 RDV131090:RDV131133 RNR131090:RNR131133 RXN131090:RXN131133 SHJ131090:SHJ131133 SRF131090:SRF131133 TBB131090:TBB131133 TKX131090:TKX131133 TUT131090:TUT131133 UEP131090:UEP131133 UOL131090:UOL131133 UYH131090:UYH131133 VID131090:VID131133 VRZ131090:VRZ131133 WBV131090:WBV131133 WLR131090:WLR131133 WVN131090:WVN131133 C196626:C196669 JB196626:JB196669 SX196626:SX196669 ACT196626:ACT196669 AMP196626:AMP196669 AWL196626:AWL196669 BGH196626:BGH196669 BQD196626:BQD196669 BZZ196626:BZZ196669 CJV196626:CJV196669 CTR196626:CTR196669 DDN196626:DDN196669 DNJ196626:DNJ196669 DXF196626:DXF196669 EHB196626:EHB196669 EQX196626:EQX196669 FAT196626:FAT196669 FKP196626:FKP196669 FUL196626:FUL196669 GEH196626:GEH196669 GOD196626:GOD196669 GXZ196626:GXZ196669 HHV196626:HHV196669 HRR196626:HRR196669 IBN196626:IBN196669 ILJ196626:ILJ196669 IVF196626:IVF196669 JFB196626:JFB196669 JOX196626:JOX196669 JYT196626:JYT196669 KIP196626:KIP196669 KSL196626:KSL196669 LCH196626:LCH196669 LMD196626:LMD196669 LVZ196626:LVZ196669 MFV196626:MFV196669 MPR196626:MPR196669 MZN196626:MZN196669 NJJ196626:NJJ196669 NTF196626:NTF196669 ODB196626:ODB196669 OMX196626:OMX196669 OWT196626:OWT196669 PGP196626:PGP196669 PQL196626:PQL196669 QAH196626:QAH196669 QKD196626:QKD196669 QTZ196626:QTZ196669 RDV196626:RDV196669 RNR196626:RNR196669 RXN196626:RXN196669 SHJ196626:SHJ196669 SRF196626:SRF196669 TBB196626:TBB196669 TKX196626:TKX196669 TUT196626:TUT196669 UEP196626:UEP196669 UOL196626:UOL196669 UYH196626:UYH196669 VID196626:VID196669 VRZ196626:VRZ196669 WBV196626:WBV196669 WLR196626:WLR196669 WVN196626:WVN196669 C262162:C262205 JB262162:JB262205 SX262162:SX262205 ACT262162:ACT262205 AMP262162:AMP262205 AWL262162:AWL262205 BGH262162:BGH262205 BQD262162:BQD262205 BZZ262162:BZZ262205 CJV262162:CJV262205 CTR262162:CTR262205 DDN262162:DDN262205 DNJ262162:DNJ262205 DXF262162:DXF262205 EHB262162:EHB262205 EQX262162:EQX262205 FAT262162:FAT262205 FKP262162:FKP262205 FUL262162:FUL262205 GEH262162:GEH262205 GOD262162:GOD262205 GXZ262162:GXZ262205 HHV262162:HHV262205 HRR262162:HRR262205 IBN262162:IBN262205 ILJ262162:ILJ262205 IVF262162:IVF262205 JFB262162:JFB262205 JOX262162:JOX262205 JYT262162:JYT262205 KIP262162:KIP262205 KSL262162:KSL262205 LCH262162:LCH262205 LMD262162:LMD262205 LVZ262162:LVZ262205 MFV262162:MFV262205 MPR262162:MPR262205 MZN262162:MZN262205 NJJ262162:NJJ262205 NTF262162:NTF262205 ODB262162:ODB262205 OMX262162:OMX262205 OWT262162:OWT262205 PGP262162:PGP262205 PQL262162:PQL262205 QAH262162:QAH262205 QKD262162:QKD262205 QTZ262162:QTZ262205 RDV262162:RDV262205 RNR262162:RNR262205 RXN262162:RXN262205 SHJ262162:SHJ262205 SRF262162:SRF262205 TBB262162:TBB262205 TKX262162:TKX262205 TUT262162:TUT262205 UEP262162:UEP262205 UOL262162:UOL262205 UYH262162:UYH262205 VID262162:VID262205 VRZ262162:VRZ262205 WBV262162:WBV262205 WLR262162:WLR262205 WVN262162:WVN262205 C327698:C327741 JB327698:JB327741 SX327698:SX327741 ACT327698:ACT327741 AMP327698:AMP327741 AWL327698:AWL327741 BGH327698:BGH327741 BQD327698:BQD327741 BZZ327698:BZZ327741 CJV327698:CJV327741 CTR327698:CTR327741 DDN327698:DDN327741 DNJ327698:DNJ327741 DXF327698:DXF327741 EHB327698:EHB327741 EQX327698:EQX327741 FAT327698:FAT327741 FKP327698:FKP327741 FUL327698:FUL327741 GEH327698:GEH327741 GOD327698:GOD327741 GXZ327698:GXZ327741 HHV327698:HHV327741 HRR327698:HRR327741 IBN327698:IBN327741 ILJ327698:ILJ327741 IVF327698:IVF327741 JFB327698:JFB327741 JOX327698:JOX327741 JYT327698:JYT327741 KIP327698:KIP327741 KSL327698:KSL327741 LCH327698:LCH327741 LMD327698:LMD327741 LVZ327698:LVZ327741 MFV327698:MFV327741 MPR327698:MPR327741 MZN327698:MZN327741 NJJ327698:NJJ327741 NTF327698:NTF327741 ODB327698:ODB327741 OMX327698:OMX327741 OWT327698:OWT327741 PGP327698:PGP327741 PQL327698:PQL327741 QAH327698:QAH327741 QKD327698:QKD327741 QTZ327698:QTZ327741 RDV327698:RDV327741 RNR327698:RNR327741 RXN327698:RXN327741 SHJ327698:SHJ327741 SRF327698:SRF327741 TBB327698:TBB327741 TKX327698:TKX327741 TUT327698:TUT327741 UEP327698:UEP327741 UOL327698:UOL327741 UYH327698:UYH327741 VID327698:VID327741 VRZ327698:VRZ327741 WBV327698:WBV327741 WLR327698:WLR327741 WVN327698:WVN327741 C393234:C393277 JB393234:JB393277 SX393234:SX393277 ACT393234:ACT393277 AMP393234:AMP393277 AWL393234:AWL393277 BGH393234:BGH393277 BQD393234:BQD393277 BZZ393234:BZZ393277 CJV393234:CJV393277 CTR393234:CTR393277 DDN393234:DDN393277 DNJ393234:DNJ393277 DXF393234:DXF393277 EHB393234:EHB393277 EQX393234:EQX393277 FAT393234:FAT393277 FKP393234:FKP393277 FUL393234:FUL393277 GEH393234:GEH393277 GOD393234:GOD393277 GXZ393234:GXZ393277 HHV393234:HHV393277 HRR393234:HRR393277 IBN393234:IBN393277 ILJ393234:ILJ393277 IVF393234:IVF393277 JFB393234:JFB393277 JOX393234:JOX393277 JYT393234:JYT393277 KIP393234:KIP393277 KSL393234:KSL393277 LCH393234:LCH393277 LMD393234:LMD393277 LVZ393234:LVZ393277 MFV393234:MFV393277 MPR393234:MPR393277 MZN393234:MZN393277 NJJ393234:NJJ393277 NTF393234:NTF393277 ODB393234:ODB393277 OMX393234:OMX393277 OWT393234:OWT393277 PGP393234:PGP393277 PQL393234:PQL393277 QAH393234:QAH393277 QKD393234:QKD393277 QTZ393234:QTZ393277 RDV393234:RDV393277 RNR393234:RNR393277 RXN393234:RXN393277 SHJ393234:SHJ393277 SRF393234:SRF393277 TBB393234:TBB393277 TKX393234:TKX393277 TUT393234:TUT393277 UEP393234:UEP393277 UOL393234:UOL393277 UYH393234:UYH393277 VID393234:VID393277 VRZ393234:VRZ393277 WBV393234:WBV393277 WLR393234:WLR393277 WVN393234:WVN393277 C458770:C458813 JB458770:JB458813 SX458770:SX458813 ACT458770:ACT458813 AMP458770:AMP458813 AWL458770:AWL458813 BGH458770:BGH458813 BQD458770:BQD458813 BZZ458770:BZZ458813 CJV458770:CJV458813 CTR458770:CTR458813 DDN458770:DDN458813 DNJ458770:DNJ458813 DXF458770:DXF458813 EHB458770:EHB458813 EQX458770:EQX458813 FAT458770:FAT458813 FKP458770:FKP458813 FUL458770:FUL458813 GEH458770:GEH458813 GOD458770:GOD458813 GXZ458770:GXZ458813 HHV458770:HHV458813 HRR458770:HRR458813 IBN458770:IBN458813 ILJ458770:ILJ458813 IVF458770:IVF458813 JFB458770:JFB458813 JOX458770:JOX458813 JYT458770:JYT458813 KIP458770:KIP458813 KSL458770:KSL458813 LCH458770:LCH458813 LMD458770:LMD458813 LVZ458770:LVZ458813 MFV458770:MFV458813 MPR458770:MPR458813 MZN458770:MZN458813 NJJ458770:NJJ458813 NTF458770:NTF458813 ODB458770:ODB458813 OMX458770:OMX458813 OWT458770:OWT458813 PGP458770:PGP458813 PQL458770:PQL458813 QAH458770:QAH458813 QKD458770:QKD458813 QTZ458770:QTZ458813 RDV458770:RDV458813 RNR458770:RNR458813 RXN458770:RXN458813 SHJ458770:SHJ458813 SRF458770:SRF458813 TBB458770:TBB458813 TKX458770:TKX458813 TUT458770:TUT458813 UEP458770:UEP458813 UOL458770:UOL458813 UYH458770:UYH458813 VID458770:VID458813 VRZ458770:VRZ458813 WBV458770:WBV458813 WLR458770:WLR458813 WVN458770:WVN458813 C524306:C524349 JB524306:JB524349 SX524306:SX524349 ACT524306:ACT524349 AMP524306:AMP524349 AWL524306:AWL524349 BGH524306:BGH524349 BQD524306:BQD524349 BZZ524306:BZZ524349 CJV524306:CJV524349 CTR524306:CTR524349 DDN524306:DDN524349 DNJ524306:DNJ524349 DXF524306:DXF524349 EHB524306:EHB524349 EQX524306:EQX524349 FAT524306:FAT524349 FKP524306:FKP524349 FUL524306:FUL524349 GEH524306:GEH524349 GOD524306:GOD524349 GXZ524306:GXZ524349 HHV524306:HHV524349 HRR524306:HRR524349 IBN524306:IBN524349 ILJ524306:ILJ524349 IVF524306:IVF524349 JFB524306:JFB524349 JOX524306:JOX524349 JYT524306:JYT524349 KIP524306:KIP524349 KSL524306:KSL524349 LCH524306:LCH524349 LMD524306:LMD524349 LVZ524306:LVZ524349 MFV524306:MFV524349 MPR524306:MPR524349 MZN524306:MZN524349 NJJ524306:NJJ524349 NTF524306:NTF524349 ODB524306:ODB524349 OMX524306:OMX524349 OWT524306:OWT524349 PGP524306:PGP524349 PQL524306:PQL524349 QAH524306:QAH524349 QKD524306:QKD524349 QTZ524306:QTZ524349 RDV524306:RDV524349 RNR524306:RNR524349 RXN524306:RXN524349 SHJ524306:SHJ524349 SRF524306:SRF524349 TBB524306:TBB524349 TKX524306:TKX524349 TUT524306:TUT524349 UEP524306:UEP524349 UOL524306:UOL524349 UYH524306:UYH524349 VID524306:VID524349 VRZ524306:VRZ524349 WBV524306:WBV524349 WLR524306:WLR524349 WVN524306:WVN524349 C589842:C589885 JB589842:JB589885 SX589842:SX589885 ACT589842:ACT589885 AMP589842:AMP589885 AWL589842:AWL589885 BGH589842:BGH589885 BQD589842:BQD589885 BZZ589842:BZZ589885 CJV589842:CJV589885 CTR589842:CTR589885 DDN589842:DDN589885 DNJ589842:DNJ589885 DXF589842:DXF589885 EHB589842:EHB589885 EQX589842:EQX589885 FAT589842:FAT589885 FKP589842:FKP589885 FUL589842:FUL589885 GEH589842:GEH589885 GOD589842:GOD589885 GXZ589842:GXZ589885 HHV589842:HHV589885 HRR589842:HRR589885 IBN589842:IBN589885 ILJ589842:ILJ589885 IVF589842:IVF589885 JFB589842:JFB589885 JOX589842:JOX589885 JYT589842:JYT589885 KIP589842:KIP589885 KSL589842:KSL589885 LCH589842:LCH589885 LMD589842:LMD589885 LVZ589842:LVZ589885 MFV589842:MFV589885 MPR589842:MPR589885 MZN589842:MZN589885 NJJ589842:NJJ589885 NTF589842:NTF589885 ODB589842:ODB589885 OMX589842:OMX589885 OWT589842:OWT589885 PGP589842:PGP589885 PQL589842:PQL589885 QAH589842:QAH589885 QKD589842:QKD589885 QTZ589842:QTZ589885 RDV589842:RDV589885 RNR589842:RNR589885 RXN589842:RXN589885 SHJ589842:SHJ589885 SRF589842:SRF589885 TBB589842:TBB589885 TKX589842:TKX589885 TUT589842:TUT589885 UEP589842:UEP589885 UOL589842:UOL589885 UYH589842:UYH589885 VID589842:VID589885 VRZ589842:VRZ589885 WBV589842:WBV589885 WLR589842:WLR589885 WVN589842:WVN589885 C655378:C655421 JB655378:JB655421 SX655378:SX655421 ACT655378:ACT655421 AMP655378:AMP655421 AWL655378:AWL655421 BGH655378:BGH655421 BQD655378:BQD655421 BZZ655378:BZZ655421 CJV655378:CJV655421 CTR655378:CTR655421 DDN655378:DDN655421 DNJ655378:DNJ655421 DXF655378:DXF655421 EHB655378:EHB655421 EQX655378:EQX655421 FAT655378:FAT655421 FKP655378:FKP655421 FUL655378:FUL655421 GEH655378:GEH655421 GOD655378:GOD655421 GXZ655378:GXZ655421 HHV655378:HHV655421 HRR655378:HRR655421 IBN655378:IBN655421 ILJ655378:ILJ655421 IVF655378:IVF655421 JFB655378:JFB655421 JOX655378:JOX655421 JYT655378:JYT655421 KIP655378:KIP655421 KSL655378:KSL655421 LCH655378:LCH655421 LMD655378:LMD655421 LVZ655378:LVZ655421 MFV655378:MFV655421 MPR655378:MPR655421 MZN655378:MZN655421 NJJ655378:NJJ655421 NTF655378:NTF655421 ODB655378:ODB655421 OMX655378:OMX655421 OWT655378:OWT655421 PGP655378:PGP655421 PQL655378:PQL655421 QAH655378:QAH655421 QKD655378:QKD655421 QTZ655378:QTZ655421 RDV655378:RDV655421 RNR655378:RNR655421 RXN655378:RXN655421 SHJ655378:SHJ655421 SRF655378:SRF655421 TBB655378:TBB655421 TKX655378:TKX655421 TUT655378:TUT655421 UEP655378:UEP655421 UOL655378:UOL655421 UYH655378:UYH655421 VID655378:VID655421 VRZ655378:VRZ655421 WBV655378:WBV655421 WLR655378:WLR655421 WVN655378:WVN655421 C720914:C720957 JB720914:JB720957 SX720914:SX720957 ACT720914:ACT720957 AMP720914:AMP720957 AWL720914:AWL720957 BGH720914:BGH720957 BQD720914:BQD720957 BZZ720914:BZZ720957 CJV720914:CJV720957 CTR720914:CTR720957 DDN720914:DDN720957 DNJ720914:DNJ720957 DXF720914:DXF720957 EHB720914:EHB720957 EQX720914:EQX720957 FAT720914:FAT720957 FKP720914:FKP720957 FUL720914:FUL720957 GEH720914:GEH720957 GOD720914:GOD720957 GXZ720914:GXZ720957 HHV720914:HHV720957 HRR720914:HRR720957 IBN720914:IBN720957 ILJ720914:ILJ720957 IVF720914:IVF720957 JFB720914:JFB720957 JOX720914:JOX720957 JYT720914:JYT720957 KIP720914:KIP720957 KSL720914:KSL720957 LCH720914:LCH720957 LMD720914:LMD720957 LVZ720914:LVZ720957 MFV720914:MFV720957 MPR720914:MPR720957 MZN720914:MZN720957 NJJ720914:NJJ720957 NTF720914:NTF720957 ODB720914:ODB720957 OMX720914:OMX720957 OWT720914:OWT720957 PGP720914:PGP720957 PQL720914:PQL720957 QAH720914:QAH720957 QKD720914:QKD720957 QTZ720914:QTZ720957 RDV720914:RDV720957 RNR720914:RNR720957 RXN720914:RXN720957 SHJ720914:SHJ720957 SRF720914:SRF720957 TBB720914:TBB720957 TKX720914:TKX720957 TUT720914:TUT720957 UEP720914:UEP720957 UOL720914:UOL720957 UYH720914:UYH720957 VID720914:VID720957 VRZ720914:VRZ720957 WBV720914:WBV720957 WLR720914:WLR720957 WVN720914:WVN720957 C786450:C786493 JB786450:JB786493 SX786450:SX786493 ACT786450:ACT786493 AMP786450:AMP786493 AWL786450:AWL786493 BGH786450:BGH786493 BQD786450:BQD786493 BZZ786450:BZZ786493 CJV786450:CJV786493 CTR786450:CTR786493 DDN786450:DDN786493 DNJ786450:DNJ786493 DXF786450:DXF786493 EHB786450:EHB786493 EQX786450:EQX786493 FAT786450:FAT786493 FKP786450:FKP786493 FUL786450:FUL786493 GEH786450:GEH786493 GOD786450:GOD786493 GXZ786450:GXZ786493 HHV786450:HHV786493 HRR786450:HRR786493 IBN786450:IBN786493 ILJ786450:ILJ786493 IVF786450:IVF786493 JFB786450:JFB786493 JOX786450:JOX786493 JYT786450:JYT786493 KIP786450:KIP786493 KSL786450:KSL786493 LCH786450:LCH786493 LMD786450:LMD786493 LVZ786450:LVZ786493 MFV786450:MFV786493 MPR786450:MPR786493 MZN786450:MZN786493 NJJ786450:NJJ786493 NTF786450:NTF786493 ODB786450:ODB786493 OMX786450:OMX786493 OWT786450:OWT786493 PGP786450:PGP786493 PQL786450:PQL786493 QAH786450:QAH786493 QKD786450:QKD786493 QTZ786450:QTZ786493 RDV786450:RDV786493 RNR786450:RNR786493 RXN786450:RXN786493 SHJ786450:SHJ786493 SRF786450:SRF786493 TBB786450:TBB786493 TKX786450:TKX786493 TUT786450:TUT786493 UEP786450:UEP786493 UOL786450:UOL786493 UYH786450:UYH786493 VID786450:VID786493 VRZ786450:VRZ786493 WBV786450:WBV786493 WLR786450:WLR786493 WVN786450:WVN786493 C851986:C852029 JB851986:JB852029 SX851986:SX852029 ACT851986:ACT852029 AMP851986:AMP852029 AWL851986:AWL852029 BGH851986:BGH852029 BQD851986:BQD852029 BZZ851986:BZZ852029 CJV851986:CJV852029 CTR851986:CTR852029 DDN851986:DDN852029 DNJ851986:DNJ852029 DXF851986:DXF852029 EHB851986:EHB852029 EQX851986:EQX852029 FAT851986:FAT852029 FKP851986:FKP852029 FUL851986:FUL852029 GEH851986:GEH852029 GOD851986:GOD852029 GXZ851986:GXZ852029 HHV851986:HHV852029 HRR851986:HRR852029 IBN851986:IBN852029 ILJ851986:ILJ852029 IVF851986:IVF852029 JFB851986:JFB852029 JOX851986:JOX852029 JYT851986:JYT852029 KIP851986:KIP852029 KSL851986:KSL852029 LCH851986:LCH852029 LMD851986:LMD852029 LVZ851986:LVZ852029 MFV851986:MFV852029 MPR851986:MPR852029 MZN851986:MZN852029 NJJ851986:NJJ852029 NTF851986:NTF852029 ODB851986:ODB852029 OMX851986:OMX852029 OWT851986:OWT852029 PGP851986:PGP852029 PQL851986:PQL852029 QAH851986:QAH852029 QKD851986:QKD852029 QTZ851986:QTZ852029 RDV851986:RDV852029 RNR851986:RNR852029 RXN851986:RXN852029 SHJ851986:SHJ852029 SRF851986:SRF852029 TBB851986:TBB852029 TKX851986:TKX852029 TUT851986:TUT852029 UEP851986:UEP852029 UOL851986:UOL852029 UYH851986:UYH852029 VID851986:VID852029 VRZ851986:VRZ852029 WBV851986:WBV852029 WLR851986:WLR852029 WVN851986:WVN852029 C917522:C917565 JB917522:JB917565 SX917522:SX917565 ACT917522:ACT917565 AMP917522:AMP917565 AWL917522:AWL917565 BGH917522:BGH917565 BQD917522:BQD917565 BZZ917522:BZZ917565 CJV917522:CJV917565 CTR917522:CTR917565 DDN917522:DDN917565 DNJ917522:DNJ917565 DXF917522:DXF917565 EHB917522:EHB917565 EQX917522:EQX917565 FAT917522:FAT917565 FKP917522:FKP917565 FUL917522:FUL917565 GEH917522:GEH917565 GOD917522:GOD917565 GXZ917522:GXZ917565 HHV917522:HHV917565 HRR917522:HRR917565 IBN917522:IBN917565 ILJ917522:ILJ917565 IVF917522:IVF917565 JFB917522:JFB917565 JOX917522:JOX917565 JYT917522:JYT917565 KIP917522:KIP917565 KSL917522:KSL917565 LCH917522:LCH917565 LMD917522:LMD917565 LVZ917522:LVZ917565 MFV917522:MFV917565 MPR917522:MPR917565 MZN917522:MZN917565 NJJ917522:NJJ917565 NTF917522:NTF917565 ODB917522:ODB917565 OMX917522:OMX917565 OWT917522:OWT917565 PGP917522:PGP917565 PQL917522:PQL917565 QAH917522:QAH917565 QKD917522:QKD917565 QTZ917522:QTZ917565 RDV917522:RDV917565 RNR917522:RNR917565 RXN917522:RXN917565 SHJ917522:SHJ917565 SRF917522:SRF917565 TBB917522:TBB917565 TKX917522:TKX917565 TUT917522:TUT917565 UEP917522:UEP917565 UOL917522:UOL917565 UYH917522:UYH917565 VID917522:VID917565 VRZ917522:VRZ917565 WBV917522:WBV917565 WLR917522:WLR917565 WVN917522:WVN917565 C983058:C983101 JB983058:JB983101 SX983058:SX983101 ACT983058:ACT983101 AMP983058:AMP983101 AWL983058:AWL983101 BGH983058:BGH983101 BQD983058:BQD983101 BZZ983058:BZZ983101 CJV983058:CJV983101 CTR983058:CTR983101 DDN983058:DDN983101 DNJ983058:DNJ983101 DXF983058:DXF983101 EHB983058:EHB983101 EQX983058:EQX983101 FAT983058:FAT983101 FKP983058:FKP983101 FUL983058:FUL983101 GEH983058:GEH983101 GOD983058:GOD983101 GXZ983058:GXZ983101 HHV983058:HHV983101 HRR983058:HRR983101 IBN983058:IBN983101 ILJ983058:ILJ983101 IVF983058:IVF983101 JFB983058:JFB983101 JOX983058:JOX983101 JYT983058:JYT983101 KIP983058:KIP983101 KSL983058:KSL983101 LCH983058:LCH983101 LMD983058:LMD983101 LVZ983058:LVZ983101 MFV983058:MFV983101 MPR983058:MPR983101 MZN983058:MZN983101 NJJ983058:NJJ983101 NTF983058:NTF983101 ODB983058:ODB983101 OMX983058:OMX983101 OWT983058:OWT983101 PGP983058:PGP983101 PQL983058:PQL983101 QAH983058:QAH983101 QKD983058:QKD983101 QTZ983058:QTZ983101 RDV983058:RDV983101 RNR983058:RNR983101 RXN983058:RXN983101 SHJ983058:SHJ983101 SRF983058:SRF983101 TBB983058:TBB983101 TKX983058:TKX983101 TUT983058:TUT983101 UEP983058:UEP983101 UOL983058:UOL983101 UYH983058:UYH983101 VID983058:VID983101 VRZ983058:VRZ983101 WBV983058:WBV983101 WLR983058:WLR983101 WVN17:WVN61 WLR17:WLR61 WBV17:WBV61 VRZ17:VRZ61 VID17:VID61 UYH17:UYH61 UOL17:UOL61 UEP17:UEP61 TUT17:TUT61 TKX17:TKX61 TBB17:TBB61 SRF17:SRF61 SHJ17:SHJ61 RXN17:RXN61 RNR17:RNR61 RDV17:RDV61 QTZ17:QTZ61 QKD17:QKD61 QAH17:QAH61 PQL17:PQL61 PGP17:PGP61 OWT17:OWT61 OMX17:OMX61 ODB17:ODB61 NTF17:NTF61 NJJ17:NJJ61 MZN17:MZN61 MPR17:MPR61 MFV17:MFV61 LVZ17:LVZ61 LMD17:LMD61 LCH17:LCH61 KSL17:KSL61 KIP17:KIP61 JYT17:JYT61 JOX17:JOX61 JFB17:JFB61 IVF17:IVF61 ILJ17:ILJ61 IBN17:IBN61 HRR17:HRR61 HHV17:HHV61 GXZ17:GXZ61 GOD17:GOD61 GEH17:GEH61 FUL17:FUL61 FKP17:FKP61 FAT17:FAT61 EQX17:EQX61 EHB17:EHB61 DXF17:DXF61 DNJ17:DNJ61 DDN17:DDN61 CTR17:CTR61 CJV17:CJV61 BZZ17:BZZ61 BQD17:BQD61 BGH17:BGH61 AWL17:AWL61 AMP17:AMP61 ACT17:ACT61 SX17:SX61 JB17:JB61 C17:C61 WVN71:WVN115 WLR71:WLR115 WBV71:WBV115 VRZ71:VRZ115 VID71:VID115 UYH71:UYH115 UOL71:UOL115 UEP71:UEP115 TUT71:TUT115 TKX71:TKX115 TBB71:TBB115 SRF71:SRF115 SHJ71:SHJ115 RXN71:RXN115 RNR71:RNR115 RDV71:RDV115 QTZ71:QTZ115 QKD71:QKD115 QAH71:QAH115 PQL71:PQL115 PGP71:PGP115 OWT71:OWT115 OMX71:OMX115 ODB71:ODB115 NTF71:NTF115 NJJ71:NJJ115 MZN71:MZN115 MPR71:MPR115 MFV71:MFV115 LVZ71:LVZ115 LMD71:LMD115 LCH71:LCH115 KSL71:KSL115 KIP71:KIP115 JYT71:JYT115 JOX71:JOX115 JFB71:JFB115 IVF71:IVF115 ILJ71:ILJ115 IBN71:IBN115 HRR71:HRR115 HHV71:HHV115 GXZ71:GXZ115 GOD71:GOD115 GEH71:GEH115 FUL71:FUL115 FKP71:FKP115 FAT71:FAT115 EQX71:EQX115 EHB71:EHB115 DXF71:DXF115 DNJ71:DNJ115 DDN71:DDN115 CTR71:CTR115 CJV71:CJV115 BZZ71:BZZ115 BQD71:BQD115 BGH71:BGH115 AWL71:AWL115 AMP71:AMP115 ACT71:ACT115 SX71:SX115 JB71:JB115 C71:C115" xr:uid="{E6DCB3DE-878F-49AF-ABDC-69E6EC3203C6}">
      <formula1>0</formula1>
    </dataValidation>
    <dataValidation type="decimal" operator="lessThanOrEqual" allowBlank="1" showInputMessage="1" showErrorMessage="1" errorTitle="Positief bedrag" error="Gelieve een negatief bedrag in te geven" sqref="F131090:I131133 JE65554:JE65597 TA65554:TA65597 ACW65554:ACW65597 AMS65554:AMS65597 AWO65554:AWO65597 BGK65554:BGK65597 BQG65554:BQG65597 CAC65554:CAC65597 CJY65554:CJY65597 CTU65554:CTU65597 DDQ65554:DDQ65597 DNM65554:DNM65597 DXI65554:DXI65597 EHE65554:EHE65597 ERA65554:ERA65597 FAW65554:FAW65597 FKS65554:FKS65597 FUO65554:FUO65597 GEK65554:GEK65597 GOG65554:GOG65597 GYC65554:GYC65597 HHY65554:HHY65597 HRU65554:HRU65597 IBQ65554:IBQ65597 ILM65554:ILM65597 IVI65554:IVI65597 JFE65554:JFE65597 JPA65554:JPA65597 JYW65554:JYW65597 KIS65554:KIS65597 KSO65554:KSO65597 LCK65554:LCK65597 LMG65554:LMG65597 LWC65554:LWC65597 MFY65554:MFY65597 MPU65554:MPU65597 MZQ65554:MZQ65597 NJM65554:NJM65597 NTI65554:NTI65597 ODE65554:ODE65597 ONA65554:ONA65597 OWW65554:OWW65597 PGS65554:PGS65597 PQO65554:PQO65597 QAK65554:QAK65597 QKG65554:QKG65597 QUC65554:QUC65597 RDY65554:RDY65597 RNU65554:RNU65597 RXQ65554:RXQ65597 SHM65554:SHM65597 SRI65554:SRI65597 TBE65554:TBE65597 TLA65554:TLA65597 TUW65554:TUW65597 UES65554:UES65597 UOO65554:UOO65597 UYK65554:UYK65597 VIG65554:VIG65597 VSC65554:VSC65597 WBY65554:WBY65597 WLU65554:WLU65597 WVQ65554:WVQ65597 F196626:I196669 JE131090:JE131133 TA131090:TA131133 ACW131090:ACW131133 AMS131090:AMS131133 AWO131090:AWO131133 BGK131090:BGK131133 BQG131090:BQG131133 CAC131090:CAC131133 CJY131090:CJY131133 CTU131090:CTU131133 DDQ131090:DDQ131133 DNM131090:DNM131133 DXI131090:DXI131133 EHE131090:EHE131133 ERA131090:ERA131133 FAW131090:FAW131133 FKS131090:FKS131133 FUO131090:FUO131133 GEK131090:GEK131133 GOG131090:GOG131133 GYC131090:GYC131133 HHY131090:HHY131133 HRU131090:HRU131133 IBQ131090:IBQ131133 ILM131090:ILM131133 IVI131090:IVI131133 JFE131090:JFE131133 JPA131090:JPA131133 JYW131090:JYW131133 KIS131090:KIS131133 KSO131090:KSO131133 LCK131090:LCK131133 LMG131090:LMG131133 LWC131090:LWC131133 MFY131090:MFY131133 MPU131090:MPU131133 MZQ131090:MZQ131133 NJM131090:NJM131133 NTI131090:NTI131133 ODE131090:ODE131133 ONA131090:ONA131133 OWW131090:OWW131133 PGS131090:PGS131133 PQO131090:PQO131133 QAK131090:QAK131133 QKG131090:QKG131133 QUC131090:QUC131133 RDY131090:RDY131133 RNU131090:RNU131133 RXQ131090:RXQ131133 SHM131090:SHM131133 SRI131090:SRI131133 TBE131090:TBE131133 TLA131090:TLA131133 TUW131090:TUW131133 UES131090:UES131133 UOO131090:UOO131133 UYK131090:UYK131133 VIG131090:VIG131133 VSC131090:VSC131133 WBY131090:WBY131133 WLU131090:WLU131133 WVQ131090:WVQ131133 F262162:I262205 JE196626:JE196669 TA196626:TA196669 ACW196626:ACW196669 AMS196626:AMS196669 AWO196626:AWO196669 BGK196626:BGK196669 BQG196626:BQG196669 CAC196626:CAC196669 CJY196626:CJY196669 CTU196626:CTU196669 DDQ196626:DDQ196669 DNM196626:DNM196669 DXI196626:DXI196669 EHE196626:EHE196669 ERA196626:ERA196669 FAW196626:FAW196669 FKS196626:FKS196669 FUO196626:FUO196669 GEK196626:GEK196669 GOG196626:GOG196669 GYC196626:GYC196669 HHY196626:HHY196669 HRU196626:HRU196669 IBQ196626:IBQ196669 ILM196626:ILM196669 IVI196626:IVI196669 JFE196626:JFE196669 JPA196626:JPA196669 JYW196626:JYW196669 KIS196626:KIS196669 KSO196626:KSO196669 LCK196626:LCK196669 LMG196626:LMG196669 LWC196626:LWC196669 MFY196626:MFY196669 MPU196626:MPU196669 MZQ196626:MZQ196669 NJM196626:NJM196669 NTI196626:NTI196669 ODE196626:ODE196669 ONA196626:ONA196669 OWW196626:OWW196669 PGS196626:PGS196669 PQO196626:PQO196669 QAK196626:QAK196669 QKG196626:QKG196669 QUC196626:QUC196669 RDY196626:RDY196669 RNU196626:RNU196669 RXQ196626:RXQ196669 SHM196626:SHM196669 SRI196626:SRI196669 TBE196626:TBE196669 TLA196626:TLA196669 TUW196626:TUW196669 UES196626:UES196669 UOO196626:UOO196669 UYK196626:UYK196669 VIG196626:VIG196669 VSC196626:VSC196669 WBY196626:WBY196669 WLU196626:WLU196669 WVQ196626:WVQ196669 F327698:I327741 JE262162:JE262205 TA262162:TA262205 ACW262162:ACW262205 AMS262162:AMS262205 AWO262162:AWO262205 BGK262162:BGK262205 BQG262162:BQG262205 CAC262162:CAC262205 CJY262162:CJY262205 CTU262162:CTU262205 DDQ262162:DDQ262205 DNM262162:DNM262205 DXI262162:DXI262205 EHE262162:EHE262205 ERA262162:ERA262205 FAW262162:FAW262205 FKS262162:FKS262205 FUO262162:FUO262205 GEK262162:GEK262205 GOG262162:GOG262205 GYC262162:GYC262205 HHY262162:HHY262205 HRU262162:HRU262205 IBQ262162:IBQ262205 ILM262162:ILM262205 IVI262162:IVI262205 JFE262162:JFE262205 JPA262162:JPA262205 JYW262162:JYW262205 KIS262162:KIS262205 KSO262162:KSO262205 LCK262162:LCK262205 LMG262162:LMG262205 LWC262162:LWC262205 MFY262162:MFY262205 MPU262162:MPU262205 MZQ262162:MZQ262205 NJM262162:NJM262205 NTI262162:NTI262205 ODE262162:ODE262205 ONA262162:ONA262205 OWW262162:OWW262205 PGS262162:PGS262205 PQO262162:PQO262205 QAK262162:QAK262205 QKG262162:QKG262205 QUC262162:QUC262205 RDY262162:RDY262205 RNU262162:RNU262205 RXQ262162:RXQ262205 SHM262162:SHM262205 SRI262162:SRI262205 TBE262162:TBE262205 TLA262162:TLA262205 TUW262162:TUW262205 UES262162:UES262205 UOO262162:UOO262205 UYK262162:UYK262205 VIG262162:VIG262205 VSC262162:VSC262205 WBY262162:WBY262205 WLU262162:WLU262205 WVQ262162:WVQ262205 F393234:I393277 JE327698:JE327741 TA327698:TA327741 ACW327698:ACW327741 AMS327698:AMS327741 AWO327698:AWO327741 BGK327698:BGK327741 BQG327698:BQG327741 CAC327698:CAC327741 CJY327698:CJY327741 CTU327698:CTU327741 DDQ327698:DDQ327741 DNM327698:DNM327741 DXI327698:DXI327741 EHE327698:EHE327741 ERA327698:ERA327741 FAW327698:FAW327741 FKS327698:FKS327741 FUO327698:FUO327741 GEK327698:GEK327741 GOG327698:GOG327741 GYC327698:GYC327741 HHY327698:HHY327741 HRU327698:HRU327741 IBQ327698:IBQ327741 ILM327698:ILM327741 IVI327698:IVI327741 JFE327698:JFE327741 JPA327698:JPA327741 JYW327698:JYW327741 KIS327698:KIS327741 KSO327698:KSO327741 LCK327698:LCK327741 LMG327698:LMG327741 LWC327698:LWC327741 MFY327698:MFY327741 MPU327698:MPU327741 MZQ327698:MZQ327741 NJM327698:NJM327741 NTI327698:NTI327741 ODE327698:ODE327741 ONA327698:ONA327741 OWW327698:OWW327741 PGS327698:PGS327741 PQO327698:PQO327741 QAK327698:QAK327741 QKG327698:QKG327741 QUC327698:QUC327741 RDY327698:RDY327741 RNU327698:RNU327741 RXQ327698:RXQ327741 SHM327698:SHM327741 SRI327698:SRI327741 TBE327698:TBE327741 TLA327698:TLA327741 TUW327698:TUW327741 UES327698:UES327741 UOO327698:UOO327741 UYK327698:UYK327741 VIG327698:VIG327741 VSC327698:VSC327741 WBY327698:WBY327741 WLU327698:WLU327741 WVQ327698:WVQ327741 F458770:I458813 JE393234:JE393277 TA393234:TA393277 ACW393234:ACW393277 AMS393234:AMS393277 AWO393234:AWO393277 BGK393234:BGK393277 BQG393234:BQG393277 CAC393234:CAC393277 CJY393234:CJY393277 CTU393234:CTU393277 DDQ393234:DDQ393277 DNM393234:DNM393277 DXI393234:DXI393277 EHE393234:EHE393277 ERA393234:ERA393277 FAW393234:FAW393277 FKS393234:FKS393277 FUO393234:FUO393277 GEK393234:GEK393277 GOG393234:GOG393277 GYC393234:GYC393277 HHY393234:HHY393277 HRU393234:HRU393277 IBQ393234:IBQ393277 ILM393234:ILM393277 IVI393234:IVI393277 JFE393234:JFE393277 JPA393234:JPA393277 JYW393234:JYW393277 KIS393234:KIS393277 KSO393234:KSO393277 LCK393234:LCK393277 LMG393234:LMG393277 LWC393234:LWC393277 MFY393234:MFY393277 MPU393234:MPU393277 MZQ393234:MZQ393277 NJM393234:NJM393277 NTI393234:NTI393277 ODE393234:ODE393277 ONA393234:ONA393277 OWW393234:OWW393277 PGS393234:PGS393277 PQO393234:PQO393277 QAK393234:QAK393277 QKG393234:QKG393277 QUC393234:QUC393277 RDY393234:RDY393277 RNU393234:RNU393277 RXQ393234:RXQ393277 SHM393234:SHM393277 SRI393234:SRI393277 TBE393234:TBE393277 TLA393234:TLA393277 TUW393234:TUW393277 UES393234:UES393277 UOO393234:UOO393277 UYK393234:UYK393277 VIG393234:VIG393277 VSC393234:VSC393277 WBY393234:WBY393277 WLU393234:WLU393277 WVQ393234:WVQ393277 F524306:I524349 JE458770:JE458813 TA458770:TA458813 ACW458770:ACW458813 AMS458770:AMS458813 AWO458770:AWO458813 BGK458770:BGK458813 BQG458770:BQG458813 CAC458770:CAC458813 CJY458770:CJY458813 CTU458770:CTU458813 DDQ458770:DDQ458813 DNM458770:DNM458813 DXI458770:DXI458813 EHE458770:EHE458813 ERA458770:ERA458813 FAW458770:FAW458813 FKS458770:FKS458813 FUO458770:FUO458813 GEK458770:GEK458813 GOG458770:GOG458813 GYC458770:GYC458813 HHY458770:HHY458813 HRU458770:HRU458813 IBQ458770:IBQ458813 ILM458770:ILM458813 IVI458770:IVI458813 JFE458770:JFE458813 JPA458770:JPA458813 JYW458770:JYW458813 KIS458770:KIS458813 KSO458770:KSO458813 LCK458770:LCK458813 LMG458770:LMG458813 LWC458770:LWC458813 MFY458770:MFY458813 MPU458770:MPU458813 MZQ458770:MZQ458813 NJM458770:NJM458813 NTI458770:NTI458813 ODE458770:ODE458813 ONA458770:ONA458813 OWW458770:OWW458813 PGS458770:PGS458813 PQO458770:PQO458813 QAK458770:QAK458813 QKG458770:QKG458813 QUC458770:QUC458813 RDY458770:RDY458813 RNU458770:RNU458813 RXQ458770:RXQ458813 SHM458770:SHM458813 SRI458770:SRI458813 TBE458770:TBE458813 TLA458770:TLA458813 TUW458770:TUW458813 UES458770:UES458813 UOO458770:UOO458813 UYK458770:UYK458813 VIG458770:VIG458813 VSC458770:VSC458813 WBY458770:WBY458813 WLU458770:WLU458813 WVQ458770:WVQ458813 F589842:I589885 JE524306:JE524349 TA524306:TA524349 ACW524306:ACW524349 AMS524306:AMS524349 AWO524306:AWO524349 BGK524306:BGK524349 BQG524306:BQG524349 CAC524306:CAC524349 CJY524306:CJY524349 CTU524306:CTU524349 DDQ524306:DDQ524349 DNM524306:DNM524349 DXI524306:DXI524349 EHE524306:EHE524349 ERA524306:ERA524349 FAW524306:FAW524349 FKS524306:FKS524349 FUO524306:FUO524349 GEK524306:GEK524349 GOG524306:GOG524349 GYC524306:GYC524349 HHY524306:HHY524349 HRU524306:HRU524349 IBQ524306:IBQ524349 ILM524306:ILM524349 IVI524306:IVI524349 JFE524306:JFE524349 JPA524306:JPA524349 JYW524306:JYW524349 KIS524306:KIS524349 KSO524306:KSO524349 LCK524306:LCK524349 LMG524306:LMG524349 LWC524306:LWC524349 MFY524306:MFY524349 MPU524306:MPU524349 MZQ524306:MZQ524349 NJM524306:NJM524349 NTI524306:NTI524349 ODE524306:ODE524349 ONA524306:ONA524349 OWW524306:OWW524349 PGS524306:PGS524349 PQO524306:PQO524349 QAK524306:QAK524349 QKG524306:QKG524349 QUC524306:QUC524349 RDY524306:RDY524349 RNU524306:RNU524349 RXQ524306:RXQ524349 SHM524306:SHM524349 SRI524306:SRI524349 TBE524306:TBE524349 TLA524306:TLA524349 TUW524306:TUW524349 UES524306:UES524349 UOO524306:UOO524349 UYK524306:UYK524349 VIG524306:VIG524349 VSC524306:VSC524349 WBY524306:WBY524349 WLU524306:WLU524349 WVQ524306:WVQ524349 F655378:I655421 JE589842:JE589885 TA589842:TA589885 ACW589842:ACW589885 AMS589842:AMS589885 AWO589842:AWO589885 BGK589842:BGK589885 BQG589842:BQG589885 CAC589842:CAC589885 CJY589842:CJY589885 CTU589842:CTU589885 DDQ589842:DDQ589885 DNM589842:DNM589885 DXI589842:DXI589885 EHE589842:EHE589885 ERA589842:ERA589885 FAW589842:FAW589885 FKS589842:FKS589885 FUO589842:FUO589885 GEK589842:GEK589885 GOG589842:GOG589885 GYC589842:GYC589885 HHY589842:HHY589885 HRU589842:HRU589885 IBQ589842:IBQ589885 ILM589842:ILM589885 IVI589842:IVI589885 JFE589842:JFE589885 JPA589842:JPA589885 JYW589842:JYW589885 KIS589842:KIS589885 KSO589842:KSO589885 LCK589842:LCK589885 LMG589842:LMG589885 LWC589842:LWC589885 MFY589842:MFY589885 MPU589842:MPU589885 MZQ589842:MZQ589885 NJM589842:NJM589885 NTI589842:NTI589885 ODE589842:ODE589885 ONA589842:ONA589885 OWW589842:OWW589885 PGS589842:PGS589885 PQO589842:PQO589885 QAK589842:QAK589885 QKG589842:QKG589885 QUC589842:QUC589885 RDY589842:RDY589885 RNU589842:RNU589885 RXQ589842:RXQ589885 SHM589842:SHM589885 SRI589842:SRI589885 TBE589842:TBE589885 TLA589842:TLA589885 TUW589842:TUW589885 UES589842:UES589885 UOO589842:UOO589885 UYK589842:UYK589885 VIG589842:VIG589885 VSC589842:VSC589885 WBY589842:WBY589885 WLU589842:WLU589885 WVQ589842:WVQ589885 F720914:I720957 JE655378:JE655421 TA655378:TA655421 ACW655378:ACW655421 AMS655378:AMS655421 AWO655378:AWO655421 BGK655378:BGK655421 BQG655378:BQG655421 CAC655378:CAC655421 CJY655378:CJY655421 CTU655378:CTU655421 DDQ655378:DDQ655421 DNM655378:DNM655421 DXI655378:DXI655421 EHE655378:EHE655421 ERA655378:ERA655421 FAW655378:FAW655421 FKS655378:FKS655421 FUO655378:FUO655421 GEK655378:GEK655421 GOG655378:GOG655421 GYC655378:GYC655421 HHY655378:HHY655421 HRU655378:HRU655421 IBQ655378:IBQ655421 ILM655378:ILM655421 IVI655378:IVI655421 JFE655378:JFE655421 JPA655378:JPA655421 JYW655378:JYW655421 KIS655378:KIS655421 KSO655378:KSO655421 LCK655378:LCK655421 LMG655378:LMG655421 LWC655378:LWC655421 MFY655378:MFY655421 MPU655378:MPU655421 MZQ655378:MZQ655421 NJM655378:NJM655421 NTI655378:NTI655421 ODE655378:ODE655421 ONA655378:ONA655421 OWW655378:OWW655421 PGS655378:PGS655421 PQO655378:PQO655421 QAK655378:QAK655421 QKG655378:QKG655421 QUC655378:QUC655421 RDY655378:RDY655421 RNU655378:RNU655421 RXQ655378:RXQ655421 SHM655378:SHM655421 SRI655378:SRI655421 TBE655378:TBE655421 TLA655378:TLA655421 TUW655378:TUW655421 UES655378:UES655421 UOO655378:UOO655421 UYK655378:UYK655421 VIG655378:VIG655421 VSC655378:VSC655421 WBY655378:WBY655421 WLU655378:WLU655421 WVQ655378:WVQ655421 F786450:I786493 JE720914:JE720957 TA720914:TA720957 ACW720914:ACW720957 AMS720914:AMS720957 AWO720914:AWO720957 BGK720914:BGK720957 BQG720914:BQG720957 CAC720914:CAC720957 CJY720914:CJY720957 CTU720914:CTU720957 DDQ720914:DDQ720957 DNM720914:DNM720957 DXI720914:DXI720957 EHE720914:EHE720957 ERA720914:ERA720957 FAW720914:FAW720957 FKS720914:FKS720957 FUO720914:FUO720957 GEK720914:GEK720957 GOG720914:GOG720957 GYC720914:GYC720957 HHY720914:HHY720957 HRU720914:HRU720957 IBQ720914:IBQ720957 ILM720914:ILM720957 IVI720914:IVI720957 JFE720914:JFE720957 JPA720914:JPA720957 JYW720914:JYW720957 KIS720914:KIS720957 KSO720914:KSO720957 LCK720914:LCK720957 LMG720914:LMG720957 LWC720914:LWC720957 MFY720914:MFY720957 MPU720914:MPU720957 MZQ720914:MZQ720957 NJM720914:NJM720957 NTI720914:NTI720957 ODE720914:ODE720957 ONA720914:ONA720957 OWW720914:OWW720957 PGS720914:PGS720957 PQO720914:PQO720957 QAK720914:QAK720957 QKG720914:QKG720957 QUC720914:QUC720957 RDY720914:RDY720957 RNU720914:RNU720957 RXQ720914:RXQ720957 SHM720914:SHM720957 SRI720914:SRI720957 TBE720914:TBE720957 TLA720914:TLA720957 TUW720914:TUW720957 UES720914:UES720957 UOO720914:UOO720957 UYK720914:UYK720957 VIG720914:VIG720957 VSC720914:VSC720957 WBY720914:WBY720957 WLU720914:WLU720957 WVQ720914:WVQ720957 F851986:I852029 JE786450:JE786493 TA786450:TA786493 ACW786450:ACW786493 AMS786450:AMS786493 AWO786450:AWO786493 BGK786450:BGK786493 BQG786450:BQG786493 CAC786450:CAC786493 CJY786450:CJY786493 CTU786450:CTU786493 DDQ786450:DDQ786493 DNM786450:DNM786493 DXI786450:DXI786493 EHE786450:EHE786493 ERA786450:ERA786493 FAW786450:FAW786493 FKS786450:FKS786493 FUO786450:FUO786493 GEK786450:GEK786493 GOG786450:GOG786493 GYC786450:GYC786493 HHY786450:HHY786493 HRU786450:HRU786493 IBQ786450:IBQ786493 ILM786450:ILM786493 IVI786450:IVI786493 JFE786450:JFE786493 JPA786450:JPA786493 JYW786450:JYW786493 KIS786450:KIS786493 KSO786450:KSO786493 LCK786450:LCK786493 LMG786450:LMG786493 LWC786450:LWC786493 MFY786450:MFY786493 MPU786450:MPU786493 MZQ786450:MZQ786493 NJM786450:NJM786493 NTI786450:NTI786493 ODE786450:ODE786493 ONA786450:ONA786493 OWW786450:OWW786493 PGS786450:PGS786493 PQO786450:PQO786493 QAK786450:QAK786493 QKG786450:QKG786493 QUC786450:QUC786493 RDY786450:RDY786493 RNU786450:RNU786493 RXQ786450:RXQ786493 SHM786450:SHM786493 SRI786450:SRI786493 TBE786450:TBE786493 TLA786450:TLA786493 TUW786450:TUW786493 UES786450:UES786493 UOO786450:UOO786493 UYK786450:UYK786493 VIG786450:VIG786493 VSC786450:VSC786493 WBY786450:WBY786493 WLU786450:WLU786493 WVQ786450:WVQ786493 F917522:I917565 JE851986:JE852029 TA851986:TA852029 ACW851986:ACW852029 AMS851986:AMS852029 AWO851986:AWO852029 BGK851986:BGK852029 BQG851986:BQG852029 CAC851986:CAC852029 CJY851986:CJY852029 CTU851986:CTU852029 DDQ851986:DDQ852029 DNM851986:DNM852029 DXI851986:DXI852029 EHE851986:EHE852029 ERA851986:ERA852029 FAW851986:FAW852029 FKS851986:FKS852029 FUO851986:FUO852029 GEK851986:GEK852029 GOG851986:GOG852029 GYC851986:GYC852029 HHY851986:HHY852029 HRU851986:HRU852029 IBQ851986:IBQ852029 ILM851986:ILM852029 IVI851986:IVI852029 JFE851986:JFE852029 JPA851986:JPA852029 JYW851986:JYW852029 KIS851986:KIS852029 KSO851986:KSO852029 LCK851986:LCK852029 LMG851986:LMG852029 LWC851986:LWC852029 MFY851986:MFY852029 MPU851986:MPU852029 MZQ851986:MZQ852029 NJM851986:NJM852029 NTI851986:NTI852029 ODE851986:ODE852029 ONA851986:ONA852029 OWW851986:OWW852029 PGS851986:PGS852029 PQO851986:PQO852029 QAK851986:QAK852029 QKG851986:QKG852029 QUC851986:QUC852029 RDY851986:RDY852029 RNU851986:RNU852029 RXQ851986:RXQ852029 SHM851986:SHM852029 SRI851986:SRI852029 TBE851986:TBE852029 TLA851986:TLA852029 TUW851986:TUW852029 UES851986:UES852029 UOO851986:UOO852029 UYK851986:UYK852029 VIG851986:VIG852029 VSC851986:VSC852029 WBY851986:WBY852029 WLU851986:WLU852029 WVQ851986:WVQ852029 F983058:I983101 JE917522:JE917565 TA917522:TA917565 ACW917522:ACW917565 AMS917522:AMS917565 AWO917522:AWO917565 BGK917522:BGK917565 BQG917522:BQG917565 CAC917522:CAC917565 CJY917522:CJY917565 CTU917522:CTU917565 DDQ917522:DDQ917565 DNM917522:DNM917565 DXI917522:DXI917565 EHE917522:EHE917565 ERA917522:ERA917565 FAW917522:FAW917565 FKS917522:FKS917565 FUO917522:FUO917565 GEK917522:GEK917565 GOG917522:GOG917565 GYC917522:GYC917565 HHY917522:HHY917565 HRU917522:HRU917565 IBQ917522:IBQ917565 ILM917522:ILM917565 IVI917522:IVI917565 JFE917522:JFE917565 JPA917522:JPA917565 JYW917522:JYW917565 KIS917522:KIS917565 KSO917522:KSO917565 LCK917522:LCK917565 LMG917522:LMG917565 LWC917522:LWC917565 MFY917522:MFY917565 MPU917522:MPU917565 MZQ917522:MZQ917565 NJM917522:NJM917565 NTI917522:NTI917565 ODE917522:ODE917565 ONA917522:ONA917565 OWW917522:OWW917565 PGS917522:PGS917565 PQO917522:PQO917565 QAK917522:QAK917565 QKG917522:QKG917565 QUC917522:QUC917565 RDY917522:RDY917565 RNU917522:RNU917565 RXQ917522:RXQ917565 SHM917522:SHM917565 SRI917522:SRI917565 TBE917522:TBE917565 TLA917522:TLA917565 TUW917522:TUW917565 UES917522:UES917565 UOO917522:UOO917565 UYK917522:UYK917565 VIG917522:VIG917565 VSC917522:VSC917565 WBY917522:WBY917565 WLU917522:WLU917565 WVQ917522:WVQ917565 G71:I115 JE983058:JE983101 TA983058:TA983101 ACW983058:ACW983101 AMS983058:AMS983101 AWO983058:AWO983101 BGK983058:BGK983101 BQG983058:BQG983101 CAC983058:CAC983101 CJY983058:CJY983101 CTU983058:CTU983101 DDQ983058:DDQ983101 DNM983058:DNM983101 DXI983058:DXI983101 EHE983058:EHE983101 ERA983058:ERA983101 FAW983058:FAW983101 FKS983058:FKS983101 FUO983058:FUO983101 GEK983058:GEK983101 GOG983058:GOG983101 GYC983058:GYC983101 HHY983058:HHY983101 HRU983058:HRU983101 IBQ983058:IBQ983101 ILM983058:ILM983101 IVI983058:IVI983101 JFE983058:JFE983101 JPA983058:JPA983101 JYW983058:JYW983101 KIS983058:KIS983101 KSO983058:KSO983101 LCK983058:LCK983101 LMG983058:LMG983101 LWC983058:LWC983101 MFY983058:MFY983101 MPU983058:MPU983101 MZQ983058:MZQ983101 NJM983058:NJM983101 NTI983058:NTI983101 ODE983058:ODE983101 ONA983058:ONA983101 OWW983058:OWW983101 PGS983058:PGS983101 PQO983058:PQO983101 QAK983058:QAK983101 QKG983058:QKG983101 QUC983058:QUC983101 RDY983058:RDY983101 RNU983058:RNU983101 RXQ983058:RXQ983101 SHM983058:SHM983101 SRI983058:SRI983101 TBE983058:TBE983101 TLA983058:TLA983101 TUW983058:TUW983101 UES983058:UES983101 UOO983058:UOO983101 UYK983058:UYK983101 VIG983058:VIG983101 VSC983058:VSC983101 WBY983058:WBY983101 WLU983058:WLU983101 WVQ983058:WVQ983101 WVO983058:WVO983101 D65554:D65597 JC65554:JC65597 SY65554:SY65597 ACU65554:ACU65597 AMQ65554:AMQ65597 AWM65554:AWM65597 BGI65554:BGI65597 BQE65554:BQE65597 CAA65554:CAA65597 CJW65554:CJW65597 CTS65554:CTS65597 DDO65554:DDO65597 DNK65554:DNK65597 DXG65554:DXG65597 EHC65554:EHC65597 EQY65554:EQY65597 FAU65554:FAU65597 FKQ65554:FKQ65597 FUM65554:FUM65597 GEI65554:GEI65597 GOE65554:GOE65597 GYA65554:GYA65597 HHW65554:HHW65597 HRS65554:HRS65597 IBO65554:IBO65597 ILK65554:ILK65597 IVG65554:IVG65597 JFC65554:JFC65597 JOY65554:JOY65597 JYU65554:JYU65597 KIQ65554:KIQ65597 KSM65554:KSM65597 LCI65554:LCI65597 LME65554:LME65597 LWA65554:LWA65597 MFW65554:MFW65597 MPS65554:MPS65597 MZO65554:MZO65597 NJK65554:NJK65597 NTG65554:NTG65597 ODC65554:ODC65597 OMY65554:OMY65597 OWU65554:OWU65597 PGQ65554:PGQ65597 PQM65554:PQM65597 QAI65554:QAI65597 QKE65554:QKE65597 QUA65554:QUA65597 RDW65554:RDW65597 RNS65554:RNS65597 RXO65554:RXO65597 SHK65554:SHK65597 SRG65554:SRG65597 TBC65554:TBC65597 TKY65554:TKY65597 TUU65554:TUU65597 UEQ65554:UEQ65597 UOM65554:UOM65597 UYI65554:UYI65597 VIE65554:VIE65597 VSA65554:VSA65597 WBW65554:WBW65597 WLS65554:WLS65597 WVO65554:WVO65597 D131090:D131133 JC131090:JC131133 SY131090:SY131133 ACU131090:ACU131133 AMQ131090:AMQ131133 AWM131090:AWM131133 BGI131090:BGI131133 BQE131090:BQE131133 CAA131090:CAA131133 CJW131090:CJW131133 CTS131090:CTS131133 DDO131090:DDO131133 DNK131090:DNK131133 DXG131090:DXG131133 EHC131090:EHC131133 EQY131090:EQY131133 FAU131090:FAU131133 FKQ131090:FKQ131133 FUM131090:FUM131133 GEI131090:GEI131133 GOE131090:GOE131133 GYA131090:GYA131133 HHW131090:HHW131133 HRS131090:HRS131133 IBO131090:IBO131133 ILK131090:ILK131133 IVG131090:IVG131133 JFC131090:JFC131133 JOY131090:JOY131133 JYU131090:JYU131133 KIQ131090:KIQ131133 KSM131090:KSM131133 LCI131090:LCI131133 LME131090:LME131133 LWA131090:LWA131133 MFW131090:MFW131133 MPS131090:MPS131133 MZO131090:MZO131133 NJK131090:NJK131133 NTG131090:NTG131133 ODC131090:ODC131133 OMY131090:OMY131133 OWU131090:OWU131133 PGQ131090:PGQ131133 PQM131090:PQM131133 QAI131090:QAI131133 QKE131090:QKE131133 QUA131090:QUA131133 RDW131090:RDW131133 RNS131090:RNS131133 RXO131090:RXO131133 SHK131090:SHK131133 SRG131090:SRG131133 TBC131090:TBC131133 TKY131090:TKY131133 TUU131090:TUU131133 UEQ131090:UEQ131133 UOM131090:UOM131133 UYI131090:UYI131133 VIE131090:VIE131133 VSA131090:VSA131133 WBW131090:WBW131133 WLS131090:WLS131133 WVO131090:WVO131133 D196626:D196669 JC196626:JC196669 SY196626:SY196669 ACU196626:ACU196669 AMQ196626:AMQ196669 AWM196626:AWM196669 BGI196626:BGI196669 BQE196626:BQE196669 CAA196626:CAA196669 CJW196626:CJW196669 CTS196626:CTS196669 DDO196626:DDO196669 DNK196626:DNK196669 DXG196626:DXG196669 EHC196626:EHC196669 EQY196626:EQY196669 FAU196626:FAU196669 FKQ196626:FKQ196669 FUM196626:FUM196669 GEI196626:GEI196669 GOE196626:GOE196669 GYA196626:GYA196669 HHW196626:HHW196669 HRS196626:HRS196669 IBO196626:IBO196669 ILK196626:ILK196669 IVG196626:IVG196669 JFC196626:JFC196669 JOY196626:JOY196669 JYU196626:JYU196669 KIQ196626:KIQ196669 KSM196626:KSM196669 LCI196626:LCI196669 LME196626:LME196669 LWA196626:LWA196669 MFW196626:MFW196669 MPS196626:MPS196669 MZO196626:MZO196669 NJK196626:NJK196669 NTG196626:NTG196669 ODC196626:ODC196669 OMY196626:OMY196669 OWU196626:OWU196669 PGQ196626:PGQ196669 PQM196626:PQM196669 QAI196626:QAI196669 QKE196626:QKE196669 QUA196626:QUA196669 RDW196626:RDW196669 RNS196626:RNS196669 RXO196626:RXO196669 SHK196626:SHK196669 SRG196626:SRG196669 TBC196626:TBC196669 TKY196626:TKY196669 TUU196626:TUU196669 UEQ196626:UEQ196669 UOM196626:UOM196669 UYI196626:UYI196669 VIE196626:VIE196669 VSA196626:VSA196669 WBW196626:WBW196669 WLS196626:WLS196669 WVO196626:WVO196669 D262162:D262205 JC262162:JC262205 SY262162:SY262205 ACU262162:ACU262205 AMQ262162:AMQ262205 AWM262162:AWM262205 BGI262162:BGI262205 BQE262162:BQE262205 CAA262162:CAA262205 CJW262162:CJW262205 CTS262162:CTS262205 DDO262162:DDO262205 DNK262162:DNK262205 DXG262162:DXG262205 EHC262162:EHC262205 EQY262162:EQY262205 FAU262162:FAU262205 FKQ262162:FKQ262205 FUM262162:FUM262205 GEI262162:GEI262205 GOE262162:GOE262205 GYA262162:GYA262205 HHW262162:HHW262205 HRS262162:HRS262205 IBO262162:IBO262205 ILK262162:ILK262205 IVG262162:IVG262205 JFC262162:JFC262205 JOY262162:JOY262205 JYU262162:JYU262205 KIQ262162:KIQ262205 KSM262162:KSM262205 LCI262162:LCI262205 LME262162:LME262205 LWA262162:LWA262205 MFW262162:MFW262205 MPS262162:MPS262205 MZO262162:MZO262205 NJK262162:NJK262205 NTG262162:NTG262205 ODC262162:ODC262205 OMY262162:OMY262205 OWU262162:OWU262205 PGQ262162:PGQ262205 PQM262162:PQM262205 QAI262162:QAI262205 QKE262162:QKE262205 QUA262162:QUA262205 RDW262162:RDW262205 RNS262162:RNS262205 RXO262162:RXO262205 SHK262162:SHK262205 SRG262162:SRG262205 TBC262162:TBC262205 TKY262162:TKY262205 TUU262162:TUU262205 UEQ262162:UEQ262205 UOM262162:UOM262205 UYI262162:UYI262205 VIE262162:VIE262205 VSA262162:VSA262205 WBW262162:WBW262205 WLS262162:WLS262205 WVO262162:WVO262205 D327698:D327741 JC327698:JC327741 SY327698:SY327741 ACU327698:ACU327741 AMQ327698:AMQ327741 AWM327698:AWM327741 BGI327698:BGI327741 BQE327698:BQE327741 CAA327698:CAA327741 CJW327698:CJW327741 CTS327698:CTS327741 DDO327698:DDO327741 DNK327698:DNK327741 DXG327698:DXG327741 EHC327698:EHC327741 EQY327698:EQY327741 FAU327698:FAU327741 FKQ327698:FKQ327741 FUM327698:FUM327741 GEI327698:GEI327741 GOE327698:GOE327741 GYA327698:GYA327741 HHW327698:HHW327741 HRS327698:HRS327741 IBO327698:IBO327741 ILK327698:ILK327741 IVG327698:IVG327741 JFC327698:JFC327741 JOY327698:JOY327741 JYU327698:JYU327741 KIQ327698:KIQ327741 KSM327698:KSM327741 LCI327698:LCI327741 LME327698:LME327741 LWA327698:LWA327741 MFW327698:MFW327741 MPS327698:MPS327741 MZO327698:MZO327741 NJK327698:NJK327741 NTG327698:NTG327741 ODC327698:ODC327741 OMY327698:OMY327741 OWU327698:OWU327741 PGQ327698:PGQ327741 PQM327698:PQM327741 QAI327698:QAI327741 QKE327698:QKE327741 QUA327698:QUA327741 RDW327698:RDW327741 RNS327698:RNS327741 RXO327698:RXO327741 SHK327698:SHK327741 SRG327698:SRG327741 TBC327698:TBC327741 TKY327698:TKY327741 TUU327698:TUU327741 UEQ327698:UEQ327741 UOM327698:UOM327741 UYI327698:UYI327741 VIE327698:VIE327741 VSA327698:VSA327741 WBW327698:WBW327741 WLS327698:WLS327741 WVO327698:WVO327741 D393234:D393277 JC393234:JC393277 SY393234:SY393277 ACU393234:ACU393277 AMQ393234:AMQ393277 AWM393234:AWM393277 BGI393234:BGI393277 BQE393234:BQE393277 CAA393234:CAA393277 CJW393234:CJW393277 CTS393234:CTS393277 DDO393234:DDO393277 DNK393234:DNK393277 DXG393234:DXG393277 EHC393234:EHC393277 EQY393234:EQY393277 FAU393234:FAU393277 FKQ393234:FKQ393277 FUM393234:FUM393277 GEI393234:GEI393277 GOE393234:GOE393277 GYA393234:GYA393277 HHW393234:HHW393277 HRS393234:HRS393277 IBO393234:IBO393277 ILK393234:ILK393277 IVG393234:IVG393277 JFC393234:JFC393277 JOY393234:JOY393277 JYU393234:JYU393277 KIQ393234:KIQ393277 KSM393234:KSM393277 LCI393234:LCI393277 LME393234:LME393277 LWA393234:LWA393277 MFW393234:MFW393277 MPS393234:MPS393277 MZO393234:MZO393277 NJK393234:NJK393277 NTG393234:NTG393277 ODC393234:ODC393277 OMY393234:OMY393277 OWU393234:OWU393277 PGQ393234:PGQ393277 PQM393234:PQM393277 QAI393234:QAI393277 QKE393234:QKE393277 QUA393234:QUA393277 RDW393234:RDW393277 RNS393234:RNS393277 RXO393234:RXO393277 SHK393234:SHK393277 SRG393234:SRG393277 TBC393234:TBC393277 TKY393234:TKY393277 TUU393234:TUU393277 UEQ393234:UEQ393277 UOM393234:UOM393277 UYI393234:UYI393277 VIE393234:VIE393277 VSA393234:VSA393277 WBW393234:WBW393277 WLS393234:WLS393277 WVO393234:WVO393277 D458770:D458813 JC458770:JC458813 SY458770:SY458813 ACU458770:ACU458813 AMQ458770:AMQ458813 AWM458770:AWM458813 BGI458770:BGI458813 BQE458770:BQE458813 CAA458770:CAA458813 CJW458770:CJW458813 CTS458770:CTS458813 DDO458770:DDO458813 DNK458770:DNK458813 DXG458770:DXG458813 EHC458770:EHC458813 EQY458770:EQY458813 FAU458770:FAU458813 FKQ458770:FKQ458813 FUM458770:FUM458813 GEI458770:GEI458813 GOE458770:GOE458813 GYA458770:GYA458813 HHW458770:HHW458813 HRS458770:HRS458813 IBO458770:IBO458813 ILK458770:ILK458813 IVG458770:IVG458813 JFC458770:JFC458813 JOY458770:JOY458813 JYU458770:JYU458813 KIQ458770:KIQ458813 KSM458770:KSM458813 LCI458770:LCI458813 LME458770:LME458813 LWA458770:LWA458813 MFW458770:MFW458813 MPS458770:MPS458813 MZO458770:MZO458813 NJK458770:NJK458813 NTG458770:NTG458813 ODC458770:ODC458813 OMY458770:OMY458813 OWU458770:OWU458813 PGQ458770:PGQ458813 PQM458770:PQM458813 QAI458770:QAI458813 QKE458770:QKE458813 QUA458770:QUA458813 RDW458770:RDW458813 RNS458770:RNS458813 RXO458770:RXO458813 SHK458770:SHK458813 SRG458770:SRG458813 TBC458770:TBC458813 TKY458770:TKY458813 TUU458770:TUU458813 UEQ458770:UEQ458813 UOM458770:UOM458813 UYI458770:UYI458813 VIE458770:VIE458813 VSA458770:VSA458813 WBW458770:WBW458813 WLS458770:WLS458813 WVO458770:WVO458813 D524306:D524349 JC524306:JC524349 SY524306:SY524349 ACU524306:ACU524349 AMQ524306:AMQ524349 AWM524306:AWM524349 BGI524306:BGI524349 BQE524306:BQE524349 CAA524306:CAA524349 CJW524306:CJW524349 CTS524306:CTS524349 DDO524306:DDO524349 DNK524306:DNK524349 DXG524306:DXG524349 EHC524306:EHC524349 EQY524306:EQY524349 FAU524306:FAU524349 FKQ524306:FKQ524349 FUM524306:FUM524349 GEI524306:GEI524349 GOE524306:GOE524349 GYA524306:GYA524349 HHW524306:HHW524349 HRS524306:HRS524349 IBO524306:IBO524349 ILK524306:ILK524349 IVG524306:IVG524349 JFC524306:JFC524349 JOY524306:JOY524349 JYU524306:JYU524349 KIQ524306:KIQ524349 KSM524306:KSM524349 LCI524306:LCI524349 LME524306:LME524349 LWA524306:LWA524349 MFW524306:MFW524349 MPS524306:MPS524349 MZO524306:MZO524349 NJK524306:NJK524349 NTG524306:NTG524349 ODC524306:ODC524349 OMY524306:OMY524349 OWU524306:OWU524349 PGQ524306:PGQ524349 PQM524306:PQM524349 QAI524306:QAI524349 QKE524306:QKE524349 QUA524306:QUA524349 RDW524306:RDW524349 RNS524306:RNS524349 RXO524306:RXO524349 SHK524306:SHK524349 SRG524306:SRG524349 TBC524306:TBC524349 TKY524306:TKY524349 TUU524306:TUU524349 UEQ524306:UEQ524349 UOM524306:UOM524349 UYI524306:UYI524349 VIE524306:VIE524349 VSA524306:VSA524349 WBW524306:WBW524349 WLS524306:WLS524349 WVO524306:WVO524349 D589842:D589885 JC589842:JC589885 SY589842:SY589885 ACU589842:ACU589885 AMQ589842:AMQ589885 AWM589842:AWM589885 BGI589842:BGI589885 BQE589842:BQE589885 CAA589842:CAA589885 CJW589842:CJW589885 CTS589842:CTS589885 DDO589842:DDO589885 DNK589842:DNK589885 DXG589842:DXG589885 EHC589842:EHC589885 EQY589842:EQY589885 FAU589842:FAU589885 FKQ589842:FKQ589885 FUM589842:FUM589885 GEI589842:GEI589885 GOE589842:GOE589885 GYA589842:GYA589885 HHW589842:HHW589885 HRS589842:HRS589885 IBO589842:IBO589885 ILK589842:ILK589885 IVG589842:IVG589885 JFC589842:JFC589885 JOY589842:JOY589885 JYU589842:JYU589885 KIQ589842:KIQ589885 KSM589842:KSM589885 LCI589842:LCI589885 LME589842:LME589885 LWA589842:LWA589885 MFW589842:MFW589885 MPS589842:MPS589885 MZO589842:MZO589885 NJK589842:NJK589885 NTG589842:NTG589885 ODC589842:ODC589885 OMY589842:OMY589885 OWU589842:OWU589885 PGQ589842:PGQ589885 PQM589842:PQM589885 QAI589842:QAI589885 QKE589842:QKE589885 QUA589842:QUA589885 RDW589842:RDW589885 RNS589842:RNS589885 RXO589842:RXO589885 SHK589842:SHK589885 SRG589842:SRG589885 TBC589842:TBC589885 TKY589842:TKY589885 TUU589842:TUU589885 UEQ589842:UEQ589885 UOM589842:UOM589885 UYI589842:UYI589885 VIE589842:VIE589885 VSA589842:VSA589885 WBW589842:WBW589885 WLS589842:WLS589885 WVO589842:WVO589885 D655378:D655421 JC655378:JC655421 SY655378:SY655421 ACU655378:ACU655421 AMQ655378:AMQ655421 AWM655378:AWM655421 BGI655378:BGI655421 BQE655378:BQE655421 CAA655378:CAA655421 CJW655378:CJW655421 CTS655378:CTS655421 DDO655378:DDO655421 DNK655378:DNK655421 DXG655378:DXG655421 EHC655378:EHC655421 EQY655378:EQY655421 FAU655378:FAU655421 FKQ655378:FKQ655421 FUM655378:FUM655421 GEI655378:GEI655421 GOE655378:GOE655421 GYA655378:GYA655421 HHW655378:HHW655421 HRS655378:HRS655421 IBO655378:IBO655421 ILK655378:ILK655421 IVG655378:IVG655421 JFC655378:JFC655421 JOY655378:JOY655421 JYU655378:JYU655421 KIQ655378:KIQ655421 KSM655378:KSM655421 LCI655378:LCI655421 LME655378:LME655421 LWA655378:LWA655421 MFW655378:MFW655421 MPS655378:MPS655421 MZO655378:MZO655421 NJK655378:NJK655421 NTG655378:NTG655421 ODC655378:ODC655421 OMY655378:OMY655421 OWU655378:OWU655421 PGQ655378:PGQ655421 PQM655378:PQM655421 QAI655378:QAI655421 QKE655378:QKE655421 QUA655378:QUA655421 RDW655378:RDW655421 RNS655378:RNS655421 RXO655378:RXO655421 SHK655378:SHK655421 SRG655378:SRG655421 TBC655378:TBC655421 TKY655378:TKY655421 TUU655378:TUU655421 UEQ655378:UEQ655421 UOM655378:UOM655421 UYI655378:UYI655421 VIE655378:VIE655421 VSA655378:VSA655421 WBW655378:WBW655421 WLS655378:WLS655421 WVO655378:WVO655421 D720914:D720957 JC720914:JC720957 SY720914:SY720957 ACU720914:ACU720957 AMQ720914:AMQ720957 AWM720914:AWM720957 BGI720914:BGI720957 BQE720914:BQE720957 CAA720914:CAA720957 CJW720914:CJW720957 CTS720914:CTS720957 DDO720914:DDO720957 DNK720914:DNK720957 DXG720914:DXG720957 EHC720914:EHC720957 EQY720914:EQY720957 FAU720914:FAU720957 FKQ720914:FKQ720957 FUM720914:FUM720957 GEI720914:GEI720957 GOE720914:GOE720957 GYA720914:GYA720957 HHW720914:HHW720957 HRS720914:HRS720957 IBO720914:IBO720957 ILK720914:ILK720957 IVG720914:IVG720957 JFC720914:JFC720957 JOY720914:JOY720957 JYU720914:JYU720957 KIQ720914:KIQ720957 KSM720914:KSM720957 LCI720914:LCI720957 LME720914:LME720957 LWA720914:LWA720957 MFW720914:MFW720957 MPS720914:MPS720957 MZO720914:MZO720957 NJK720914:NJK720957 NTG720914:NTG720957 ODC720914:ODC720957 OMY720914:OMY720957 OWU720914:OWU720957 PGQ720914:PGQ720957 PQM720914:PQM720957 QAI720914:QAI720957 QKE720914:QKE720957 QUA720914:QUA720957 RDW720914:RDW720957 RNS720914:RNS720957 RXO720914:RXO720957 SHK720914:SHK720957 SRG720914:SRG720957 TBC720914:TBC720957 TKY720914:TKY720957 TUU720914:TUU720957 UEQ720914:UEQ720957 UOM720914:UOM720957 UYI720914:UYI720957 VIE720914:VIE720957 VSA720914:VSA720957 WBW720914:WBW720957 WLS720914:WLS720957 WVO720914:WVO720957 D786450:D786493 JC786450:JC786493 SY786450:SY786493 ACU786450:ACU786493 AMQ786450:AMQ786493 AWM786450:AWM786493 BGI786450:BGI786493 BQE786450:BQE786493 CAA786450:CAA786493 CJW786450:CJW786493 CTS786450:CTS786493 DDO786450:DDO786493 DNK786450:DNK786493 DXG786450:DXG786493 EHC786450:EHC786493 EQY786450:EQY786493 FAU786450:FAU786493 FKQ786450:FKQ786493 FUM786450:FUM786493 GEI786450:GEI786493 GOE786450:GOE786493 GYA786450:GYA786493 HHW786450:HHW786493 HRS786450:HRS786493 IBO786450:IBO786493 ILK786450:ILK786493 IVG786450:IVG786493 JFC786450:JFC786493 JOY786450:JOY786493 JYU786450:JYU786493 KIQ786450:KIQ786493 KSM786450:KSM786493 LCI786450:LCI786493 LME786450:LME786493 LWA786450:LWA786493 MFW786450:MFW786493 MPS786450:MPS786493 MZO786450:MZO786493 NJK786450:NJK786493 NTG786450:NTG786493 ODC786450:ODC786493 OMY786450:OMY786493 OWU786450:OWU786493 PGQ786450:PGQ786493 PQM786450:PQM786493 QAI786450:QAI786493 QKE786450:QKE786493 QUA786450:QUA786493 RDW786450:RDW786493 RNS786450:RNS786493 RXO786450:RXO786493 SHK786450:SHK786493 SRG786450:SRG786493 TBC786450:TBC786493 TKY786450:TKY786493 TUU786450:TUU786493 UEQ786450:UEQ786493 UOM786450:UOM786493 UYI786450:UYI786493 VIE786450:VIE786493 VSA786450:VSA786493 WBW786450:WBW786493 WLS786450:WLS786493 WVO786450:WVO786493 D851986:D852029 JC851986:JC852029 SY851986:SY852029 ACU851986:ACU852029 AMQ851986:AMQ852029 AWM851986:AWM852029 BGI851986:BGI852029 BQE851986:BQE852029 CAA851986:CAA852029 CJW851986:CJW852029 CTS851986:CTS852029 DDO851986:DDO852029 DNK851986:DNK852029 DXG851986:DXG852029 EHC851986:EHC852029 EQY851986:EQY852029 FAU851986:FAU852029 FKQ851986:FKQ852029 FUM851986:FUM852029 GEI851986:GEI852029 GOE851986:GOE852029 GYA851986:GYA852029 HHW851986:HHW852029 HRS851986:HRS852029 IBO851986:IBO852029 ILK851986:ILK852029 IVG851986:IVG852029 JFC851986:JFC852029 JOY851986:JOY852029 JYU851986:JYU852029 KIQ851986:KIQ852029 KSM851986:KSM852029 LCI851986:LCI852029 LME851986:LME852029 LWA851986:LWA852029 MFW851986:MFW852029 MPS851986:MPS852029 MZO851986:MZO852029 NJK851986:NJK852029 NTG851986:NTG852029 ODC851986:ODC852029 OMY851986:OMY852029 OWU851986:OWU852029 PGQ851986:PGQ852029 PQM851986:PQM852029 QAI851986:QAI852029 QKE851986:QKE852029 QUA851986:QUA852029 RDW851986:RDW852029 RNS851986:RNS852029 RXO851986:RXO852029 SHK851986:SHK852029 SRG851986:SRG852029 TBC851986:TBC852029 TKY851986:TKY852029 TUU851986:TUU852029 UEQ851986:UEQ852029 UOM851986:UOM852029 UYI851986:UYI852029 VIE851986:VIE852029 VSA851986:VSA852029 WBW851986:WBW852029 WLS851986:WLS852029 WVO851986:WVO852029 D917522:D917565 JC917522:JC917565 SY917522:SY917565 ACU917522:ACU917565 AMQ917522:AMQ917565 AWM917522:AWM917565 BGI917522:BGI917565 BQE917522:BQE917565 CAA917522:CAA917565 CJW917522:CJW917565 CTS917522:CTS917565 DDO917522:DDO917565 DNK917522:DNK917565 DXG917522:DXG917565 EHC917522:EHC917565 EQY917522:EQY917565 FAU917522:FAU917565 FKQ917522:FKQ917565 FUM917522:FUM917565 GEI917522:GEI917565 GOE917522:GOE917565 GYA917522:GYA917565 HHW917522:HHW917565 HRS917522:HRS917565 IBO917522:IBO917565 ILK917522:ILK917565 IVG917522:IVG917565 JFC917522:JFC917565 JOY917522:JOY917565 JYU917522:JYU917565 KIQ917522:KIQ917565 KSM917522:KSM917565 LCI917522:LCI917565 LME917522:LME917565 LWA917522:LWA917565 MFW917522:MFW917565 MPS917522:MPS917565 MZO917522:MZO917565 NJK917522:NJK917565 NTG917522:NTG917565 ODC917522:ODC917565 OMY917522:OMY917565 OWU917522:OWU917565 PGQ917522:PGQ917565 PQM917522:PQM917565 QAI917522:QAI917565 QKE917522:QKE917565 QUA917522:QUA917565 RDW917522:RDW917565 RNS917522:RNS917565 RXO917522:RXO917565 SHK917522:SHK917565 SRG917522:SRG917565 TBC917522:TBC917565 TKY917522:TKY917565 TUU917522:TUU917565 UEQ917522:UEQ917565 UOM917522:UOM917565 UYI917522:UYI917565 VIE917522:VIE917565 VSA917522:VSA917565 WBW917522:WBW917565 WLS917522:WLS917565 WVO917522:WVO917565 D983058:D983101 JC983058:JC983101 SY983058:SY983101 ACU983058:ACU983101 AMQ983058:AMQ983101 AWM983058:AWM983101 BGI983058:BGI983101 BQE983058:BQE983101 CAA983058:CAA983101 CJW983058:CJW983101 CTS983058:CTS983101 DDO983058:DDO983101 DNK983058:DNK983101 DXG983058:DXG983101 EHC983058:EHC983101 EQY983058:EQY983101 FAU983058:FAU983101 FKQ983058:FKQ983101 FUM983058:FUM983101 GEI983058:GEI983101 GOE983058:GOE983101 GYA983058:GYA983101 HHW983058:HHW983101 HRS983058:HRS983101 IBO983058:IBO983101 ILK983058:ILK983101 IVG983058:IVG983101 JFC983058:JFC983101 JOY983058:JOY983101 JYU983058:JYU983101 KIQ983058:KIQ983101 KSM983058:KSM983101 LCI983058:LCI983101 LME983058:LME983101 LWA983058:LWA983101 MFW983058:MFW983101 MPS983058:MPS983101 MZO983058:MZO983101 NJK983058:NJK983101 NTG983058:NTG983101 ODC983058:ODC983101 OMY983058:OMY983101 OWU983058:OWU983101 PGQ983058:PGQ983101 PQM983058:PQM983101 QAI983058:QAI983101 QKE983058:QKE983101 QUA983058:QUA983101 RDW983058:RDW983101 RNS983058:RNS983101 RXO983058:RXO983101 SHK983058:SHK983101 SRG983058:SRG983101 TBC983058:TBC983101 TKY983058:TKY983101 TUU983058:TUU983101 UEQ983058:UEQ983101 UOM983058:UOM983101 UYI983058:UYI983101 VIE983058:VIE983101 VSA983058:VSA983101 WBW983058:WBW983101 WLS983058:WLS983101 WVO17:WVO61 WLS17:WLS61 WBW17:WBW61 VSA17:VSA61 VIE17:VIE61 UYI17:UYI61 UOM17:UOM61 UEQ17:UEQ61 TUU17:TUU61 TKY17:TKY61 TBC17:TBC61 SRG17:SRG61 SHK17:SHK61 RXO17:RXO61 RNS17:RNS61 RDW17:RDW61 QUA17:QUA61 QKE17:QKE61 QAI17:QAI61 PQM17:PQM61 PGQ17:PGQ61 OWU17:OWU61 OMY17:OMY61 ODC17:ODC61 NTG17:NTG61 NJK17:NJK61 MZO17:MZO61 MPS17:MPS61 MFW17:MFW61 LWA17:LWA61 LME17:LME61 LCI17:LCI61 KSM17:KSM61 KIQ17:KIQ61 JYU17:JYU61 JOY17:JOY61 JFC17:JFC61 IVG17:IVG61 ILK17:ILK61 IBO17:IBO61 HRS17:HRS61 HHW17:HHW61 GYA17:GYA61 GOE17:GOE61 GEI17:GEI61 FUM17:FUM61 FKQ17:FKQ61 FAU17:FAU61 EQY17:EQY61 EHC17:EHC61 DXG17:DXG61 DNK17:DNK61 DDO17:DDO61 CTS17:CTS61 CJW17:CJW61 CAA17:CAA61 BQE17:BQE61 BGI17:BGI61 AWM17:AWM61 AMQ17:AMQ61 ACU17:ACU61 SY17:SY61 JC17:JC61 WVQ17:WVQ61 WLU17:WLU61 WBY17:WBY61 VSC17:VSC61 VIG17:VIG61 UYK17:UYK61 UOO17:UOO61 UES17:UES61 TUW17:TUW61 TLA17:TLA61 TBE17:TBE61 SRI17:SRI61 SHM17:SHM61 RXQ17:RXQ61 RNU17:RNU61 RDY17:RDY61 QUC17:QUC61 QKG17:QKG61 QAK17:QAK61 PQO17:PQO61 PGS17:PGS61 OWW17:OWW61 ONA17:ONA61 ODE17:ODE61 NTI17:NTI61 NJM17:NJM61 MZQ17:MZQ61 MPU17:MPU61 MFY17:MFY61 LWC17:LWC61 LMG17:LMG61 LCK17:LCK61 KSO17:KSO61 KIS17:KIS61 JYW17:JYW61 JPA17:JPA61 JFE17:JFE61 IVI17:IVI61 ILM17:ILM61 IBQ17:IBQ61 HRU17:HRU61 HHY17:HHY61 GYC17:GYC61 GOG17:GOG61 GEK17:GEK61 FUO17:FUO61 FKS17:FKS61 FAW17:FAW61 ERA17:ERA61 EHE17:EHE61 DXI17:DXI61 DNM17:DNM61 DDQ17:DDQ61 CTU17:CTU61 CJY17:CJY61 CAC17:CAC61 BQG17:BQG61 BGK17:BGK61 AWO17:AWO61 AMS17:AMS61 ACW17:ACW61 TA17:TA61 JE17:JE61 D17:D61 G17:I61 WVO71:WVO115 WLS71:WLS115 WBW71:WBW115 VSA71:VSA115 VIE71:VIE115 UYI71:UYI115 UOM71:UOM115 UEQ71:UEQ115 TUU71:TUU115 TKY71:TKY115 TBC71:TBC115 SRG71:SRG115 SHK71:SHK115 RXO71:RXO115 RNS71:RNS115 RDW71:RDW115 QUA71:QUA115 QKE71:QKE115 QAI71:QAI115 PQM71:PQM115 PGQ71:PGQ115 OWU71:OWU115 OMY71:OMY115 ODC71:ODC115 NTG71:NTG115 NJK71:NJK115 MZO71:MZO115 MPS71:MPS115 MFW71:MFW115 LWA71:LWA115 LME71:LME115 LCI71:LCI115 KSM71:KSM115 KIQ71:KIQ115 JYU71:JYU115 JOY71:JOY115 JFC71:JFC115 IVG71:IVG115 ILK71:ILK115 IBO71:IBO115 HRS71:HRS115 HHW71:HHW115 GYA71:GYA115 GOE71:GOE115 GEI71:GEI115 FUM71:FUM115 FKQ71:FKQ115 FAU71:FAU115 EQY71:EQY115 EHC71:EHC115 DXG71:DXG115 DNK71:DNK115 DDO71:DDO115 CTS71:CTS115 CJW71:CJW115 CAA71:CAA115 BQE71:BQE115 BGI71:BGI115 AWM71:AWM115 AMQ71:AMQ115 ACU71:ACU115 SY71:SY115 JC71:JC115 WVQ71:WVQ115 WLU71:WLU115 WBY71:WBY115 VSC71:VSC115 VIG71:VIG115 UYK71:UYK115 UOO71:UOO115 UES71:UES115 TUW71:TUW115 TLA71:TLA115 TBE71:TBE115 SRI71:SRI115 SHM71:SHM115 RXQ71:RXQ115 RNU71:RNU115 RDY71:RDY115 QUC71:QUC115 QKG71:QKG115 QAK71:QAK115 PQO71:PQO115 PGS71:PGS115 OWW71:OWW115 ONA71:ONA115 ODE71:ODE115 NTI71:NTI115 NJM71:NJM115 MZQ71:MZQ115 MPU71:MPU115 MFY71:MFY115 LWC71:LWC115 LMG71:LMG115 LCK71:LCK115 KSO71:KSO115 KIS71:KIS115 JYW71:JYW115 JPA71:JPA115 JFE71:JFE115 IVI71:IVI115 ILM71:ILM115 IBQ71:IBQ115 HRU71:HRU115 HHY71:HHY115 GYC71:GYC115 GOG71:GOG115 GEK71:GEK115 FUO71:FUO115 FKS71:FKS115 FAW71:FAW115 ERA71:ERA115 EHE71:EHE115 DXI71:DXI115 DNM71:DNM115 DDQ71:DDQ115 CTU71:CTU115 CJY71:CJY115 CAC71:CAC115 BQG71:BQG115 BGK71:BGK115 AWO71:AWO115 AMS71:AMS115 ACW71:ACW115 TA71:TA115 JE71:JE115 D71:D115 F65554:I65597" xr:uid="{BA5731D9-F709-419A-88FE-90C700FEBA4B}">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5ED2B17C-FC90-4F68-8C19-F89561C0D8A7}">
            <xm:f>TITELBLAD!$F$16="ex-ante"</xm:f>
            <x14:dxf>
              <fill>
                <patternFill patternType="lightUp"/>
              </fill>
            </x14:dxf>
          </x14:cfRule>
          <xm:sqref>A68:J118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1137-24E3-4B51-953F-8829F46D74E4}">
  <dimension ref="A1:AC118"/>
  <sheetViews>
    <sheetView topLeftCell="B1" zoomScale="80" zoomScaleNormal="80" workbookViewId="0">
      <selection activeCell="H11" sqref="H11"/>
    </sheetView>
  </sheetViews>
  <sheetFormatPr defaultColWidth="9.140625" defaultRowHeight="12.75" x14ac:dyDescent="0.2"/>
  <cols>
    <col min="1" max="1" width="51.42578125" style="166" customWidth="1"/>
    <col min="2" max="2" width="26.5703125" style="166" customWidth="1"/>
    <col min="3" max="7" width="31" style="166" customWidth="1"/>
    <col min="8" max="9" width="31" style="956" customWidth="1"/>
    <col min="10" max="10" width="31" style="166" customWidth="1"/>
    <col min="11" max="11" width="8.85546875" style="166" customWidth="1"/>
    <col min="12" max="53" width="9.140625" style="166" customWidth="1"/>
    <col min="54" max="259" width="9.140625" style="166"/>
    <col min="260" max="260" width="51.42578125" style="166" customWidth="1"/>
    <col min="261" max="261" width="26.5703125" style="166" customWidth="1"/>
    <col min="262" max="266" width="31" style="166" customWidth="1"/>
    <col min="267" max="267" width="8.85546875" style="166" customWidth="1"/>
    <col min="268" max="515" width="9.140625" style="166"/>
    <col min="516" max="516" width="51.42578125" style="166" customWidth="1"/>
    <col min="517" max="517" width="26.5703125" style="166" customWidth="1"/>
    <col min="518" max="522" width="31" style="166" customWidth="1"/>
    <col min="523" max="523" width="8.85546875" style="166" customWidth="1"/>
    <col min="524" max="771" width="9.140625" style="166"/>
    <col min="772" max="772" width="51.42578125" style="166" customWidth="1"/>
    <col min="773" max="773" width="26.5703125" style="166" customWidth="1"/>
    <col min="774" max="778" width="31" style="166" customWidth="1"/>
    <col min="779" max="779" width="8.85546875" style="166" customWidth="1"/>
    <col min="780" max="1027" width="9.140625" style="166"/>
    <col min="1028" max="1028" width="51.42578125" style="166" customWidth="1"/>
    <col min="1029" max="1029" width="26.5703125" style="166" customWidth="1"/>
    <col min="1030" max="1034" width="31" style="166" customWidth="1"/>
    <col min="1035" max="1035" width="8.85546875" style="166" customWidth="1"/>
    <col min="1036" max="1283" width="9.140625" style="166"/>
    <col min="1284" max="1284" width="51.42578125" style="166" customWidth="1"/>
    <col min="1285" max="1285" width="26.5703125" style="166" customWidth="1"/>
    <col min="1286" max="1290" width="31" style="166" customWidth="1"/>
    <col min="1291" max="1291" width="8.85546875" style="166" customWidth="1"/>
    <col min="1292" max="1539" width="9.140625" style="166"/>
    <col min="1540" max="1540" width="51.42578125" style="166" customWidth="1"/>
    <col min="1541" max="1541" width="26.5703125" style="166" customWidth="1"/>
    <col min="1542" max="1546" width="31" style="166" customWidth="1"/>
    <col min="1547" max="1547" width="8.85546875" style="166" customWidth="1"/>
    <col min="1548" max="1795" width="9.140625" style="166"/>
    <col min="1796" max="1796" width="51.42578125" style="166" customWidth="1"/>
    <col min="1797" max="1797" width="26.5703125" style="166" customWidth="1"/>
    <col min="1798" max="1802" width="31" style="166" customWidth="1"/>
    <col min="1803" max="1803" width="8.85546875" style="166" customWidth="1"/>
    <col min="1804" max="2051" width="9.140625" style="166"/>
    <col min="2052" max="2052" width="51.42578125" style="166" customWidth="1"/>
    <col min="2053" max="2053" width="26.5703125" style="166" customWidth="1"/>
    <col min="2054" max="2058" width="31" style="166" customWidth="1"/>
    <col min="2059" max="2059" width="8.85546875" style="166" customWidth="1"/>
    <col min="2060" max="2307" width="9.140625" style="166"/>
    <col min="2308" max="2308" width="51.42578125" style="166" customWidth="1"/>
    <col min="2309" max="2309" width="26.5703125" style="166" customWidth="1"/>
    <col min="2310" max="2314" width="31" style="166" customWidth="1"/>
    <col min="2315" max="2315" width="8.85546875" style="166" customWidth="1"/>
    <col min="2316" max="2563" width="9.140625" style="166"/>
    <col min="2564" max="2564" width="51.42578125" style="166" customWidth="1"/>
    <col min="2565" max="2565" width="26.5703125" style="166" customWidth="1"/>
    <col min="2566" max="2570" width="31" style="166" customWidth="1"/>
    <col min="2571" max="2571" width="8.85546875" style="166" customWidth="1"/>
    <col min="2572" max="2819" width="9.140625" style="166"/>
    <col min="2820" max="2820" width="51.42578125" style="166" customWidth="1"/>
    <col min="2821" max="2821" width="26.5703125" style="166" customWidth="1"/>
    <col min="2822" max="2826" width="31" style="166" customWidth="1"/>
    <col min="2827" max="2827" width="8.85546875" style="166" customWidth="1"/>
    <col min="2828" max="3075" width="9.140625" style="166"/>
    <col min="3076" max="3076" width="51.42578125" style="166" customWidth="1"/>
    <col min="3077" max="3077" width="26.5703125" style="166" customWidth="1"/>
    <col min="3078" max="3082" width="31" style="166" customWidth="1"/>
    <col min="3083" max="3083" width="8.85546875" style="166" customWidth="1"/>
    <col min="3084" max="3331" width="9.140625" style="166"/>
    <col min="3332" max="3332" width="51.42578125" style="166" customWidth="1"/>
    <col min="3333" max="3333" width="26.5703125" style="166" customWidth="1"/>
    <col min="3334" max="3338" width="31" style="166" customWidth="1"/>
    <col min="3339" max="3339" width="8.85546875" style="166" customWidth="1"/>
    <col min="3340" max="3587" width="9.140625" style="166"/>
    <col min="3588" max="3588" width="51.42578125" style="166" customWidth="1"/>
    <col min="3589" max="3589" width="26.5703125" style="166" customWidth="1"/>
    <col min="3590" max="3594" width="31" style="166" customWidth="1"/>
    <col min="3595" max="3595" width="8.85546875" style="166" customWidth="1"/>
    <col min="3596" max="3843" width="9.140625" style="166"/>
    <col min="3844" max="3844" width="51.42578125" style="166" customWidth="1"/>
    <col min="3845" max="3845" width="26.5703125" style="166" customWidth="1"/>
    <col min="3846" max="3850" width="31" style="166" customWidth="1"/>
    <col min="3851" max="3851" width="8.85546875" style="166" customWidth="1"/>
    <col min="3852" max="4099" width="9.140625" style="166"/>
    <col min="4100" max="4100" width="51.42578125" style="166" customWidth="1"/>
    <col min="4101" max="4101" width="26.5703125" style="166" customWidth="1"/>
    <col min="4102" max="4106" width="31" style="166" customWidth="1"/>
    <col min="4107" max="4107" width="8.85546875" style="166" customWidth="1"/>
    <col min="4108" max="4355" width="9.140625" style="166"/>
    <col min="4356" max="4356" width="51.42578125" style="166" customWidth="1"/>
    <col min="4357" max="4357" width="26.5703125" style="166" customWidth="1"/>
    <col min="4358" max="4362" width="31" style="166" customWidth="1"/>
    <col min="4363" max="4363" width="8.85546875" style="166" customWidth="1"/>
    <col min="4364" max="4611" width="9.140625" style="166"/>
    <col min="4612" max="4612" width="51.42578125" style="166" customWidth="1"/>
    <col min="4613" max="4613" width="26.5703125" style="166" customWidth="1"/>
    <col min="4614" max="4618" width="31" style="166" customWidth="1"/>
    <col min="4619" max="4619" width="8.85546875" style="166" customWidth="1"/>
    <col min="4620" max="4867" width="9.140625" style="166"/>
    <col min="4868" max="4868" width="51.42578125" style="166" customWidth="1"/>
    <col min="4869" max="4869" width="26.5703125" style="166" customWidth="1"/>
    <col min="4870" max="4874" width="31" style="166" customWidth="1"/>
    <col min="4875" max="4875" width="8.85546875" style="166" customWidth="1"/>
    <col min="4876" max="5123" width="9.140625" style="166"/>
    <col min="5124" max="5124" width="51.42578125" style="166" customWidth="1"/>
    <col min="5125" max="5125" width="26.5703125" style="166" customWidth="1"/>
    <col min="5126" max="5130" width="31" style="166" customWidth="1"/>
    <col min="5131" max="5131" width="8.85546875" style="166" customWidth="1"/>
    <col min="5132" max="5379" width="9.140625" style="166"/>
    <col min="5380" max="5380" width="51.42578125" style="166" customWidth="1"/>
    <col min="5381" max="5381" width="26.5703125" style="166" customWidth="1"/>
    <col min="5382" max="5386" width="31" style="166" customWidth="1"/>
    <col min="5387" max="5387" width="8.85546875" style="166" customWidth="1"/>
    <col min="5388" max="5635" width="9.140625" style="166"/>
    <col min="5636" max="5636" width="51.42578125" style="166" customWidth="1"/>
    <col min="5637" max="5637" width="26.5703125" style="166" customWidth="1"/>
    <col min="5638" max="5642" width="31" style="166" customWidth="1"/>
    <col min="5643" max="5643" width="8.85546875" style="166" customWidth="1"/>
    <col min="5644" max="5891" width="9.140625" style="166"/>
    <col min="5892" max="5892" width="51.42578125" style="166" customWidth="1"/>
    <col min="5893" max="5893" width="26.5703125" style="166" customWidth="1"/>
    <col min="5894" max="5898" width="31" style="166" customWidth="1"/>
    <col min="5899" max="5899" width="8.85546875" style="166" customWidth="1"/>
    <col min="5900" max="6147" width="9.140625" style="166"/>
    <col min="6148" max="6148" width="51.42578125" style="166" customWidth="1"/>
    <col min="6149" max="6149" width="26.5703125" style="166" customWidth="1"/>
    <col min="6150" max="6154" width="31" style="166" customWidth="1"/>
    <col min="6155" max="6155" width="8.85546875" style="166" customWidth="1"/>
    <col min="6156" max="6403" width="9.140625" style="166"/>
    <col min="6404" max="6404" width="51.42578125" style="166" customWidth="1"/>
    <col min="6405" max="6405" width="26.5703125" style="166" customWidth="1"/>
    <col min="6406" max="6410" width="31" style="166" customWidth="1"/>
    <col min="6411" max="6411" width="8.85546875" style="166" customWidth="1"/>
    <col min="6412" max="6659" width="9.140625" style="166"/>
    <col min="6660" max="6660" width="51.42578125" style="166" customWidth="1"/>
    <col min="6661" max="6661" width="26.5703125" style="166" customWidth="1"/>
    <col min="6662" max="6666" width="31" style="166" customWidth="1"/>
    <col min="6667" max="6667" width="8.85546875" style="166" customWidth="1"/>
    <col min="6668" max="6915" width="9.140625" style="166"/>
    <col min="6916" max="6916" width="51.42578125" style="166" customWidth="1"/>
    <col min="6917" max="6917" width="26.5703125" style="166" customWidth="1"/>
    <col min="6918" max="6922" width="31" style="166" customWidth="1"/>
    <col min="6923" max="6923" width="8.85546875" style="166" customWidth="1"/>
    <col min="6924" max="7171" width="9.140625" style="166"/>
    <col min="7172" max="7172" width="51.42578125" style="166" customWidth="1"/>
    <col min="7173" max="7173" width="26.5703125" style="166" customWidth="1"/>
    <col min="7174" max="7178" width="31" style="166" customWidth="1"/>
    <col min="7179" max="7179" width="8.85546875" style="166" customWidth="1"/>
    <col min="7180" max="7427" width="9.140625" style="166"/>
    <col min="7428" max="7428" width="51.42578125" style="166" customWidth="1"/>
    <col min="7429" max="7429" width="26.5703125" style="166" customWidth="1"/>
    <col min="7430" max="7434" width="31" style="166" customWidth="1"/>
    <col min="7435" max="7435" width="8.85546875" style="166" customWidth="1"/>
    <col min="7436" max="7683" width="9.140625" style="166"/>
    <col min="7684" max="7684" width="51.42578125" style="166" customWidth="1"/>
    <col min="7685" max="7685" width="26.5703125" style="166" customWidth="1"/>
    <col min="7686" max="7690" width="31" style="166" customWidth="1"/>
    <col min="7691" max="7691" width="8.85546875" style="166" customWidth="1"/>
    <col min="7692" max="7939" width="9.140625" style="166"/>
    <col min="7940" max="7940" width="51.42578125" style="166" customWidth="1"/>
    <col min="7941" max="7941" width="26.5703125" style="166" customWidth="1"/>
    <col min="7942" max="7946" width="31" style="166" customWidth="1"/>
    <col min="7947" max="7947" width="8.85546875" style="166" customWidth="1"/>
    <col min="7948" max="8195" width="9.140625" style="166"/>
    <col min="8196" max="8196" width="51.42578125" style="166" customWidth="1"/>
    <col min="8197" max="8197" width="26.5703125" style="166" customWidth="1"/>
    <col min="8198" max="8202" width="31" style="166" customWidth="1"/>
    <col min="8203" max="8203" width="8.85546875" style="166" customWidth="1"/>
    <col min="8204" max="8451" width="9.140625" style="166"/>
    <col min="8452" max="8452" width="51.42578125" style="166" customWidth="1"/>
    <col min="8453" max="8453" width="26.5703125" style="166" customWidth="1"/>
    <col min="8454" max="8458" width="31" style="166" customWidth="1"/>
    <col min="8459" max="8459" width="8.85546875" style="166" customWidth="1"/>
    <col min="8460" max="8707" width="9.140625" style="166"/>
    <col min="8708" max="8708" width="51.42578125" style="166" customWidth="1"/>
    <col min="8709" max="8709" width="26.5703125" style="166" customWidth="1"/>
    <col min="8710" max="8714" width="31" style="166" customWidth="1"/>
    <col min="8715" max="8715" width="8.85546875" style="166" customWidth="1"/>
    <col min="8716" max="8963" width="9.140625" style="166"/>
    <col min="8964" max="8964" width="51.42578125" style="166" customWidth="1"/>
    <col min="8965" max="8965" width="26.5703125" style="166" customWidth="1"/>
    <col min="8966" max="8970" width="31" style="166" customWidth="1"/>
    <col min="8971" max="8971" width="8.85546875" style="166" customWidth="1"/>
    <col min="8972" max="9219" width="9.140625" style="166"/>
    <col min="9220" max="9220" width="51.42578125" style="166" customWidth="1"/>
    <col min="9221" max="9221" width="26.5703125" style="166" customWidth="1"/>
    <col min="9222" max="9226" width="31" style="166" customWidth="1"/>
    <col min="9227" max="9227" width="8.85546875" style="166" customWidth="1"/>
    <col min="9228" max="9475" width="9.140625" style="166"/>
    <col min="9476" max="9476" width="51.42578125" style="166" customWidth="1"/>
    <col min="9477" max="9477" width="26.5703125" style="166" customWidth="1"/>
    <col min="9478" max="9482" width="31" style="166" customWidth="1"/>
    <col min="9483" max="9483" width="8.85546875" style="166" customWidth="1"/>
    <col min="9484" max="9731" width="9.140625" style="166"/>
    <col min="9732" max="9732" width="51.42578125" style="166" customWidth="1"/>
    <col min="9733" max="9733" width="26.5703125" style="166" customWidth="1"/>
    <col min="9734" max="9738" width="31" style="166" customWidth="1"/>
    <col min="9739" max="9739" width="8.85546875" style="166" customWidth="1"/>
    <col min="9740" max="9987" width="9.140625" style="166"/>
    <col min="9988" max="9988" width="51.42578125" style="166" customWidth="1"/>
    <col min="9989" max="9989" width="26.5703125" style="166" customWidth="1"/>
    <col min="9990" max="9994" width="31" style="166" customWidth="1"/>
    <col min="9995" max="9995" width="8.85546875" style="166" customWidth="1"/>
    <col min="9996" max="10243" width="9.140625" style="166"/>
    <col min="10244" max="10244" width="51.42578125" style="166" customWidth="1"/>
    <col min="10245" max="10245" width="26.5703125" style="166" customWidth="1"/>
    <col min="10246" max="10250" width="31" style="166" customWidth="1"/>
    <col min="10251" max="10251" width="8.85546875" style="166" customWidth="1"/>
    <col min="10252" max="10499" width="9.140625" style="166"/>
    <col min="10500" max="10500" width="51.42578125" style="166" customWidth="1"/>
    <col min="10501" max="10501" width="26.5703125" style="166" customWidth="1"/>
    <col min="10502" max="10506" width="31" style="166" customWidth="1"/>
    <col min="10507" max="10507" width="8.85546875" style="166" customWidth="1"/>
    <col min="10508" max="10755" width="9.140625" style="166"/>
    <col min="10756" max="10756" width="51.42578125" style="166" customWidth="1"/>
    <col min="10757" max="10757" width="26.5703125" style="166" customWidth="1"/>
    <col min="10758" max="10762" width="31" style="166" customWidth="1"/>
    <col min="10763" max="10763" width="8.85546875" style="166" customWidth="1"/>
    <col min="10764" max="11011" width="9.140625" style="166"/>
    <col min="11012" max="11012" width="51.42578125" style="166" customWidth="1"/>
    <col min="11013" max="11013" width="26.5703125" style="166" customWidth="1"/>
    <col min="11014" max="11018" width="31" style="166" customWidth="1"/>
    <col min="11019" max="11019" width="8.85546875" style="166" customWidth="1"/>
    <col min="11020" max="11267" width="9.140625" style="166"/>
    <col min="11268" max="11268" width="51.42578125" style="166" customWidth="1"/>
    <col min="11269" max="11269" width="26.5703125" style="166" customWidth="1"/>
    <col min="11270" max="11274" width="31" style="166" customWidth="1"/>
    <col min="11275" max="11275" width="8.85546875" style="166" customWidth="1"/>
    <col min="11276" max="11523" width="9.140625" style="166"/>
    <col min="11524" max="11524" width="51.42578125" style="166" customWidth="1"/>
    <col min="11525" max="11525" width="26.5703125" style="166" customWidth="1"/>
    <col min="11526" max="11530" width="31" style="166" customWidth="1"/>
    <col min="11531" max="11531" width="8.85546875" style="166" customWidth="1"/>
    <col min="11532" max="11779" width="9.140625" style="166"/>
    <col min="11780" max="11780" width="51.42578125" style="166" customWidth="1"/>
    <col min="11781" max="11781" width="26.5703125" style="166" customWidth="1"/>
    <col min="11782" max="11786" width="31" style="166" customWidth="1"/>
    <col min="11787" max="11787" width="8.85546875" style="166" customWidth="1"/>
    <col min="11788" max="12035" width="9.140625" style="166"/>
    <col min="12036" max="12036" width="51.42578125" style="166" customWidth="1"/>
    <col min="12037" max="12037" width="26.5703125" style="166" customWidth="1"/>
    <col min="12038" max="12042" width="31" style="166" customWidth="1"/>
    <col min="12043" max="12043" width="8.85546875" style="166" customWidth="1"/>
    <col min="12044" max="12291" width="9.140625" style="166"/>
    <col min="12292" max="12292" width="51.42578125" style="166" customWidth="1"/>
    <col min="12293" max="12293" width="26.5703125" style="166" customWidth="1"/>
    <col min="12294" max="12298" width="31" style="166" customWidth="1"/>
    <col min="12299" max="12299" width="8.85546875" style="166" customWidth="1"/>
    <col min="12300" max="12547" width="9.140625" style="166"/>
    <col min="12548" max="12548" width="51.42578125" style="166" customWidth="1"/>
    <col min="12549" max="12549" width="26.5703125" style="166" customWidth="1"/>
    <col min="12550" max="12554" width="31" style="166" customWidth="1"/>
    <col min="12555" max="12555" width="8.85546875" style="166" customWidth="1"/>
    <col min="12556" max="12803" width="9.140625" style="166"/>
    <col min="12804" max="12804" width="51.42578125" style="166" customWidth="1"/>
    <col min="12805" max="12805" width="26.5703125" style="166" customWidth="1"/>
    <col min="12806" max="12810" width="31" style="166" customWidth="1"/>
    <col min="12811" max="12811" width="8.85546875" style="166" customWidth="1"/>
    <col min="12812" max="13059" width="9.140625" style="166"/>
    <col min="13060" max="13060" width="51.42578125" style="166" customWidth="1"/>
    <col min="13061" max="13061" width="26.5703125" style="166" customWidth="1"/>
    <col min="13062" max="13066" width="31" style="166" customWidth="1"/>
    <col min="13067" max="13067" width="8.85546875" style="166" customWidth="1"/>
    <col min="13068" max="13315" width="9.140625" style="166"/>
    <col min="13316" max="13316" width="51.42578125" style="166" customWidth="1"/>
    <col min="13317" max="13317" width="26.5703125" style="166" customWidth="1"/>
    <col min="13318" max="13322" width="31" style="166" customWidth="1"/>
    <col min="13323" max="13323" width="8.85546875" style="166" customWidth="1"/>
    <col min="13324" max="13571" width="9.140625" style="166"/>
    <col min="13572" max="13572" width="51.42578125" style="166" customWidth="1"/>
    <col min="13573" max="13573" width="26.5703125" style="166" customWidth="1"/>
    <col min="13574" max="13578" width="31" style="166" customWidth="1"/>
    <col min="13579" max="13579" width="8.85546875" style="166" customWidth="1"/>
    <col min="13580" max="13827" width="9.140625" style="166"/>
    <col min="13828" max="13828" width="51.42578125" style="166" customWidth="1"/>
    <col min="13829" max="13829" width="26.5703125" style="166" customWidth="1"/>
    <col min="13830" max="13834" width="31" style="166" customWidth="1"/>
    <col min="13835" max="13835" width="8.85546875" style="166" customWidth="1"/>
    <col min="13836" max="14083" width="9.140625" style="166"/>
    <col min="14084" max="14084" width="51.42578125" style="166" customWidth="1"/>
    <col min="14085" max="14085" width="26.5703125" style="166" customWidth="1"/>
    <col min="14086" max="14090" width="31" style="166" customWidth="1"/>
    <col min="14091" max="14091" width="8.85546875" style="166" customWidth="1"/>
    <col min="14092" max="14339" width="9.140625" style="166"/>
    <col min="14340" max="14340" width="51.42578125" style="166" customWidth="1"/>
    <col min="14341" max="14341" width="26.5703125" style="166" customWidth="1"/>
    <col min="14342" max="14346" width="31" style="166" customWidth="1"/>
    <col min="14347" max="14347" width="8.85546875" style="166" customWidth="1"/>
    <col min="14348" max="14595" width="9.140625" style="166"/>
    <col min="14596" max="14596" width="51.42578125" style="166" customWidth="1"/>
    <col min="14597" max="14597" width="26.5703125" style="166" customWidth="1"/>
    <col min="14598" max="14602" width="31" style="166" customWidth="1"/>
    <col min="14603" max="14603" width="8.85546875" style="166" customWidth="1"/>
    <col min="14604" max="14851" width="9.140625" style="166"/>
    <col min="14852" max="14852" width="51.42578125" style="166" customWidth="1"/>
    <col min="14853" max="14853" width="26.5703125" style="166" customWidth="1"/>
    <col min="14854" max="14858" width="31" style="166" customWidth="1"/>
    <col min="14859" max="14859" width="8.85546875" style="166" customWidth="1"/>
    <col min="14860" max="15107" width="9.140625" style="166"/>
    <col min="15108" max="15108" width="51.42578125" style="166" customWidth="1"/>
    <col min="15109" max="15109" width="26.5703125" style="166" customWidth="1"/>
    <col min="15110" max="15114" width="31" style="166" customWidth="1"/>
    <col min="15115" max="15115" width="8.85546875" style="166" customWidth="1"/>
    <col min="15116" max="15363" width="9.140625" style="166"/>
    <col min="15364" max="15364" width="51.42578125" style="166" customWidth="1"/>
    <col min="15365" max="15365" width="26.5703125" style="166" customWidth="1"/>
    <col min="15366" max="15370" width="31" style="166" customWidth="1"/>
    <col min="15371" max="15371" width="8.85546875" style="166" customWidth="1"/>
    <col min="15372" max="15619" width="9.140625" style="166"/>
    <col min="15620" max="15620" width="51.42578125" style="166" customWidth="1"/>
    <col min="15621" max="15621" width="26.5703125" style="166" customWidth="1"/>
    <col min="15622" max="15626" width="31" style="166" customWidth="1"/>
    <col min="15627" max="15627" width="8.85546875" style="166" customWidth="1"/>
    <col min="15628" max="15875" width="9.140625" style="166"/>
    <col min="15876" max="15876" width="51.42578125" style="166" customWidth="1"/>
    <col min="15877" max="15877" width="26.5703125" style="166" customWidth="1"/>
    <col min="15878" max="15882" width="31" style="166" customWidth="1"/>
    <col min="15883" max="15883" width="8.85546875" style="166" customWidth="1"/>
    <col min="15884" max="16131" width="9.140625" style="166"/>
    <col min="16132" max="16132" width="51.42578125" style="166" customWidth="1"/>
    <col min="16133" max="16133" width="26.5703125" style="166" customWidth="1"/>
    <col min="16134" max="16138" width="31" style="166" customWidth="1"/>
    <col min="16139" max="16139" width="8.85546875" style="166" customWidth="1"/>
    <col min="16140" max="16384" width="9.140625" style="166"/>
  </cols>
  <sheetData>
    <row r="1" spans="1:29" ht="26.45" customHeight="1" thickBot="1" x14ac:dyDescent="0.25">
      <c r="A1" s="1208" t="s">
        <v>428</v>
      </c>
      <c r="B1" s="1209"/>
      <c r="C1" s="1209"/>
      <c r="D1" s="1209"/>
      <c r="E1" s="1209"/>
      <c r="F1" s="1209"/>
      <c r="G1" s="1209"/>
      <c r="H1" s="1210"/>
      <c r="I1" s="986"/>
      <c r="J1" s="291"/>
      <c r="K1" s="291"/>
      <c r="L1" s="203" t="str">
        <f>+TITELBLAD!C10</f>
        <v>gas</v>
      </c>
      <c r="M1" s="291"/>
      <c r="N1" s="291"/>
      <c r="O1" s="291"/>
      <c r="P1" s="291"/>
      <c r="Q1" s="291"/>
      <c r="R1" s="291"/>
      <c r="S1" s="291"/>
      <c r="T1" s="291"/>
      <c r="U1" s="291"/>
      <c r="V1" s="291"/>
      <c r="W1" s="291"/>
      <c r="X1" s="291"/>
      <c r="Y1" s="291"/>
      <c r="Z1" s="291"/>
      <c r="AA1" s="291"/>
      <c r="AB1" s="291"/>
      <c r="AC1" s="291"/>
    </row>
    <row r="2" spans="1:29" x14ac:dyDescent="0.2">
      <c r="A2" s="291"/>
      <c r="B2" s="291"/>
      <c r="C2" s="291"/>
      <c r="D2" s="291"/>
      <c r="E2" s="291"/>
      <c r="F2" s="291"/>
      <c r="G2" s="291"/>
      <c r="J2" s="291"/>
      <c r="K2" s="291"/>
      <c r="L2" s="291"/>
      <c r="M2" s="291"/>
      <c r="N2" s="291"/>
      <c r="O2" s="291"/>
      <c r="P2" s="291"/>
      <c r="Q2" s="291"/>
      <c r="R2" s="291"/>
      <c r="S2" s="291"/>
      <c r="T2" s="291"/>
      <c r="U2" s="291"/>
      <c r="V2" s="291"/>
      <c r="W2" s="291"/>
      <c r="X2" s="291"/>
      <c r="Y2" s="291"/>
      <c r="Z2" s="291"/>
      <c r="AA2" s="291"/>
      <c r="AB2" s="291"/>
      <c r="AC2" s="291"/>
    </row>
    <row r="3" spans="1:29" x14ac:dyDescent="0.2">
      <c r="A3" s="291"/>
      <c r="B3" s="291"/>
      <c r="C3" s="884" t="s">
        <v>300</v>
      </c>
      <c r="D3" s="884" t="s">
        <v>301</v>
      </c>
      <c r="E3" s="291"/>
      <c r="F3" s="291"/>
      <c r="G3" s="291"/>
      <c r="J3" s="291"/>
      <c r="K3" s="291"/>
      <c r="L3" s="291"/>
      <c r="M3" s="291"/>
      <c r="N3" s="291"/>
      <c r="O3" s="291"/>
      <c r="P3" s="291"/>
      <c r="Q3" s="291"/>
      <c r="R3" s="291"/>
      <c r="S3" s="291"/>
      <c r="T3" s="291"/>
      <c r="U3" s="291"/>
      <c r="V3" s="291"/>
      <c r="W3" s="291"/>
      <c r="X3" s="291"/>
      <c r="Y3" s="291"/>
      <c r="Z3" s="291"/>
      <c r="AA3" s="291"/>
      <c r="AB3" s="291"/>
      <c r="AC3" s="291"/>
    </row>
    <row r="4" spans="1:29" x14ac:dyDescent="0.2">
      <c r="A4" s="353" t="s">
        <v>433</v>
      </c>
      <c r="B4" s="895">
        <f>+TITELBLAD!E16</f>
        <v>2022</v>
      </c>
      <c r="C4" s="896">
        <f>-G63</f>
        <v>0</v>
      </c>
      <c r="D4" s="896">
        <f>-G117</f>
        <v>0</v>
      </c>
      <c r="E4" s="897"/>
      <c r="J4" s="291"/>
      <c r="K4" s="291"/>
      <c r="L4" s="291"/>
      <c r="M4" s="291"/>
      <c r="N4" s="291"/>
      <c r="O4" s="291"/>
      <c r="P4" s="291"/>
      <c r="Q4" s="291"/>
      <c r="R4" s="291"/>
      <c r="S4" s="291"/>
      <c r="T4" s="291"/>
      <c r="U4" s="291"/>
      <c r="V4" s="291"/>
      <c r="W4" s="291"/>
      <c r="X4" s="291"/>
      <c r="Y4" s="291"/>
      <c r="Z4" s="291"/>
      <c r="AA4" s="291"/>
      <c r="AB4" s="291"/>
      <c r="AC4" s="291"/>
    </row>
    <row r="5" spans="1:29" x14ac:dyDescent="0.2">
      <c r="D5" s="897"/>
      <c r="E5" s="897"/>
      <c r="J5" s="291"/>
      <c r="K5" s="291"/>
      <c r="L5" s="291"/>
      <c r="M5" s="291"/>
      <c r="N5" s="291"/>
      <c r="O5" s="291"/>
      <c r="P5" s="291"/>
      <c r="Q5" s="291"/>
      <c r="R5" s="291"/>
      <c r="S5" s="291"/>
      <c r="T5" s="291"/>
      <c r="U5" s="291"/>
      <c r="V5" s="291"/>
      <c r="W5" s="291"/>
      <c r="X5" s="291"/>
      <c r="Y5" s="291"/>
      <c r="Z5" s="291"/>
      <c r="AA5" s="291"/>
      <c r="AB5" s="291"/>
      <c r="AC5" s="291"/>
    </row>
    <row r="6" spans="1:29" x14ac:dyDescent="0.2">
      <c r="J6" s="291"/>
      <c r="K6" s="291"/>
      <c r="L6" s="291"/>
      <c r="M6" s="291"/>
      <c r="N6" s="291"/>
      <c r="O6" s="291"/>
      <c r="P6" s="291"/>
      <c r="Q6" s="291"/>
      <c r="R6" s="291"/>
      <c r="S6" s="291"/>
      <c r="T6" s="291"/>
      <c r="U6" s="291"/>
      <c r="V6" s="291"/>
      <c r="W6" s="291"/>
      <c r="X6" s="291"/>
      <c r="Y6" s="291"/>
      <c r="Z6" s="291"/>
      <c r="AA6" s="291"/>
      <c r="AB6" s="291"/>
      <c r="AC6" s="291"/>
    </row>
    <row r="7" spans="1:29" x14ac:dyDescent="0.2">
      <c r="J7" s="291"/>
      <c r="K7" s="291"/>
      <c r="L7" s="291"/>
      <c r="M7" s="291"/>
      <c r="N7" s="291"/>
      <c r="O7" s="291"/>
      <c r="P7" s="291"/>
      <c r="Q7" s="291"/>
      <c r="R7" s="291"/>
      <c r="S7" s="291"/>
      <c r="T7" s="291"/>
      <c r="U7" s="291"/>
      <c r="V7" s="291"/>
      <c r="W7" s="291"/>
      <c r="X7" s="291"/>
      <c r="Y7" s="291"/>
      <c r="Z7" s="291"/>
      <c r="AA7" s="291"/>
      <c r="AB7" s="291"/>
      <c r="AC7" s="291"/>
    </row>
    <row r="8" spans="1:29" x14ac:dyDescent="0.2">
      <c r="A8" s="353" t="s">
        <v>299</v>
      </c>
      <c r="J8" s="291"/>
      <c r="K8" s="291"/>
      <c r="L8" s="291"/>
      <c r="M8" s="291"/>
      <c r="N8" s="291"/>
      <c r="O8" s="291"/>
      <c r="P8" s="291"/>
      <c r="Q8" s="291"/>
      <c r="R8" s="291"/>
      <c r="S8" s="291"/>
      <c r="T8" s="291"/>
      <c r="U8" s="291"/>
      <c r="V8" s="291"/>
      <c r="W8" s="291"/>
      <c r="X8" s="291"/>
      <c r="Y8" s="291"/>
      <c r="Z8" s="291"/>
      <c r="AA8" s="291"/>
      <c r="AB8" s="291"/>
      <c r="AC8" s="291"/>
    </row>
    <row r="9" spans="1:29" x14ac:dyDescent="0.2">
      <c r="A9" s="216" t="s">
        <v>263</v>
      </c>
      <c r="J9" s="291"/>
      <c r="K9" s="291"/>
      <c r="L9" s="291"/>
      <c r="M9" s="291"/>
      <c r="N9" s="291"/>
      <c r="O9" s="291"/>
      <c r="P9" s="291"/>
      <c r="Q9" s="291"/>
      <c r="R9" s="291"/>
      <c r="S9" s="291"/>
      <c r="T9" s="291"/>
      <c r="U9" s="291"/>
      <c r="V9" s="291"/>
      <c r="W9" s="291"/>
      <c r="X9" s="291"/>
      <c r="Y9" s="291"/>
      <c r="Z9" s="291"/>
      <c r="AA9" s="291"/>
      <c r="AB9" s="291"/>
      <c r="AC9" s="291"/>
    </row>
    <row r="10" spans="1:29" x14ac:dyDescent="0.2">
      <c r="A10" s="898" t="s">
        <v>264</v>
      </c>
      <c r="H10" s="978" t="s">
        <v>467</v>
      </c>
      <c r="J10" s="291"/>
      <c r="K10" s="291"/>
      <c r="L10" s="291"/>
      <c r="M10" s="291"/>
      <c r="N10" s="291"/>
      <c r="O10" s="291"/>
      <c r="P10" s="291"/>
      <c r="Q10" s="291"/>
      <c r="R10" s="291"/>
      <c r="S10" s="291"/>
      <c r="T10" s="291"/>
      <c r="U10" s="291"/>
      <c r="V10" s="291"/>
      <c r="W10" s="291"/>
      <c r="X10" s="291"/>
      <c r="Y10" s="291"/>
      <c r="Z10" s="291"/>
      <c r="AA10" s="291"/>
      <c r="AB10" s="291"/>
      <c r="AC10" s="291"/>
    </row>
    <row r="11" spans="1:29" x14ac:dyDescent="0.2">
      <c r="A11" s="898" t="s">
        <v>265</v>
      </c>
      <c r="J11" s="291"/>
      <c r="K11" s="291"/>
      <c r="L11" s="291"/>
      <c r="M11" s="291"/>
      <c r="N11" s="291"/>
      <c r="O11" s="291"/>
      <c r="P11" s="291"/>
      <c r="Q11" s="291"/>
      <c r="R11" s="291"/>
      <c r="S11" s="291"/>
      <c r="T11" s="291"/>
      <c r="U11" s="291"/>
      <c r="V11" s="291"/>
      <c r="W11" s="291"/>
      <c r="X11" s="291"/>
      <c r="Y11" s="291"/>
      <c r="Z11" s="291"/>
      <c r="AA11" s="291"/>
      <c r="AB11" s="291"/>
      <c r="AC11" s="291"/>
    </row>
    <row r="12" spans="1:29" x14ac:dyDescent="0.2">
      <c r="J12" s="291"/>
      <c r="K12" s="291"/>
      <c r="L12" s="291"/>
      <c r="M12" s="291"/>
      <c r="N12" s="291"/>
      <c r="O12" s="291"/>
      <c r="P12" s="291"/>
      <c r="Q12" s="291"/>
      <c r="R12" s="291"/>
      <c r="S12" s="291"/>
      <c r="T12" s="291"/>
      <c r="U12" s="291"/>
      <c r="V12" s="291"/>
      <c r="W12" s="291"/>
      <c r="X12" s="291"/>
      <c r="Y12" s="291"/>
      <c r="Z12" s="291"/>
      <c r="AA12" s="291"/>
      <c r="AB12" s="291"/>
      <c r="AC12" s="291"/>
    </row>
    <row r="13" spans="1:29" ht="13.5" thickBot="1" x14ac:dyDescent="0.25"/>
    <row r="14" spans="1:29" ht="20.100000000000001" customHeight="1" thickBot="1" x14ac:dyDescent="0.25">
      <c r="A14" s="1215" t="str">
        <f>"BUDGET "&amp;B4</f>
        <v>BUDGET 2022</v>
      </c>
      <c r="B14" s="1216"/>
      <c r="C14" s="1216"/>
      <c r="D14" s="1216"/>
      <c r="E14" s="1216"/>
      <c r="F14" s="1216"/>
      <c r="G14" s="1216"/>
      <c r="H14" s="1216"/>
      <c r="I14" s="1216"/>
      <c r="J14" s="1217"/>
    </row>
    <row r="15" spans="1:29" ht="47.45" customHeight="1" x14ac:dyDescent="0.2">
      <c r="A15" s="925" t="s">
        <v>266</v>
      </c>
      <c r="B15" s="926" t="s">
        <v>297</v>
      </c>
      <c r="C15" s="927" t="str">
        <f>"Oorspronkelijke meerwaarde op basis van iRAB voor activa einde boekjaar "&amp;B4-1</f>
        <v>Oorspronkelijke meerwaarde op basis van iRAB voor activa einde boekjaar 2021</v>
      </c>
      <c r="D15" s="927" t="str">
        <f>"Gecumuleerde afschrijvingen activa einde boekjaar "&amp; B4-1</f>
        <v>Gecumuleerde afschrijvingen activa einde boekjaar 2021</v>
      </c>
      <c r="E15" s="927" t="str">
        <f>"Nettoboekwaarde meerwaarde op basis van iRAB einde boekjaar "&amp; B4-1</f>
        <v>Nettoboekwaarde meerwaarde op basis van iRAB einde boekjaar 2021</v>
      </c>
      <c r="F15" s="927" t="str">
        <f>"Transfers boekjaar "&amp;B4</f>
        <v>Transfers boekjaar 2022</v>
      </c>
      <c r="G15" s="927" t="str">
        <f>"Afschrijvingen boekjaar "&amp;B4</f>
        <v>Afschrijvingen boekjaar 2022</v>
      </c>
      <c r="H15" s="996" t="str">
        <f>"Desinvesteringen boekjaar "&amp;B4&amp;" n.a.v. verkoop"</f>
        <v>Desinvesteringen boekjaar 2022 n.a.v. verkoop</v>
      </c>
      <c r="I15" s="996" t="str">
        <f>"Desinvesteringen boekjaar "&amp;B4&amp;" n.a.v. structuurwijziging"</f>
        <v>Desinvesteringen boekjaar 2022 n.a.v. structuurwijziging</v>
      </c>
      <c r="J15" s="927" t="str">
        <f>"Nettoboekwaarde meerwaarde op basis van iRAB einde boekjaar "&amp;B4</f>
        <v>Nettoboekwaarde meerwaarde op basis van iRAB einde boekjaar 2022</v>
      </c>
    </row>
    <row r="16" spans="1:29" ht="13.5" thickBot="1" x14ac:dyDescent="0.25">
      <c r="A16" s="902"/>
      <c r="B16" s="903"/>
      <c r="C16" s="904" t="s">
        <v>4</v>
      </c>
      <c r="D16" s="904" t="s">
        <v>8</v>
      </c>
      <c r="E16" s="904"/>
      <c r="F16" s="904" t="s">
        <v>4</v>
      </c>
      <c r="G16" s="904" t="s">
        <v>8</v>
      </c>
      <c r="H16" s="988" t="s">
        <v>8</v>
      </c>
      <c r="I16" s="988" t="s">
        <v>8</v>
      </c>
      <c r="J16" s="905"/>
    </row>
    <row r="17" spans="1:10" x14ac:dyDescent="0.2">
      <c r="A17" s="906" t="s">
        <v>267</v>
      </c>
      <c r="B17" s="1212">
        <v>0.02</v>
      </c>
      <c r="C17" s="611">
        <v>0</v>
      </c>
      <c r="D17" s="611">
        <v>0</v>
      </c>
      <c r="E17" s="907">
        <f t="shared" ref="E17:E60" si="0">+C17+D17</f>
        <v>0</v>
      </c>
      <c r="F17" s="611">
        <v>0</v>
      </c>
      <c r="G17" s="611">
        <v>0</v>
      </c>
      <c r="H17" s="989">
        <v>0</v>
      </c>
      <c r="I17" s="989">
        <v>0</v>
      </c>
      <c r="J17" s="908">
        <f>+SUM(E17:I17)</f>
        <v>0</v>
      </c>
    </row>
    <row r="18" spans="1:10" x14ac:dyDescent="0.2">
      <c r="A18" s="909" t="s">
        <v>268</v>
      </c>
      <c r="B18" s="1213"/>
      <c r="C18" s="612">
        <v>0</v>
      </c>
      <c r="D18" s="612">
        <v>0</v>
      </c>
      <c r="E18" s="910">
        <f t="shared" si="0"/>
        <v>0</v>
      </c>
      <c r="F18" s="612">
        <v>0</v>
      </c>
      <c r="G18" s="612">
        <v>0</v>
      </c>
      <c r="H18" s="990">
        <v>0</v>
      </c>
      <c r="I18" s="990">
        <v>0</v>
      </c>
      <c r="J18" s="911">
        <f t="shared" ref="J18:J61" si="1">+SUM(E18:I18)</f>
        <v>0</v>
      </c>
    </row>
    <row r="19" spans="1:10" x14ac:dyDescent="0.2">
      <c r="A19" s="909" t="s">
        <v>269</v>
      </c>
      <c r="B19" s="1213"/>
      <c r="C19" s="612">
        <v>0</v>
      </c>
      <c r="D19" s="612">
        <v>0</v>
      </c>
      <c r="E19" s="910">
        <f t="shared" si="0"/>
        <v>0</v>
      </c>
      <c r="F19" s="612">
        <v>0</v>
      </c>
      <c r="G19" s="612">
        <v>0</v>
      </c>
      <c r="H19" s="990">
        <v>0</v>
      </c>
      <c r="I19" s="990">
        <v>0</v>
      </c>
      <c r="J19" s="911">
        <f>+SUM(E19:I19)</f>
        <v>0</v>
      </c>
    </row>
    <row r="20" spans="1:10" x14ac:dyDescent="0.2">
      <c r="A20" s="909" t="s">
        <v>270</v>
      </c>
      <c r="B20" s="1213"/>
      <c r="C20" s="612">
        <v>0</v>
      </c>
      <c r="D20" s="612">
        <v>0</v>
      </c>
      <c r="E20" s="910">
        <f t="shared" si="0"/>
        <v>0</v>
      </c>
      <c r="F20" s="612">
        <v>0</v>
      </c>
      <c r="G20" s="612">
        <v>0</v>
      </c>
      <c r="H20" s="990">
        <v>0</v>
      </c>
      <c r="I20" s="990">
        <v>0</v>
      </c>
      <c r="J20" s="911">
        <f t="shared" si="1"/>
        <v>0</v>
      </c>
    </row>
    <row r="21" spans="1:10" x14ac:dyDescent="0.2">
      <c r="A21" s="909" t="s">
        <v>383</v>
      </c>
      <c r="B21" s="1213"/>
      <c r="C21" s="612">
        <v>0</v>
      </c>
      <c r="D21" s="612">
        <v>0</v>
      </c>
      <c r="E21" s="910">
        <f t="shared" si="0"/>
        <v>0</v>
      </c>
      <c r="F21" s="612">
        <v>0</v>
      </c>
      <c r="G21" s="612">
        <v>0</v>
      </c>
      <c r="H21" s="990">
        <v>0</v>
      </c>
      <c r="I21" s="990">
        <v>0</v>
      </c>
      <c r="J21" s="911">
        <f t="shared" si="1"/>
        <v>0</v>
      </c>
    </row>
    <row r="22" spans="1:10" x14ac:dyDescent="0.2">
      <c r="A22" s="909" t="s">
        <v>384</v>
      </c>
      <c r="B22" s="1213"/>
      <c r="C22" s="612">
        <v>0</v>
      </c>
      <c r="D22" s="612">
        <v>0</v>
      </c>
      <c r="E22" s="910">
        <f t="shared" si="0"/>
        <v>0</v>
      </c>
      <c r="F22" s="612">
        <v>0</v>
      </c>
      <c r="G22" s="612">
        <v>0</v>
      </c>
      <c r="H22" s="990">
        <v>0</v>
      </c>
      <c r="I22" s="990">
        <v>0</v>
      </c>
      <c r="J22" s="911">
        <f t="shared" si="1"/>
        <v>0</v>
      </c>
    </row>
    <row r="23" spans="1:10" x14ac:dyDescent="0.2">
      <c r="A23" s="909" t="s">
        <v>271</v>
      </c>
      <c r="B23" s="1213"/>
      <c r="C23" s="612">
        <v>0</v>
      </c>
      <c r="D23" s="612">
        <v>0</v>
      </c>
      <c r="E23" s="910">
        <f t="shared" si="0"/>
        <v>0</v>
      </c>
      <c r="F23" s="612">
        <v>0</v>
      </c>
      <c r="G23" s="612">
        <v>0</v>
      </c>
      <c r="H23" s="990">
        <v>0</v>
      </c>
      <c r="I23" s="990">
        <v>0</v>
      </c>
      <c r="J23" s="911">
        <f t="shared" si="1"/>
        <v>0</v>
      </c>
    </row>
    <row r="24" spans="1:10" x14ac:dyDescent="0.2">
      <c r="A24" s="909" t="s">
        <v>385</v>
      </c>
      <c r="B24" s="1213"/>
      <c r="C24" s="612">
        <v>0</v>
      </c>
      <c r="D24" s="612">
        <v>0</v>
      </c>
      <c r="E24" s="910">
        <f t="shared" si="0"/>
        <v>0</v>
      </c>
      <c r="F24" s="612">
        <v>0</v>
      </c>
      <c r="G24" s="612">
        <v>0</v>
      </c>
      <c r="H24" s="990">
        <v>0</v>
      </c>
      <c r="I24" s="990">
        <v>0</v>
      </c>
      <c r="J24" s="911">
        <f t="shared" si="1"/>
        <v>0</v>
      </c>
    </row>
    <row r="25" spans="1:10" x14ac:dyDescent="0.2">
      <c r="A25" s="909" t="s">
        <v>272</v>
      </c>
      <c r="B25" s="1213"/>
      <c r="C25" s="612">
        <v>0</v>
      </c>
      <c r="D25" s="612">
        <v>0</v>
      </c>
      <c r="E25" s="910">
        <f t="shared" si="0"/>
        <v>0</v>
      </c>
      <c r="F25" s="612">
        <v>0</v>
      </c>
      <c r="G25" s="612">
        <v>0</v>
      </c>
      <c r="H25" s="990">
        <v>0</v>
      </c>
      <c r="I25" s="990">
        <v>0</v>
      </c>
      <c r="J25" s="911">
        <f t="shared" si="1"/>
        <v>0</v>
      </c>
    </row>
    <row r="26" spans="1:10" x14ac:dyDescent="0.2">
      <c r="A26" s="909" t="s">
        <v>386</v>
      </c>
      <c r="B26" s="1213"/>
      <c r="C26" s="612">
        <v>0</v>
      </c>
      <c r="D26" s="612">
        <v>0</v>
      </c>
      <c r="E26" s="910">
        <f t="shared" si="0"/>
        <v>0</v>
      </c>
      <c r="F26" s="612">
        <v>0</v>
      </c>
      <c r="G26" s="612">
        <v>0</v>
      </c>
      <c r="H26" s="990">
        <v>0</v>
      </c>
      <c r="I26" s="990">
        <v>0</v>
      </c>
      <c r="J26" s="911">
        <f t="shared" si="1"/>
        <v>0</v>
      </c>
    </row>
    <row r="27" spans="1:10" x14ac:dyDescent="0.2">
      <c r="A27" s="909" t="s">
        <v>387</v>
      </c>
      <c r="B27" s="1213"/>
      <c r="C27" s="612">
        <v>0</v>
      </c>
      <c r="D27" s="612">
        <v>0</v>
      </c>
      <c r="E27" s="910">
        <f t="shared" si="0"/>
        <v>0</v>
      </c>
      <c r="F27" s="612">
        <v>0</v>
      </c>
      <c r="G27" s="612">
        <v>0</v>
      </c>
      <c r="H27" s="990">
        <v>0</v>
      </c>
      <c r="I27" s="990">
        <v>0</v>
      </c>
      <c r="J27" s="911">
        <f t="shared" si="1"/>
        <v>0</v>
      </c>
    </row>
    <row r="28" spans="1:10" x14ac:dyDescent="0.2">
      <c r="A28" s="909" t="s">
        <v>273</v>
      </c>
      <c r="B28" s="1213"/>
      <c r="C28" s="612">
        <v>0</v>
      </c>
      <c r="D28" s="612">
        <v>0</v>
      </c>
      <c r="E28" s="910">
        <f t="shared" si="0"/>
        <v>0</v>
      </c>
      <c r="F28" s="612">
        <v>0</v>
      </c>
      <c r="G28" s="612">
        <v>0</v>
      </c>
      <c r="H28" s="990">
        <v>0</v>
      </c>
      <c r="I28" s="990">
        <v>0</v>
      </c>
      <c r="J28" s="911">
        <f t="shared" si="1"/>
        <v>0</v>
      </c>
    </row>
    <row r="29" spans="1:10" x14ac:dyDescent="0.2">
      <c r="A29" s="909" t="s">
        <v>388</v>
      </c>
      <c r="B29" s="1213"/>
      <c r="C29" s="612">
        <v>0</v>
      </c>
      <c r="D29" s="612">
        <v>0</v>
      </c>
      <c r="E29" s="910">
        <f t="shared" si="0"/>
        <v>0</v>
      </c>
      <c r="F29" s="612">
        <v>0</v>
      </c>
      <c r="G29" s="612">
        <v>0</v>
      </c>
      <c r="H29" s="990">
        <v>0</v>
      </c>
      <c r="I29" s="990">
        <v>0</v>
      </c>
      <c r="J29" s="911">
        <f t="shared" si="1"/>
        <v>0</v>
      </c>
    </row>
    <row r="30" spans="1:10" x14ac:dyDescent="0.2">
      <c r="A30" s="909" t="s">
        <v>274</v>
      </c>
      <c r="B30" s="1213"/>
      <c r="C30" s="612">
        <v>0</v>
      </c>
      <c r="D30" s="612">
        <v>0</v>
      </c>
      <c r="E30" s="910">
        <f t="shared" si="0"/>
        <v>0</v>
      </c>
      <c r="F30" s="612">
        <v>0</v>
      </c>
      <c r="G30" s="612">
        <v>0</v>
      </c>
      <c r="H30" s="990">
        <v>0</v>
      </c>
      <c r="I30" s="990">
        <v>0</v>
      </c>
      <c r="J30" s="911">
        <f t="shared" si="1"/>
        <v>0</v>
      </c>
    </row>
    <row r="31" spans="1:10" x14ac:dyDescent="0.2">
      <c r="A31" s="909" t="s">
        <v>389</v>
      </c>
      <c r="B31" s="1213"/>
      <c r="C31" s="612">
        <v>0</v>
      </c>
      <c r="D31" s="612">
        <v>0</v>
      </c>
      <c r="E31" s="910">
        <f t="shared" si="0"/>
        <v>0</v>
      </c>
      <c r="F31" s="612">
        <v>0</v>
      </c>
      <c r="G31" s="612">
        <v>0</v>
      </c>
      <c r="H31" s="990">
        <v>0</v>
      </c>
      <c r="I31" s="990">
        <v>0</v>
      </c>
      <c r="J31" s="911">
        <f t="shared" si="1"/>
        <v>0</v>
      </c>
    </row>
    <row r="32" spans="1:10" x14ac:dyDescent="0.2">
      <c r="A32" s="909" t="s">
        <v>390</v>
      </c>
      <c r="B32" s="1213"/>
      <c r="C32" s="612">
        <v>0</v>
      </c>
      <c r="D32" s="612">
        <v>0</v>
      </c>
      <c r="E32" s="910">
        <f t="shared" si="0"/>
        <v>0</v>
      </c>
      <c r="F32" s="612">
        <v>0</v>
      </c>
      <c r="G32" s="612">
        <v>0</v>
      </c>
      <c r="H32" s="990">
        <v>0</v>
      </c>
      <c r="I32" s="990">
        <v>0</v>
      </c>
      <c r="J32" s="911">
        <f t="shared" si="1"/>
        <v>0</v>
      </c>
    </row>
    <row r="33" spans="1:10" x14ac:dyDescent="0.2">
      <c r="A33" s="909" t="s">
        <v>275</v>
      </c>
      <c r="B33" s="1213"/>
      <c r="C33" s="612">
        <v>0</v>
      </c>
      <c r="D33" s="612">
        <v>0</v>
      </c>
      <c r="E33" s="910">
        <f t="shared" si="0"/>
        <v>0</v>
      </c>
      <c r="F33" s="612">
        <v>0</v>
      </c>
      <c r="G33" s="612">
        <v>0</v>
      </c>
      <c r="H33" s="990">
        <v>0</v>
      </c>
      <c r="I33" s="990">
        <v>0</v>
      </c>
      <c r="J33" s="911">
        <f t="shared" si="1"/>
        <v>0</v>
      </c>
    </row>
    <row r="34" spans="1:10" x14ac:dyDescent="0.2">
      <c r="A34" s="909" t="s">
        <v>391</v>
      </c>
      <c r="B34" s="1213"/>
      <c r="C34" s="612">
        <v>0</v>
      </c>
      <c r="D34" s="612">
        <v>0</v>
      </c>
      <c r="E34" s="910">
        <f t="shared" si="0"/>
        <v>0</v>
      </c>
      <c r="F34" s="612">
        <v>0</v>
      </c>
      <c r="G34" s="612">
        <v>0</v>
      </c>
      <c r="H34" s="990">
        <v>0</v>
      </c>
      <c r="I34" s="990">
        <v>0</v>
      </c>
      <c r="J34" s="911">
        <f t="shared" si="1"/>
        <v>0</v>
      </c>
    </row>
    <row r="35" spans="1:10" x14ac:dyDescent="0.2">
      <c r="A35" s="909" t="s">
        <v>276</v>
      </c>
      <c r="B35" s="1213"/>
      <c r="C35" s="612">
        <v>0</v>
      </c>
      <c r="D35" s="612">
        <v>0</v>
      </c>
      <c r="E35" s="910">
        <f>+C35+D35</f>
        <v>0</v>
      </c>
      <c r="F35" s="612">
        <v>0</v>
      </c>
      <c r="G35" s="612">
        <v>0</v>
      </c>
      <c r="H35" s="990">
        <v>0</v>
      </c>
      <c r="I35" s="990">
        <v>0</v>
      </c>
      <c r="J35" s="911">
        <f t="shared" si="1"/>
        <v>0</v>
      </c>
    </row>
    <row r="36" spans="1:10" x14ac:dyDescent="0.2">
      <c r="A36" s="909" t="s">
        <v>277</v>
      </c>
      <c r="B36" s="1213"/>
      <c r="C36" s="612">
        <v>0</v>
      </c>
      <c r="D36" s="612">
        <v>0</v>
      </c>
      <c r="E36" s="910">
        <f t="shared" si="0"/>
        <v>0</v>
      </c>
      <c r="F36" s="612">
        <v>0</v>
      </c>
      <c r="G36" s="612">
        <v>0</v>
      </c>
      <c r="H36" s="990">
        <v>0</v>
      </c>
      <c r="I36" s="990">
        <v>0</v>
      </c>
      <c r="J36" s="911">
        <f t="shared" si="1"/>
        <v>0</v>
      </c>
    </row>
    <row r="37" spans="1:10" x14ac:dyDescent="0.2">
      <c r="A37" s="909" t="s">
        <v>392</v>
      </c>
      <c r="B37" s="1213"/>
      <c r="C37" s="612">
        <v>0</v>
      </c>
      <c r="D37" s="612">
        <v>0</v>
      </c>
      <c r="E37" s="910">
        <f t="shared" si="0"/>
        <v>0</v>
      </c>
      <c r="F37" s="612">
        <v>0</v>
      </c>
      <c r="G37" s="612">
        <v>0</v>
      </c>
      <c r="H37" s="990">
        <v>0</v>
      </c>
      <c r="I37" s="990">
        <v>0</v>
      </c>
      <c r="J37" s="911">
        <f t="shared" si="1"/>
        <v>0</v>
      </c>
    </row>
    <row r="38" spans="1:10" x14ac:dyDescent="0.2">
      <c r="A38" s="909" t="s">
        <v>393</v>
      </c>
      <c r="B38" s="1213"/>
      <c r="C38" s="612">
        <v>0</v>
      </c>
      <c r="D38" s="612">
        <v>0</v>
      </c>
      <c r="E38" s="910">
        <f t="shared" si="0"/>
        <v>0</v>
      </c>
      <c r="F38" s="612">
        <v>0</v>
      </c>
      <c r="G38" s="612">
        <v>0</v>
      </c>
      <c r="H38" s="990">
        <v>0</v>
      </c>
      <c r="I38" s="990">
        <v>0</v>
      </c>
      <c r="J38" s="911">
        <f t="shared" si="1"/>
        <v>0</v>
      </c>
    </row>
    <row r="39" spans="1:10" x14ac:dyDescent="0.2">
      <c r="A39" s="909" t="s">
        <v>278</v>
      </c>
      <c r="B39" s="1213"/>
      <c r="C39" s="612">
        <v>0</v>
      </c>
      <c r="D39" s="612">
        <v>0</v>
      </c>
      <c r="E39" s="910">
        <f t="shared" si="0"/>
        <v>0</v>
      </c>
      <c r="F39" s="612">
        <v>0</v>
      </c>
      <c r="G39" s="612">
        <v>0</v>
      </c>
      <c r="H39" s="990">
        <v>0</v>
      </c>
      <c r="I39" s="990">
        <v>0</v>
      </c>
      <c r="J39" s="911">
        <f t="shared" si="1"/>
        <v>0</v>
      </c>
    </row>
    <row r="40" spans="1:10" x14ac:dyDescent="0.2">
      <c r="A40" s="909" t="s">
        <v>394</v>
      </c>
      <c r="B40" s="1213"/>
      <c r="C40" s="612">
        <v>0</v>
      </c>
      <c r="D40" s="612">
        <v>0</v>
      </c>
      <c r="E40" s="910">
        <f t="shared" si="0"/>
        <v>0</v>
      </c>
      <c r="F40" s="612">
        <v>0</v>
      </c>
      <c r="G40" s="612">
        <v>0</v>
      </c>
      <c r="H40" s="990">
        <v>0</v>
      </c>
      <c r="I40" s="990">
        <v>0</v>
      </c>
      <c r="J40" s="911">
        <f t="shared" si="1"/>
        <v>0</v>
      </c>
    </row>
    <row r="41" spans="1:10" x14ac:dyDescent="0.2">
      <c r="A41" s="909" t="s">
        <v>279</v>
      </c>
      <c r="B41" s="1213"/>
      <c r="C41" s="612">
        <v>0</v>
      </c>
      <c r="D41" s="612">
        <v>0</v>
      </c>
      <c r="E41" s="910">
        <f t="shared" si="0"/>
        <v>0</v>
      </c>
      <c r="F41" s="612">
        <v>0</v>
      </c>
      <c r="G41" s="612">
        <v>0</v>
      </c>
      <c r="H41" s="990">
        <v>0</v>
      </c>
      <c r="I41" s="990">
        <v>0</v>
      </c>
      <c r="J41" s="911">
        <f t="shared" si="1"/>
        <v>0</v>
      </c>
    </row>
    <row r="42" spans="1:10" x14ac:dyDescent="0.2">
      <c r="A42" s="909" t="s">
        <v>395</v>
      </c>
      <c r="B42" s="1213"/>
      <c r="C42" s="612">
        <v>0</v>
      </c>
      <c r="D42" s="612">
        <v>0</v>
      </c>
      <c r="E42" s="910">
        <f t="shared" si="0"/>
        <v>0</v>
      </c>
      <c r="F42" s="612">
        <v>0</v>
      </c>
      <c r="G42" s="612">
        <v>0</v>
      </c>
      <c r="H42" s="990">
        <v>0</v>
      </c>
      <c r="I42" s="990">
        <v>0</v>
      </c>
      <c r="J42" s="911">
        <f t="shared" si="1"/>
        <v>0</v>
      </c>
    </row>
    <row r="43" spans="1:10" x14ac:dyDescent="0.2">
      <c r="A43" s="909" t="s">
        <v>396</v>
      </c>
      <c r="B43" s="1213"/>
      <c r="C43" s="612">
        <v>0</v>
      </c>
      <c r="D43" s="612">
        <v>0</v>
      </c>
      <c r="E43" s="910">
        <f t="shared" si="0"/>
        <v>0</v>
      </c>
      <c r="F43" s="612">
        <v>0</v>
      </c>
      <c r="G43" s="612">
        <v>0</v>
      </c>
      <c r="H43" s="990">
        <v>0</v>
      </c>
      <c r="I43" s="990">
        <v>0</v>
      </c>
      <c r="J43" s="911">
        <f t="shared" si="1"/>
        <v>0</v>
      </c>
    </row>
    <row r="44" spans="1:10" x14ac:dyDescent="0.2">
      <c r="A44" s="909" t="s">
        <v>280</v>
      </c>
      <c r="B44" s="1213"/>
      <c r="C44" s="612">
        <v>0</v>
      </c>
      <c r="D44" s="612">
        <v>0</v>
      </c>
      <c r="E44" s="910">
        <f t="shared" si="0"/>
        <v>0</v>
      </c>
      <c r="F44" s="612">
        <v>0</v>
      </c>
      <c r="G44" s="612">
        <v>0</v>
      </c>
      <c r="H44" s="990">
        <v>0</v>
      </c>
      <c r="I44" s="990">
        <v>0</v>
      </c>
      <c r="J44" s="911">
        <f t="shared" si="1"/>
        <v>0</v>
      </c>
    </row>
    <row r="45" spans="1:10" x14ac:dyDescent="0.2">
      <c r="A45" s="909" t="s">
        <v>397</v>
      </c>
      <c r="B45" s="1213"/>
      <c r="C45" s="612">
        <v>0</v>
      </c>
      <c r="D45" s="612">
        <v>0</v>
      </c>
      <c r="E45" s="910">
        <f t="shared" si="0"/>
        <v>0</v>
      </c>
      <c r="F45" s="612">
        <v>0</v>
      </c>
      <c r="G45" s="612">
        <v>0</v>
      </c>
      <c r="H45" s="990">
        <v>0</v>
      </c>
      <c r="I45" s="990">
        <v>0</v>
      </c>
      <c r="J45" s="911">
        <f t="shared" si="1"/>
        <v>0</v>
      </c>
    </row>
    <row r="46" spans="1:10" x14ac:dyDescent="0.2">
      <c r="A46" s="909" t="s">
        <v>281</v>
      </c>
      <c r="B46" s="1213"/>
      <c r="C46" s="612">
        <v>0</v>
      </c>
      <c r="D46" s="612">
        <v>0</v>
      </c>
      <c r="E46" s="910">
        <f t="shared" si="0"/>
        <v>0</v>
      </c>
      <c r="F46" s="612">
        <v>0</v>
      </c>
      <c r="G46" s="612">
        <v>0</v>
      </c>
      <c r="H46" s="990">
        <v>0</v>
      </c>
      <c r="I46" s="990">
        <v>0</v>
      </c>
      <c r="J46" s="911">
        <f t="shared" si="1"/>
        <v>0</v>
      </c>
    </row>
    <row r="47" spans="1:10" x14ac:dyDescent="0.2">
      <c r="A47" s="909" t="s">
        <v>282</v>
      </c>
      <c r="B47" s="1213"/>
      <c r="C47" s="612">
        <v>0</v>
      </c>
      <c r="D47" s="612">
        <v>0</v>
      </c>
      <c r="E47" s="910">
        <f t="shared" si="0"/>
        <v>0</v>
      </c>
      <c r="F47" s="612">
        <v>0</v>
      </c>
      <c r="G47" s="612">
        <v>0</v>
      </c>
      <c r="H47" s="990">
        <v>0</v>
      </c>
      <c r="I47" s="990">
        <v>0</v>
      </c>
      <c r="J47" s="911">
        <f t="shared" si="1"/>
        <v>0</v>
      </c>
    </row>
    <row r="48" spans="1:10" x14ac:dyDescent="0.2">
      <c r="A48" s="909" t="s">
        <v>283</v>
      </c>
      <c r="B48" s="1213"/>
      <c r="C48" s="612">
        <v>0</v>
      </c>
      <c r="D48" s="612">
        <v>0</v>
      </c>
      <c r="E48" s="910">
        <f t="shared" si="0"/>
        <v>0</v>
      </c>
      <c r="F48" s="612">
        <v>0</v>
      </c>
      <c r="G48" s="612">
        <v>0</v>
      </c>
      <c r="H48" s="990">
        <v>0</v>
      </c>
      <c r="I48" s="990">
        <v>0</v>
      </c>
      <c r="J48" s="911">
        <f t="shared" si="1"/>
        <v>0</v>
      </c>
    </row>
    <row r="49" spans="1:10" x14ac:dyDescent="0.2">
      <c r="A49" s="909" t="s">
        <v>284</v>
      </c>
      <c r="B49" s="1213"/>
      <c r="C49" s="612">
        <v>0</v>
      </c>
      <c r="D49" s="612">
        <v>0</v>
      </c>
      <c r="E49" s="910">
        <f t="shared" si="0"/>
        <v>0</v>
      </c>
      <c r="F49" s="612">
        <v>0</v>
      </c>
      <c r="G49" s="612">
        <v>0</v>
      </c>
      <c r="H49" s="990">
        <v>0</v>
      </c>
      <c r="I49" s="990">
        <v>0</v>
      </c>
      <c r="J49" s="911">
        <f t="shared" si="1"/>
        <v>0</v>
      </c>
    </row>
    <row r="50" spans="1:10" x14ac:dyDescent="0.2">
      <c r="A50" s="909" t="s">
        <v>285</v>
      </c>
      <c r="B50" s="1213"/>
      <c r="C50" s="612">
        <v>0</v>
      </c>
      <c r="D50" s="612">
        <v>0</v>
      </c>
      <c r="E50" s="910">
        <f t="shared" si="0"/>
        <v>0</v>
      </c>
      <c r="F50" s="612">
        <v>0</v>
      </c>
      <c r="G50" s="612">
        <v>0</v>
      </c>
      <c r="H50" s="990">
        <v>0</v>
      </c>
      <c r="I50" s="990">
        <v>0</v>
      </c>
      <c r="J50" s="911">
        <f t="shared" si="1"/>
        <v>0</v>
      </c>
    </row>
    <row r="51" spans="1:10" x14ac:dyDescent="0.2">
      <c r="A51" s="909" t="s">
        <v>286</v>
      </c>
      <c r="B51" s="1213"/>
      <c r="C51" s="612">
        <v>0</v>
      </c>
      <c r="D51" s="612">
        <v>0</v>
      </c>
      <c r="E51" s="910">
        <f t="shared" si="0"/>
        <v>0</v>
      </c>
      <c r="F51" s="612">
        <v>0</v>
      </c>
      <c r="G51" s="612">
        <v>0</v>
      </c>
      <c r="H51" s="990">
        <v>0</v>
      </c>
      <c r="I51" s="990">
        <v>0</v>
      </c>
      <c r="J51" s="911">
        <f t="shared" si="1"/>
        <v>0</v>
      </c>
    </row>
    <row r="52" spans="1:10" x14ac:dyDescent="0.2">
      <c r="A52" s="909" t="s">
        <v>287</v>
      </c>
      <c r="B52" s="1213"/>
      <c r="C52" s="612">
        <v>0</v>
      </c>
      <c r="D52" s="612">
        <v>0</v>
      </c>
      <c r="E52" s="910">
        <f t="shared" si="0"/>
        <v>0</v>
      </c>
      <c r="F52" s="612">
        <v>0</v>
      </c>
      <c r="G52" s="612">
        <v>0</v>
      </c>
      <c r="H52" s="990">
        <v>0</v>
      </c>
      <c r="I52" s="990">
        <v>0</v>
      </c>
      <c r="J52" s="911">
        <f t="shared" si="1"/>
        <v>0</v>
      </c>
    </row>
    <row r="53" spans="1:10" x14ac:dyDescent="0.2">
      <c r="A53" s="909" t="s">
        <v>298</v>
      </c>
      <c r="B53" s="1213"/>
      <c r="C53" s="612">
        <v>0</v>
      </c>
      <c r="D53" s="612">
        <v>0</v>
      </c>
      <c r="E53" s="910">
        <f t="shared" si="0"/>
        <v>0</v>
      </c>
      <c r="F53" s="612">
        <v>0</v>
      </c>
      <c r="G53" s="612">
        <v>0</v>
      </c>
      <c r="H53" s="990">
        <v>0</v>
      </c>
      <c r="I53" s="990">
        <v>0</v>
      </c>
      <c r="J53" s="911">
        <f t="shared" si="1"/>
        <v>0</v>
      </c>
    </row>
    <row r="54" spans="1:10" x14ac:dyDescent="0.2">
      <c r="A54" s="909" t="s">
        <v>288</v>
      </c>
      <c r="B54" s="1213"/>
      <c r="C54" s="612">
        <v>0</v>
      </c>
      <c r="D54" s="612">
        <v>0</v>
      </c>
      <c r="E54" s="910">
        <f t="shared" si="0"/>
        <v>0</v>
      </c>
      <c r="F54" s="612">
        <v>0</v>
      </c>
      <c r="G54" s="612">
        <v>0</v>
      </c>
      <c r="H54" s="990">
        <v>0</v>
      </c>
      <c r="I54" s="990">
        <v>0</v>
      </c>
      <c r="J54" s="911">
        <f t="shared" si="1"/>
        <v>0</v>
      </c>
    </row>
    <row r="55" spans="1:10" x14ac:dyDescent="0.2">
      <c r="A55" s="909" t="s">
        <v>289</v>
      </c>
      <c r="B55" s="1213"/>
      <c r="C55" s="612">
        <v>0</v>
      </c>
      <c r="D55" s="612">
        <v>0</v>
      </c>
      <c r="E55" s="910">
        <f t="shared" si="0"/>
        <v>0</v>
      </c>
      <c r="F55" s="612">
        <v>0</v>
      </c>
      <c r="G55" s="612">
        <v>0</v>
      </c>
      <c r="H55" s="990">
        <v>0</v>
      </c>
      <c r="I55" s="990">
        <v>0</v>
      </c>
      <c r="J55" s="911">
        <f t="shared" si="1"/>
        <v>0</v>
      </c>
    </row>
    <row r="56" spans="1:10" x14ac:dyDescent="0.2">
      <c r="A56" s="909" t="s">
        <v>290</v>
      </c>
      <c r="B56" s="1213"/>
      <c r="C56" s="612">
        <v>0</v>
      </c>
      <c r="D56" s="612">
        <v>0</v>
      </c>
      <c r="E56" s="910">
        <f t="shared" si="0"/>
        <v>0</v>
      </c>
      <c r="F56" s="612">
        <v>0</v>
      </c>
      <c r="G56" s="612">
        <v>0</v>
      </c>
      <c r="H56" s="990">
        <v>0</v>
      </c>
      <c r="I56" s="990">
        <v>0</v>
      </c>
      <c r="J56" s="911">
        <f t="shared" si="1"/>
        <v>0</v>
      </c>
    </row>
    <row r="57" spans="1:10" x14ac:dyDescent="0.2">
      <c r="A57" s="909" t="s">
        <v>291</v>
      </c>
      <c r="B57" s="1213"/>
      <c r="C57" s="612">
        <v>0</v>
      </c>
      <c r="D57" s="612">
        <v>0</v>
      </c>
      <c r="E57" s="910">
        <f t="shared" si="0"/>
        <v>0</v>
      </c>
      <c r="F57" s="612">
        <v>0</v>
      </c>
      <c r="G57" s="612">
        <v>0</v>
      </c>
      <c r="H57" s="990">
        <v>0</v>
      </c>
      <c r="I57" s="990">
        <v>0</v>
      </c>
      <c r="J57" s="911">
        <f t="shared" si="1"/>
        <v>0</v>
      </c>
    </row>
    <row r="58" spans="1:10" x14ac:dyDescent="0.2">
      <c r="A58" s="909" t="s">
        <v>292</v>
      </c>
      <c r="B58" s="1213"/>
      <c r="C58" s="612">
        <v>0</v>
      </c>
      <c r="D58" s="612">
        <v>0</v>
      </c>
      <c r="E58" s="910">
        <f t="shared" si="0"/>
        <v>0</v>
      </c>
      <c r="F58" s="612">
        <v>0</v>
      </c>
      <c r="G58" s="612">
        <v>0</v>
      </c>
      <c r="H58" s="990">
        <v>0</v>
      </c>
      <c r="I58" s="990">
        <v>0</v>
      </c>
      <c r="J58" s="911">
        <f t="shared" si="1"/>
        <v>0</v>
      </c>
    </row>
    <row r="59" spans="1:10" x14ac:dyDescent="0.2">
      <c r="A59" s="909" t="s">
        <v>293</v>
      </c>
      <c r="B59" s="1213"/>
      <c r="C59" s="613">
        <v>0</v>
      </c>
      <c r="D59" s="612">
        <v>0</v>
      </c>
      <c r="E59" s="910">
        <f t="shared" si="0"/>
        <v>0</v>
      </c>
      <c r="F59" s="612">
        <v>0</v>
      </c>
      <c r="G59" s="612">
        <v>0</v>
      </c>
      <c r="H59" s="990">
        <v>0</v>
      </c>
      <c r="I59" s="990">
        <v>0</v>
      </c>
      <c r="J59" s="911">
        <f t="shared" si="1"/>
        <v>0</v>
      </c>
    </row>
    <row r="60" spans="1:10" x14ac:dyDescent="0.2">
      <c r="A60" s="909" t="s">
        <v>294</v>
      </c>
      <c r="B60" s="1213"/>
      <c r="C60" s="612">
        <v>0</v>
      </c>
      <c r="D60" s="612">
        <v>0</v>
      </c>
      <c r="E60" s="910">
        <f t="shared" si="0"/>
        <v>0</v>
      </c>
      <c r="F60" s="612">
        <v>0</v>
      </c>
      <c r="G60" s="612">
        <v>0</v>
      </c>
      <c r="H60" s="990">
        <v>0</v>
      </c>
      <c r="I60" s="990">
        <v>0</v>
      </c>
      <c r="J60" s="911">
        <f t="shared" si="1"/>
        <v>0</v>
      </c>
    </row>
    <row r="61" spans="1:10" ht="13.5" thickBot="1" x14ac:dyDescent="0.25">
      <c r="A61" s="912" t="s">
        <v>295</v>
      </c>
      <c r="B61" s="1214"/>
      <c r="C61" s="614">
        <v>0</v>
      </c>
      <c r="D61" s="614">
        <v>0</v>
      </c>
      <c r="E61" s="913">
        <f>+C61+D61</f>
        <v>0</v>
      </c>
      <c r="F61" s="614">
        <v>0</v>
      </c>
      <c r="G61" s="614">
        <v>0</v>
      </c>
      <c r="H61" s="991">
        <v>0</v>
      </c>
      <c r="I61" s="991">
        <v>0</v>
      </c>
      <c r="J61" s="914">
        <f t="shared" si="1"/>
        <v>0</v>
      </c>
    </row>
    <row r="62" spans="1:10" x14ac:dyDescent="0.2">
      <c r="A62" s="915"/>
      <c r="B62" s="916"/>
      <c r="C62" s="917"/>
      <c r="D62" s="917"/>
      <c r="E62" s="917"/>
      <c r="F62" s="917"/>
      <c r="G62" s="917"/>
      <c r="H62" s="992"/>
      <c r="I62" s="992"/>
      <c r="J62" s="917"/>
    </row>
    <row r="63" spans="1:10" x14ac:dyDescent="0.2">
      <c r="A63" s="915" t="s">
        <v>296</v>
      </c>
      <c r="B63" s="916"/>
      <c r="C63" s="918">
        <f t="shared" ref="C63:J63" si="2">SUM(C17:C61)</f>
        <v>0</v>
      </c>
      <c r="D63" s="918">
        <f t="shared" si="2"/>
        <v>0</v>
      </c>
      <c r="E63" s="918">
        <f t="shared" si="2"/>
        <v>0</v>
      </c>
      <c r="F63" s="918">
        <f t="shared" ref="F63" si="3">SUM(F17:F61)</f>
        <v>0</v>
      </c>
      <c r="G63" s="918">
        <f t="shared" si="2"/>
        <v>0</v>
      </c>
      <c r="H63" s="993">
        <f t="shared" si="2"/>
        <v>0</v>
      </c>
      <c r="I63" s="993">
        <f t="shared" ref="I63" si="4">SUM(I17:I61)</f>
        <v>0</v>
      </c>
      <c r="J63" s="918">
        <f t="shared" si="2"/>
        <v>0</v>
      </c>
    </row>
    <row r="64" spans="1:10" ht="13.5" thickBot="1" x14ac:dyDescent="0.25">
      <c r="A64" s="919"/>
      <c r="B64" s="920"/>
      <c r="C64" s="921"/>
      <c r="D64" s="921"/>
      <c r="E64" s="921"/>
      <c r="F64" s="921"/>
      <c r="G64" s="921"/>
      <c r="H64" s="994"/>
      <c r="I64" s="994"/>
      <c r="J64" s="922"/>
    </row>
    <row r="65" spans="1:10" s="924" customFormat="1" ht="12" x14ac:dyDescent="0.2">
      <c r="A65" s="923"/>
      <c r="B65" s="923"/>
      <c r="H65" s="995"/>
      <c r="I65" s="995"/>
    </row>
    <row r="66" spans="1:10" s="924" customFormat="1" ht="12" x14ac:dyDescent="0.2">
      <c r="H66" s="995"/>
      <c r="I66" s="995"/>
    </row>
    <row r="67" spans="1:10" ht="13.5" thickBot="1" x14ac:dyDescent="0.25"/>
    <row r="68" spans="1:10" ht="20.100000000000001" customHeight="1" thickBot="1" x14ac:dyDescent="0.25">
      <c r="A68" s="1215" t="str">
        <f>"REALITEIT "&amp;B4</f>
        <v>REALITEIT 2022</v>
      </c>
      <c r="B68" s="1216"/>
      <c r="C68" s="1216"/>
      <c r="D68" s="1216"/>
      <c r="E68" s="1216"/>
      <c r="F68" s="1216"/>
      <c r="G68" s="1216"/>
      <c r="H68" s="1216"/>
      <c r="I68" s="1216"/>
      <c r="J68" s="1217"/>
    </row>
    <row r="69" spans="1:10" ht="47.45" customHeight="1" x14ac:dyDescent="0.2">
      <c r="A69" s="925" t="s">
        <v>266</v>
      </c>
      <c r="B69" s="926" t="s">
        <v>297</v>
      </c>
      <c r="C69" s="927" t="str">
        <f>"Oorspronkelijke meerwaarde op basis van iRAB voor activa einde boekjaar "&amp;B4-1</f>
        <v>Oorspronkelijke meerwaarde op basis van iRAB voor activa einde boekjaar 2021</v>
      </c>
      <c r="D69" s="927" t="str">
        <f>"Gecumuleerde afschrijvingen activa einde boekjaar "&amp; B4-1</f>
        <v>Gecumuleerde afschrijvingen activa einde boekjaar 2021</v>
      </c>
      <c r="E69" s="927" t="str">
        <f>"Nettoboekwaarde meerwaarde op basis van iRAB einde boekjaar "&amp; B4-1</f>
        <v>Nettoboekwaarde meerwaarde op basis van iRAB einde boekjaar 2021</v>
      </c>
      <c r="F69" s="927" t="str">
        <f>"Transfers boekjaar "&amp;B4</f>
        <v>Transfers boekjaar 2022</v>
      </c>
      <c r="G69" s="927" t="str">
        <f>"Afschrijvingen boekjaar "&amp;B4</f>
        <v>Afschrijvingen boekjaar 2022</v>
      </c>
      <c r="H69" s="996" t="str">
        <f>"Desinvesteringen boekjaar "&amp;B4&amp;" n.a.v. verkoop"</f>
        <v>Desinvesteringen boekjaar 2022 n.a.v. verkoop</v>
      </c>
      <c r="I69" s="996" t="str">
        <f>"Desinvesteringen boekjaar "&amp;B4&amp;" n.a.v. structuurwijziging"</f>
        <v>Desinvesteringen boekjaar 2022 n.a.v. structuurwijziging</v>
      </c>
      <c r="J69" s="927" t="str">
        <f>"Nettoboekwaarde meerwaarde op basis van iRAB einde boekjaar "&amp;B4</f>
        <v>Nettoboekwaarde meerwaarde op basis van iRAB einde boekjaar 2022</v>
      </c>
    </row>
    <row r="70" spans="1:10" ht="13.5" thickBot="1" x14ac:dyDescent="0.25">
      <c r="A70" s="902"/>
      <c r="B70" s="903"/>
      <c r="C70" s="904" t="s">
        <v>4</v>
      </c>
      <c r="D70" s="904" t="s">
        <v>8</v>
      </c>
      <c r="E70" s="904"/>
      <c r="F70" s="904" t="s">
        <v>4</v>
      </c>
      <c r="G70" s="904" t="s">
        <v>8</v>
      </c>
      <c r="H70" s="988" t="s">
        <v>8</v>
      </c>
      <c r="I70" s="988" t="s">
        <v>8</v>
      </c>
      <c r="J70" s="905"/>
    </row>
    <row r="71" spans="1:10" x14ac:dyDescent="0.2">
      <c r="A71" s="906" t="s">
        <v>267</v>
      </c>
      <c r="B71" s="1212">
        <v>0.02</v>
      </c>
      <c r="C71" s="611">
        <v>0</v>
      </c>
      <c r="D71" s="611">
        <v>0</v>
      </c>
      <c r="E71" s="907">
        <f t="shared" ref="E71:E88" si="5">+C71+D71</f>
        <v>0</v>
      </c>
      <c r="F71" s="611">
        <v>0</v>
      </c>
      <c r="G71" s="611">
        <v>0</v>
      </c>
      <c r="H71" s="989">
        <v>0</v>
      </c>
      <c r="I71" s="989">
        <v>0</v>
      </c>
      <c r="J71" s="908">
        <f>+SUM(E71:I71)</f>
        <v>0</v>
      </c>
    </row>
    <row r="72" spans="1:10" x14ac:dyDescent="0.2">
      <c r="A72" s="909" t="s">
        <v>268</v>
      </c>
      <c r="B72" s="1213"/>
      <c r="C72" s="612">
        <v>0</v>
      </c>
      <c r="D72" s="612">
        <v>0</v>
      </c>
      <c r="E72" s="910">
        <f t="shared" si="5"/>
        <v>0</v>
      </c>
      <c r="F72" s="612">
        <v>0</v>
      </c>
      <c r="G72" s="612">
        <v>0</v>
      </c>
      <c r="H72" s="990">
        <v>0</v>
      </c>
      <c r="I72" s="990">
        <v>0</v>
      </c>
      <c r="J72" s="911">
        <f t="shared" ref="J72:J114" si="6">+SUM(E72:I72)</f>
        <v>0</v>
      </c>
    </row>
    <row r="73" spans="1:10" x14ac:dyDescent="0.2">
      <c r="A73" s="909" t="s">
        <v>269</v>
      </c>
      <c r="B73" s="1213"/>
      <c r="C73" s="612">
        <v>0</v>
      </c>
      <c r="D73" s="612">
        <v>0</v>
      </c>
      <c r="E73" s="910">
        <f t="shared" si="5"/>
        <v>0</v>
      </c>
      <c r="F73" s="612">
        <v>0</v>
      </c>
      <c r="G73" s="612">
        <v>0</v>
      </c>
      <c r="H73" s="990">
        <v>0</v>
      </c>
      <c r="I73" s="990">
        <v>0</v>
      </c>
      <c r="J73" s="911">
        <f t="shared" si="6"/>
        <v>0</v>
      </c>
    </row>
    <row r="74" spans="1:10" x14ac:dyDescent="0.2">
      <c r="A74" s="909" t="s">
        <v>270</v>
      </c>
      <c r="B74" s="1213"/>
      <c r="C74" s="612">
        <v>0</v>
      </c>
      <c r="D74" s="612">
        <v>0</v>
      </c>
      <c r="E74" s="910">
        <f t="shared" si="5"/>
        <v>0</v>
      </c>
      <c r="F74" s="612">
        <v>0</v>
      </c>
      <c r="G74" s="612">
        <v>0</v>
      </c>
      <c r="H74" s="990">
        <v>0</v>
      </c>
      <c r="I74" s="990">
        <v>0</v>
      </c>
      <c r="J74" s="911">
        <f t="shared" si="6"/>
        <v>0</v>
      </c>
    </row>
    <row r="75" spans="1:10" x14ac:dyDescent="0.2">
      <c r="A75" s="909" t="s">
        <v>383</v>
      </c>
      <c r="B75" s="1213"/>
      <c r="C75" s="612">
        <v>0</v>
      </c>
      <c r="D75" s="612">
        <v>0</v>
      </c>
      <c r="E75" s="910">
        <f t="shared" si="5"/>
        <v>0</v>
      </c>
      <c r="F75" s="612">
        <v>0</v>
      </c>
      <c r="G75" s="612">
        <v>0</v>
      </c>
      <c r="H75" s="990">
        <v>0</v>
      </c>
      <c r="I75" s="990">
        <v>0</v>
      </c>
      <c r="J75" s="911">
        <f t="shared" si="6"/>
        <v>0</v>
      </c>
    </row>
    <row r="76" spans="1:10" x14ac:dyDescent="0.2">
      <c r="A76" s="909" t="s">
        <v>384</v>
      </c>
      <c r="B76" s="1213"/>
      <c r="C76" s="612">
        <v>0</v>
      </c>
      <c r="D76" s="612">
        <v>0</v>
      </c>
      <c r="E76" s="910">
        <f t="shared" si="5"/>
        <v>0</v>
      </c>
      <c r="F76" s="612">
        <v>0</v>
      </c>
      <c r="G76" s="612">
        <v>0</v>
      </c>
      <c r="H76" s="990">
        <v>0</v>
      </c>
      <c r="I76" s="990">
        <v>0</v>
      </c>
      <c r="J76" s="911">
        <f t="shared" si="6"/>
        <v>0</v>
      </c>
    </row>
    <row r="77" spans="1:10" x14ac:dyDescent="0.2">
      <c r="A77" s="909" t="s">
        <v>271</v>
      </c>
      <c r="B77" s="1213"/>
      <c r="C77" s="612">
        <v>0</v>
      </c>
      <c r="D77" s="612">
        <v>0</v>
      </c>
      <c r="E77" s="910">
        <f t="shared" si="5"/>
        <v>0</v>
      </c>
      <c r="F77" s="612">
        <v>0</v>
      </c>
      <c r="G77" s="612">
        <v>0</v>
      </c>
      <c r="H77" s="990">
        <v>0</v>
      </c>
      <c r="I77" s="990">
        <v>0</v>
      </c>
      <c r="J77" s="911">
        <f t="shared" si="6"/>
        <v>0</v>
      </c>
    </row>
    <row r="78" spans="1:10" x14ac:dyDescent="0.2">
      <c r="A78" s="909" t="s">
        <v>385</v>
      </c>
      <c r="B78" s="1213"/>
      <c r="C78" s="612">
        <v>0</v>
      </c>
      <c r="D78" s="612">
        <v>0</v>
      </c>
      <c r="E78" s="910">
        <f t="shared" si="5"/>
        <v>0</v>
      </c>
      <c r="F78" s="612">
        <v>0</v>
      </c>
      <c r="G78" s="612">
        <v>0</v>
      </c>
      <c r="H78" s="990">
        <v>0</v>
      </c>
      <c r="I78" s="990">
        <v>0</v>
      </c>
      <c r="J78" s="911">
        <f t="shared" si="6"/>
        <v>0</v>
      </c>
    </row>
    <row r="79" spans="1:10" x14ac:dyDescent="0.2">
      <c r="A79" s="909" t="s">
        <v>272</v>
      </c>
      <c r="B79" s="1213"/>
      <c r="C79" s="612">
        <v>0</v>
      </c>
      <c r="D79" s="612">
        <v>0</v>
      </c>
      <c r="E79" s="910">
        <f t="shared" si="5"/>
        <v>0</v>
      </c>
      <c r="F79" s="612">
        <v>0</v>
      </c>
      <c r="G79" s="612">
        <v>0</v>
      </c>
      <c r="H79" s="990">
        <v>0</v>
      </c>
      <c r="I79" s="990">
        <v>0</v>
      </c>
      <c r="J79" s="911">
        <f t="shared" si="6"/>
        <v>0</v>
      </c>
    </row>
    <row r="80" spans="1:10" x14ac:dyDescent="0.2">
      <c r="A80" s="909" t="s">
        <v>386</v>
      </c>
      <c r="B80" s="1213"/>
      <c r="C80" s="612">
        <v>0</v>
      </c>
      <c r="D80" s="612">
        <v>0</v>
      </c>
      <c r="E80" s="910">
        <f t="shared" si="5"/>
        <v>0</v>
      </c>
      <c r="F80" s="612">
        <v>0</v>
      </c>
      <c r="G80" s="612">
        <v>0</v>
      </c>
      <c r="H80" s="990">
        <v>0</v>
      </c>
      <c r="I80" s="990">
        <v>0</v>
      </c>
      <c r="J80" s="911">
        <f t="shared" si="6"/>
        <v>0</v>
      </c>
    </row>
    <row r="81" spans="1:10" x14ac:dyDescent="0.2">
      <c r="A81" s="909" t="s">
        <v>387</v>
      </c>
      <c r="B81" s="1213"/>
      <c r="C81" s="612">
        <v>0</v>
      </c>
      <c r="D81" s="612">
        <v>0</v>
      </c>
      <c r="E81" s="910">
        <f t="shared" si="5"/>
        <v>0</v>
      </c>
      <c r="F81" s="612">
        <v>0</v>
      </c>
      <c r="G81" s="612">
        <v>0</v>
      </c>
      <c r="H81" s="990">
        <v>0</v>
      </c>
      <c r="I81" s="990">
        <v>0</v>
      </c>
      <c r="J81" s="911">
        <f t="shared" si="6"/>
        <v>0</v>
      </c>
    </row>
    <row r="82" spans="1:10" x14ac:dyDescent="0.2">
      <c r="A82" s="909" t="s">
        <v>273</v>
      </c>
      <c r="B82" s="1213"/>
      <c r="C82" s="612">
        <v>0</v>
      </c>
      <c r="D82" s="612">
        <v>0</v>
      </c>
      <c r="E82" s="910">
        <f t="shared" si="5"/>
        <v>0</v>
      </c>
      <c r="F82" s="612">
        <v>0</v>
      </c>
      <c r="G82" s="612">
        <v>0</v>
      </c>
      <c r="H82" s="990">
        <v>0</v>
      </c>
      <c r="I82" s="990">
        <v>0</v>
      </c>
      <c r="J82" s="911">
        <f t="shared" si="6"/>
        <v>0</v>
      </c>
    </row>
    <row r="83" spans="1:10" x14ac:dyDescent="0.2">
      <c r="A83" s="909" t="s">
        <v>388</v>
      </c>
      <c r="B83" s="1213"/>
      <c r="C83" s="612">
        <v>0</v>
      </c>
      <c r="D83" s="612">
        <v>0</v>
      </c>
      <c r="E83" s="910">
        <f t="shared" si="5"/>
        <v>0</v>
      </c>
      <c r="F83" s="612">
        <v>0</v>
      </c>
      <c r="G83" s="612">
        <v>0</v>
      </c>
      <c r="H83" s="990">
        <v>0</v>
      </c>
      <c r="I83" s="990">
        <v>0</v>
      </c>
      <c r="J83" s="911">
        <f t="shared" si="6"/>
        <v>0</v>
      </c>
    </row>
    <row r="84" spans="1:10" x14ac:dyDescent="0.2">
      <c r="A84" s="909" t="s">
        <v>274</v>
      </c>
      <c r="B84" s="1213"/>
      <c r="C84" s="612">
        <v>0</v>
      </c>
      <c r="D84" s="612">
        <v>0</v>
      </c>
      <c r="E84" s="910">
        <f t="shared" si="5"/>
        <v>0</v>
      </c>
      <c r="F84" s="612">
        <v>0</v>
      </c>
      <c r="G84" s="612">
        <v>0</v>
      </c>
      <c r="H84" s="990">
        <v>0</v>
      </c>
      <c r="I84" s="990">
        <v>0</v>
      </c>
      <c r="J84" s="911">
        <f t="shared" si="6"/>
        <v>0</v>
      </c>
    </row>
    <row r="85" spans="1:10" x14ac:dyDescent="0.2">
      <c r="A85" s="909" t="s">
        <v>389</v>
      </c>
      <c r="B85" s="1213"/>
      <c r="C85" s="612">
        <v>0</v>
      </c>
      <c r="D85" s="612">
        <v>0</v>
      </c>
      <c r="E85" s="910">
        <f t="shared" si="5"/>
        <v>0</v>
      </c>
      <c r="F85" s="612">
        <v>0</v>
      </c>
      <c r="G85" s="612">
        <v>0</v>
      </c>
      <c r="H85" s="990">
        <v>0</v>
      </c>
      <c r="I85" s="990">
        <v>0</v>
      </c>
      <c r="J85" s="911">
        <f t="shared" si="6"/>
        <v>0</v>
      </c>
    </row>
    <row r="86" spans="1:10" x14ac:dyDescent="0.2">
      <c r="A86" s="909" t="s">
        <v>390</v>
      </c>
      <c r="B86" s="1213"/>
      <c r="C86" s="612">
        <v>0</v>
      </c>
      <c r="D86" s="612">
        <v>0</v>
      </c>
      <c r="E86" s="910">
        <f t="shared" si="5"/>
        <v>0</v>
      </c>
      <c r="F86" s="612">
        <v>0</v>
      </c>
      <c r="G86" s="612">
        <v>0</v>
      </c>
      <c r="H86" s="990">
        <v>0</v>
      </c>
      <c r="I86" s="990">
        <v>0</v>
      </c>
      <c r="J86" s="911">
        <f t="shared" si="6"/>
        <v>0</v>
      </c>
    </row>
    <row r="87" spans="1:10" x14ac:dyDescent="0.2">
      <c r="A87" s="909" t="s">
        <v>275</v>
      </c>
      <c r="B87" s="1213"/>
      <c r="C87" s="612">
        <v>0</v>
      </c>
      <c r="D87" s="612">
        <v>0</v>
      </c>
      <c r="E87" s="910">
        <f t="shared" si="5"/>
        <v>0</v>
      </c>
      <c r="F87" s="612">
        <v>0</v>
      </c>
      <c r="G87" s="612">
        <v>0</v>
      </c>
      <c r="H87" s="990">
        <v>0</v>
      </c>
      <c r="I87" s="990">
        <v>0</v>
      </c>
      <c r="J87" s="911">
        <f t="shared" si="6"/>
        <v>0</v>
      </c>
    </row>
    <row r="88" spans="1:10" x14ac:dyDescent="0.2">
      <c r="A88" s="909" t="s">
        <v>391</v>
      </c>
      <c r="B88" s="1213"/>
      <c r="C88" s="612">
        <v>0</v>
      </c>
      <c r="D88" s="612">
        <v>0</v>
      </c>
      <c r="E88" s="910">
        <f t="shared" si="5"/>
        <v>0</v>
      </c>
      <c r="F88" s="612">
        <v>0</v>
      </c>
      <c r="G88" s="612">
        <v>0</v>
      </c>
      <c r="H88" s="990">
        <v>0</v>
      </c>
      <c r="I88" s="990">
        <v>0</v>
      </c>
      <c r="J88" s="911">
        <f t="shared" si="6"/>
        <v>0</v>
      </c>
    </row>
    <row r="89" spans="1:10" x14ac:dyDescent="0.2">
      <c r="A89" s="909" t="s">
        <v>276</v>
      </c>
      <c r="B89" s="1213"/>
      <c r="C89" s="612">
        <v>0</v>
      </c>
      <c r="D89" s="612">
        <v>0</v>
      </c>
      <c r="E89" s="910">
        <f>+C89+D89</f>
        <v>0</v>
      </c>
      <c r="F89" s="612">
        <v>0</v>
      </c>
      <c r="G89" s="612">
        <v>0</v>
      </c>
      <c r="H89" s="990">
        <v>0</v>
      </c>
      <c r="I89" s="990">
        <v>0</v>
      </c>
      <c r="J89" s="911">
        <f t="shared" si="6"/>
        <v>0</v>
      </c>
    </row>
    <row r="90" spans="1:10" x14ac:dyDescent="0.2">
      <c r="A90" s="909" t="s">
        <v>277</v>
      </c>
      <c r="B90" s="1213"/>
      <c r="C90" s="612">
        <v>0</v>
      </c>
      <c r="D90" s="612">
        <v>0</v>
      </c>
      <c r="E90" s="910">
        <f t="shared" ref="E90:E114" si="7">+C90+D90</f>
        <v>0</v>
      </c>
      <c r="F90" s="612">
        <v>0</v>
      </c>
      <c r="G90" s="612">
        <v>0</v>
      </c>
      <c r="H90" s="990">
        <v>0</v>
      </c>
      <c r="I90" s="990">
        <v>0</v>
      </c>
      <c r="J90" s="911">
        <f t="shared" si="6"/>
        <v>0</v>
      </c>
    </row>
    <row r="91" spans="1:10" x14ac:dyDescent="0.2">
      <c r="A91" s="909" t="s">
        <v>392</v>
      </c>
      <c r="B91" s="1213"/>
      <c r="C91" s="612">
        <v>0</v>
      </c>
      <c r="D91" s="612">
        <v>0</v>
      </c>
      <c r="E91" s="910">
        <f t="shared" si="7"/>
        <v>0</v>
      </c>
      <c r="F91" s="612">
        <v>0</v>
      </c>
      <c r="G91" s="612">
        <v>0</v>
      </c>
      <c r="H91" s="990">
        <v>0</v>
      </c>
      <c r="I91" s="990">
        <v>0</v>
      </c>
      <c r="J91" s="911">
        <f t="shared" si="6"/>
        <v>0</v>
      </c>
    </row>
    <row r="92" spans="1:10" x14ac:dyDescent="0.2">
      <c r="A92" s="909" t="s">
        <v>393</v>
      </c>
      <c r="B92" s="1213"/>
      <c r="C92" s="612">
        <v>0</v>
      </c>
      <c r="D92" s="612">
        <v>0</v>
      </c>
      <c r="E92" s="910">
        <f t="shared" si="7"/>
        <v>0</v>
      </c>
      <c r="F92" s="612">
        <v>0</v>
      </c>
      <c r="G92" s="612">
        <v>0</v>
      </c>
      <c r="H92" s="990">
        <v>0</v>
      </c>
      <c r="I92" s="990">
        <v>0</v>
      </c>
      <c r="J92" s="911">
        <f t="shared" si="6"/>
        <v>0</v>
      </c>
    </row>
    <row r="93" spans="1:10" x14ac:dyDescent="0.2">
      <c r="A93" s="909" t="s">
        <v>278</v>
      </c>
      <c r="B93" s="1213"/>
      <c r="C93" s="612">
        <v>0</v>
      </c>
      <c r="D93" s="612">
        <v>0</v>
      </c>
      <c r="E93" s="910">
        <f t="shared" si="7"/>
        <v>0</v>
      </c>
      <c r="F93" s="612">
        <v>0</v>
      </c>
      <c r="G93" s="612">
        <v>0</v>
      </c>
      <c r="H93" s="990">
        <v>0</v>
      </c>
      <c r="I93" s="990">
        <v>0</v>
      </c>
      <c r="J93" s="911">
        <f t="shared" si="6"/>
        <v>0</v>
      </c>
    </row>
    <row r="94" spans="1:10" x14ac:dyDescent="0.2">
      <c r="A94" s="909" t="s">
        <v>394</v>
      </c>
      <c r="B94" s="1213"/>
      <c r="C94" s="612">
        <v>0</v>
      </c>
      <c r="D94" s="612">
        <v>0</v>
      </c>
      <c r="E94" s="910">
        <f t="shared" si="7"/>
        <v>0</v>
      </c>
      <c r="F94" s="612">
        <v>0</v>
      </c>
      <c r="G94" s="612">
        <v>0</v>
      </c>
      <c r="H94" s="990">
        <v>0</v>
      </c>
      <c r="I94" s="990">
        <v>0</v>
      </c>
      <c r="J94" s="911">
        <f t="shared" si="6"/>
        <v>0</v>
      </c>
    </row>
    <row r="95" spans="1:10" x14ac:dyDescent="0.2">
      <c r="A95" s="909" t="s">
        <v>279</v>
      </c>
      <c r="B95" s="1213"/>
      <c r="C95" s="612">
        <v>0</v>
      </c>
      <c r="D95" s="612">
        <v>0</v>
      </c>
      <c r="E95" s="910">
        <f t="shared" si="7"/>
        <v>0</v>
      </c>
      <c r="F95" s="612">
        <v>0</v>
      </c>
      <c r="G95" s="612">
        <v>0</v>
      </c>
      <c r="H95" s="990">
        <v>0</v>
      </c>
      <c r="I95" s="990">
        <v>0</v>
      </c>
      <c r="J95" s="911">
        <f t="shared" si="6"/>
        <v>0</v>
      </c>
    </row>
    <row r="96" spans="1:10" x14ac:dyDescent="0.2">
      <c r="A96" s="909" t="s">
        <v>395</v>
      </c>
      <c r="B96" s="1213"/>
      <c r="C96" s="612">
        <v>0</v>
      </c>
      <c r="D96" s="612">
        <v>0</v>
      </c>
      <c r="E96" s="910">
        <f t="shared" si="7"/>
        <v>0</v>
      </c>
      <c r="F96" s="612">
        <v>0</v>
      </c>
      <c r="G96" s="612">
        <v>0</v>
      </c>
      <c r="H96" s="990">
        <v>0</v>
      </c>
      <c r="I96" s="990">
        <v>0</v>
      </c>
      <c r="J96" s="911">
        <f t="shared" si="6"/>
        <v>0</v>
      </c>
    </row>
    <row r="97" spans="1:10" x14ac:dyDescent="0.2">
      <c r="A97" s="909" t="s">
        <v>396</v>
      </c>
      <c r="B97" s="1213"/>
      <c r="C97" s="612">
        <v>0</v>
      </c>
      <c r="D97" s="612">
        <v>0</v>
      </c>
      <c r="E97" s="910">
        <f t="shared" si="7"/>
        <v>0</v>
      </c>
      <c r="F97" s="612">
        <v>0</v>
      </c>
      <c r="G97" s="612">
        <v>0</v>
      </c>
      <c r="H97" s="990">
        <v>0</v>
      </c>
      <c r="I97" s="990">
        <v>0</v>
      </c>
      <c r="J97" s="911">
        <f t="shared" si="6"/>
        <v>0</v>
      </c>
    </row>
    <row r="98" spans="1:10" x14ac:dyDescent="0.2">
      <c r="A98" s="909" t="s">
        <v>280</v>
      </c>
      <c r="B98" s="1213"/>
      <c r="C98" s="612">
        <v>0</v>
      </c>
      <c r="D98" s="612">
        <v>0</v>
      </c>
      <c r="E98" s="910">
        <f t="shared" si="7"/>
        <v>0</v>
      </c>
      <c r="F98" s="612">
        <v>0</v>
      </c>
      <c r="G98" s="612">
        <v>0</v>
      </c>
      <c r="H98" s="990">
        <v>0</v>
      </c>
      <c r="I98" s="990">
        <v>0</v>
      </c>
      <c r="J98" s="911">
        <f t="shared" si="6"/>
        <v>0</v>
      </c>
    </row>
    <row r="99" spans="1:10" x14ac:dyDescent="0.2">
      <c r="A99" s="909" t="s">
        <v>397</v>
      </c>
      <c r="B99" s="1213"/>
      <c r="C99" s="612">
        <v>0</v>
      </c>
      <c r="D99" s="612">
        <v>0</v>
      </c>
      <c r="E99" s="910">
        <f t="shared" si="7"/>
        <v>0</v>
      </c>
      <c r="F99" s="612">
        <v>0</v>
      </c>
      <c r="G99" s="612">
        <v>0</v>
      </c>
      <c r="H99" s="990">
        <v>0</v>
      </c>
      <c r="I99" s="990">
        <v>0</v>
      </c>
      <c r="J99" s="911">
        <f t="shared" si="6"/>
        <v>0</v>
      </c>
    </row>
    <row r="100" spans="1:10" x14ac:dyDescent="0.2">
      <c r="A100" s="909" t="s">
        <v>281</v>
      </c>
      <c r="B100" s="1213"/>
      <c r="C100" s="612">
        <v>0</v>
      </c>
      <c r="D100" s="612">
        <v>0</v>
      </c>
      <c r="E100" s="910">
        <f t="shared" si="7"/>
        <v>0</v>
      </c>
      <c r="F100" s="612">
        <v>0</v>
      </c>
      <c r="G100" s="612">
        <v>0</v>
      </c>
      <c r="H100" s="990">
        <v>0</v>
      </c>
      <c r="I100" s="990">
        <v>0</v>
      </c>
      <c r="J100" s="911">
        <f t="shared" si="6"/>
        <v>0</v>
      </c>
    </row>
    <row r="101" spans="1:10" x14ac:dyDescent="0.2">
      <c r="A101" s="909" t="s">
        <v>282</v>
      </c>
      <c r="B101" s="1213"/>
      <c r="C101" s="612">
        <v>0</v>
      </c>
      <c r="D101" s="612">
        <v>0</v>
      </c>
      <c r="E101" s="910">
        <f t="shared" si="7"/>
        <v>0</v>
      </c>
      <c r="F101" s="612">
        <v>0</v>
      </c>
      <c r="G101" s="612">
        <v>0</v>
      </c>
      <c r="H101" s="990">
        <v>0</v>
      </c>
      <c r="I101" s="990">
        <v>0</v>
      </c>
      <c r="J101" s="911">
        <f t="shared" si="6"/>
        <v>0</v>
      </c>
    </row>
    <row r="102" spans="1:10" x14ac:dyDescent="0.2">
      <c r="A102" s="909" t="s">
        <v>283</v>
      </c>
      <c r="B102" s="1213"/>
      <c r="C102" s="612">
        <v>0</v>
      </c>
      <c r="D102" s="612">
        <v>0</v>
      </c>
      <c r="E102" s="910">
        <f t="shared" si="7"/>
        <v>0</v>
      </c>
      <c r="F102" s="612">
        <v>0</v>
      </c>
      <c r="G102" s="612">
        <v>0</v>
      </c>
      <c r="H102" s="990">
        <v>0</v>
      </c>
      <c r="I102" s="990">
        <v>0</v>
      </c>
      <c r="J102" s="911">
        <f t="shared" si="6"/>
        <v>0</v>
      </c>
    </row>
    <row r="103" spans="1:10" x14ac:dyDescent="0.2">
      <c r="A103" s="909" t="s">
        <v>284</v>
      </c>
      <c r="B103" s="1213"/>
      <c r="C103" s="612">
        <v>0</v>
      </c>
      <c r="D103" s="612">
        <v>0</v>
      </c>
      <c r="E103" s="910">
        <f t="shared" si="7"/>
        <v>0</v>
      </c>
      <c r="F103" s="612">
        <v>0</v>
      </c>
      <c r="G103" s="612">
        <v>0</v>
      </c>
      <c r="H103" s="990">
        <v>0</v>
      </c>
      <c r="I103" s="990">
        <v>0</v>
      </c>
      <c r="J103" s="911">
        <f t="shared" si="6"/>
        <v>0</v>
      </c>
    </row>
    <row r="104" spans="1:10" x14ac:dyDescent="0.2">
      <c r="A104" s="909" t="s">
        <v>285</v>
      </c>
      <c r="B104" s="1213"/>
      <c r="C104" s="612">
        <v>0</v>
      </c>
      <c r="D104" s="612">
        <v>0</v>
      </c>
      <c r="E104" s="910">
        <f t="shared" si="7"/>
        <v>0</v>
      </c>
      <c r="F104" s="612">
        <v>0</v>
      </c>
      <c r="G104" s="612">
        <v>0</v>
      </c>
      <c r="H104" s="990">
        <v>0</v>
      </c>
      <c r="I104" s="990">
        <v>0</v>
      </c>
      <c r="J104" s="911">
        <f t="shared" si="6"/>
        <v>0</v>
      </c>
    </row>
    <row r="105" spans="1:10" x14ac:dyDescent="0.2">
      <c r="A105" s="909" t="s">
        <v>286</v>
      </c>
      <c r="B105" s="1213"/>
      <c r="C105" s="612">
        <v>0</v>
      </c>
      <c r="D105" s="612">
        <v>0</v>
      </c>
      <c r="E105" s="910">
        <f t="shared" si="7"/>
        <v>0</v>
      </c>
      <c r="F105" s="612">
        <v>0</v>
      </c>
      <c r="G105" s="612">
        <v>0</v>
      </c>
      <c r="H105" s="990">
        <v>0</v>
      </c>
      <c r="I105" s="990">
        <v>0</v>
      </c>
      <c r="J105" s="911">
        <f t="shared" si="6"/>
        <v>0</v>
      </c>
    </row>
    <row r="106" spans="1:10" x14ac:dyDescent="0.2">
      <c r="A106" s="909" t="s">
        <v>287</v>
      </c>
      <c r="B106" s="1213"/>
      <c r="C106" s="612">
        <v>0</v>
      </c>
      <c r="D106" s="612">
        <v>0</v>
      </c>
      <c r="E106" s="910">
        <f t="shared" si="7"/>
        <v>0</v>
      </c>
      <c r="F106" s="612">
        <v>0</v>
      </c>
      <c r="G106" s="612">
        <v>0</v>
      </c>
      <c r="H106" s="990">
        <v>0</v>
      </c>
      <c r="I106" s="990">
        <v>0</v>
      </c>
      <c r="J106" s="911">
        <f t="shared" si="6"/>
        <v>0</v>
      </c>
    </row>
    <row r="107" spans="1:10" x14ac:dyDescent="0.2">
      <c r="A107" s="909" t="s">
        <v>298</v>
      </c>
      <c r="B107" s="1213"/>
      <c r="C107" s="612">
        <v>0</v>
      </c>
      <c r="D107" s="612">
        <v>0</v>
      </c>
      <c r="E107" s="910">
        <f t="shared" si="7"/>
        <v>0</v>
      </c>
      <c r="F107" s="612">
        <v>0</v>
      </c>
      <c r="G107" s="612">
        <v>0</v>
      </c>
      <c r="H107" s="990">
        <v>0</v>
      </c>
      <c r="I107" s="990">
        <v>0</v>
      </c>
      <c r="J107" s="911">
        <f t="shared" si="6"/>
        <v>0</v>
      </c>
    </row>
    <row r="108" spans="1:10" x14ac:dyDescent="0.2">
      <c r="A108" s="909" t="s">
        <v>288</v>
      </c>
      <c r="B108" s="1213"/>
      <c r="C108" s="612">
        <v>0</v>
      </c>
      <c r="D108" s="612">
        <v>0</v>
      </c>
      <c r="E108" s="910">
        <f t="shared" si="7"/>
        <v>0</v>
      </c>
      <c r="F108" s="612">
        <v>0</v>
      </c>
      <c r="G108" s="612">
        <v>0</v>
      </c>
      <c r="H108" s="990">
        <v>0</v>
      </c>
      <c r="I108" s="990">
        <v>0</v>
      </c>
      <c r="J108" s="911">
        <f t="shared" si="6"/>
        <v>0</v>
      </c>
    </row>
    <row r="109" spans="1:10" x14ac:dyDescent="0.2">
      <c r="A109" s="909" t="s">
        <v>289</v>
      </c>
      <c r="B109" s="1213"/>
      <c r="C109" s="612">
        <v>0</v>
      </c>
      <c r="D109" s="612">
        <v>0</v>
      </c>
      <c r="E109" s="910">
        <f t="shared" si="7"/>
        <v>0</v>
      </c>
      <c r="F109" s="612">
        <v>0</v>
      </c>
      <c r="G109" s="612">
        <v>0</v>
      </c>
      <c r="H109" s="990">
        <v>0</v>
      </c>
      <c r="I109" s="990">
        <v>0</v>
      </c>
      <c r="J109" s="911">
        <f t="shared" si="6"/>
        <v>0</v>
      </c>
    </row>
    <row r="110" spans="1:10" x14ac:dyDescent="0.2">
      <c r="A110" s="909" t="s">
        <v>290</v>
      </c>
      <c r="B110" s="1213"/>
      <c r="C110" s="612">
        <v>0</v>
      </c>
      <c r="D110" s="612">
        <v>0</v>
      </c>
      <c r="E110" s="910">
        <f t="shared" si="7"/>
        <v>0</v>
      </c>
      <c r="F110" s="612">
        <v>0</v>
      </c>
      <c r="G110" s="612">
        <v>0</v>
      </c>
      <c r="H110" s="990">
        <v>0</v>
      </c>
      <c r="I110" s="990">
        <v>0</v>
      </c>
      <c r="J110" s="911">
        <f t="shared" si="6"/>
        <v>0</v>
      </c>
    </row>
    <row r="111" spans="1:10" x14ac:dyDescent="0.2">
      <c r="A111" s="909" t="s">
        <v>291</v>
      </c>
      <c r="B111" s="1213"/>
      <c r="C111" s="612">
        <v>0</v>
      </c>
      <c r="D111" s="612">
        <v>0</v>
      </c>
      <c r="E111" s="910">
        <f t="shared" si="7"/>
        <v>0</v>
      </c>
      <c r="F111" s="612">
        <v>0</v>
      </c>
      <c r="G111" s="612">
        <v>0</v>
      </c>
      <c r="H111" s="990">
        <v>0</v>
      </c>
      <c r="I111" s="990">
        <v>0</v>
      </c>
      <c r="J111" s="911">
        <f t="shared" si="6"/>
        <v>0</v>
      </c>
    </row>
    <row r="112" spans="1:10" x14ac:dyDescent="0.2">
      <c r="A112" s="909" t="s">
        <v>292</v>
      </c>
      <c r="B112" s="1213"/>
      <c r="C112" s="612">
        <v>0</v>
      </c>
      <c r="D112" s="612">
        <v>0</v>
      </c>
      <c r="E112" s="910">
        <f t="shared" si="7"/>
        <v>0</v>
      </c>
      <c r="F112" s="612">
        <v>0</v>
      </c>
      <c r="G112" s="612">
        <v>0</v>
      </c>
      <c r="H112" s="990">
        <v>0</v>
      </c>
      <c r="I112" s="990">
        <v>0</v>
      </c>
      <c r="J112" s="911">
        <f t="shared" si="6"/>
        <v>0</v>
      </c>
    </row>
    <row r="113" spans="1:10" x14ac:dyDescent="0.2">
      <c r="A113" s="909" t="s">
        <v>293</v>
      </c>
      <c r="B113" s="1213"/>
      <c r="C113" s="613">
        <v>0</v>
      </c>
      <c r="D113" s="612">
        <v>0</v>
      </c>
      <c r="E113" s="910">
        <f t="shared" si="7"/>
        <v>0</v>
      </c>
      <c r="F113" s="612">
        <v>0</v>
      </c>
      <c r="G113" s="612">
        <v>0</v>
      </c>
      <c r="H113" s="990">
        <v>0</v>
      </c>
      <c r="I113" s="990">
        <v>0</v>
      </c>
      <c r="J113" s="911">
        <f t="shared" si="6"/>
        <v>0</v>
      </c>
    </row>
    <row r="114" spans="1:10" x14ac:dyDescent="0.2">
      <c r="A114" s="909" t="s">
        <v>294</v>
      </c>
      <c r="B114" s="1213"/>
      <c r="C114" s="612">
        <v>0</v>
      </c>
      <c r="D114" s="612">
        <v>0</v>
      </c>
      <c r="E114" s="910">
        <f t="shared" si="7"/>
        <v>0</v>
      </c>
      <c r="F114" s="612">
        <v>0</v>
      </c>
      <c r="G114" s="612">
        <v>0</v>
      </c>
      <c r="H114" s="990">
        <v>0</v>
      </c>
      <c r="I114" s="990">
        <v>0</v>
      </c>
      <c r="J114" s="911">
        <f t="shared" si="6"/>
        <v>0</v>
      </c>
    </row>
    <row r="115" spans="1:10" ht="13.5" thickBot="1" x14ac:dyDescent="0.25">
      <c r="A115" s="912" t="s">
        <v>295</v>
      </c>
      <c r="B115" s="1214"/>
      <c r="C115" s="614">
        <v>0</v>
      </c>
      <c r="D115" s="614">
        <v>0</v>
      </c>
      <c r="E115" s="913">
        <f>+C115+D115</f>
        <v>0</v>
      </c>
      <c r="F115" s="614">
        <v>0</v>
      </c>
      <c r="G115" s="614">
        <v>0</v>
      </c>
      <c r="H115" s="991">
        <v>0</v>
      </c>
      <c r="I115" s="991">
        <v>0</v>
      </c>
      <c r="J115" s="914">
        <f>+SUM(E115:I115)</f>
        <v>0</v>
      </c>
    </row>
    <row r="116" spans="1:10" x14ac:dyDescent="0.2">
      <c r="A116" s="915"/>
      <c r="B116" s="916"/>
      <c r="C116" s="917"/>
      <c r="D116" s="917"/>
      <c r="E116" s="917"/>
      <c r="F116" s="917"/>
      <c r="G116" s="917"/>
      <c r="H116" s="992"/>
      <c r="I116" s="992"/>
      <c r="J116" s="917"/>
    </row>
    <row r="117" spans="1:10" x14ac:dyDescent="0.2">
      <c r="A117" s="915" t="s">
        <v>296</v>
      </c>
      <c r="B117" s="916"/>
      <c r="C117" s="918">
        <f t="shared" ref="C117:J117" si="8">SUM(C71:C115)</f>
        <v>0</v>
      </c>
      <c r="D117" s="918">
        <f t="shared" si="8"/>
        <v>0</v>
      </c>
      <c r="E117" s="918">
        <f t="shared" si="8"/>
        <v>0</v>
      </c>
      <c r="F117" s="918">
        <f t="shared" ref="F117" si="9">SUM(F71:F115)</f>
        <v>0</v>
      </c>
      <c r="G117" s="918">
        <f t="shared" si="8"/>
        <v>0</v>
      </c>
      <c r="H117" s="993">
        <f t="shared" si="8"/>
        <v>0</v>
      </c>
      <c r="I117" s="993">
        <f t="shared" ref="I117" si="10">SUM(I71:I115)</f>
        <v>0</v>
      </c>
      <c r="J117" s="918">
        <f t="shared" si="8"/>
        <v>0</v>
      </c>
    </row>
    <row r="118" spans="1:10" ht="13.5" thickBot="1" x14ac:dyDescent="0.25">
      <c r="A118" s="919"/>
      <c r="B118" s="920"/>
      <c r="C118" s="921"/>
      <c r="D118" s="921"/>
      <c r="E118" s="921"/>
      <c r="F118" s="921"/>
      <c r="G118" s="921"/>
      <c r="H118" s="994"/>
      <c r="I118" s="994"/>
      <c r="J118" s="922"/>
    </row>
  </sheetData>
  <sheetProtection algorithmName="SHA-512" hashValue="Mq6xVNCMsS2LZbpCHtdYSigITNEYHLQuUq/HcWFTm9Tw26YuqQrYFGXRuYDQSGWYKHBgLUfff9mMNNb2QsI9FQ==" saltValue="j19RzI2ghwpX5u31+YIrLA==" spinCount="100000" sheet="1" objects="1" scenarios="1"/>
  <mergeCells count="5">
    <mergeCell ref="A1:H1"/>
    <mergeCell ref="B17:B61"/>
    <mergeCell ref="A14:J14"/>
    <mergeCell ref="A68:J68"/>
    <mergeCell ref="B71:B115"/>
  </mergeCells>
  <conditionalFormatting sqref="A1:E3 A5:E1048576 B4:E4 G1:XFD1048576">
    <cfRule type="expression" dxfId="9" priority="7">
      <formula>$L$1="gas"</formula>
    </cfRule>
  </conditionalFormatting>
  <conditionalFormatting sqref="A4">
    <cfRule type="expression" dxfId="8" priority="3">
      <formula>$L$1="gas"</formula>
    </cfRule>
  </conditionalFormatting>
  <conditionalFormatting sqref="F1:F1048576">
    <cfRule type="expression" dxfId="7" priority="2">
      <formula>$L$1="gas"</formula>
    </cfRule>
  </conditionalFormatting>
  <dataValidations count="2">
    <dataValidation type="decimal" operator="lessThanOrEqual" allowBlank="1" showInputMessage="1" showErrorMessage="1" errorTitle="Positief bedrag" error="Gelieve een negatief bedrag in te geven" sqref="F131090:I131133 JE65554:JE65597 TA65554:TA65597 ACW65554:ACW65597 AMS65554:AMS65597 AWO65554:AWO65597 BGK65554:BGK65597 BQG65554:BQG65597 CAC65554:CAC65597 CJY65554:CJY65597 CTU65554:CTU65597 DDQ65554:DDQ65597 DNM65554:DNM65597 DXI65554:DXI65597 EHE65554:EHE65597 ERA65554:ERA65597 FAW65554:FAW65597 FKS65554:FKS65597 FUO65554:FUO65597 GEK65554:GEK65597 GOG65554:GOG65597 GYC65554:GYC65597 HHY65554:HHY65597 HRU65554:HRU65597 IBQ65554:IBQ65597 ILM65554:ILM65597 IVI65554:IVI65597 JFE65554:JFE65597 JPA65554:JPA65597 JYW65554:JYW65597 KIS65554:KIS65597 KSO65554:KSO65597 LCK65554:LCK65597 LMG65554:LMG65597 LWC65554:LWC65597 MFY65554:MFY65597 MPU65554:MPU65597 MZQ65554:MZQ65597 NJM65554:NJM65597 NTI65554:NTI65597 ODE65554:ODE65597 ONA65554:ONA65597 OWW65554:OWW65597 PGS65554:PGS65597 PQO65554:PQO65597 QAK65554:QAK65597 QKG65554:QKG65597 QUC65554:QUC65597 RDY65554:RDY65597 RNU65554:RNU65597 RXQ65554:RXQ65597 SHM65554:SHM65597 SRI65554:SRI65597 TBE65554:TBE65597 TLA65554:TLA65597 TUW65554:TUW65597 UES65554:UES65597 UOO65554:UOO65597 UYK65554:UYK65597 VIG65554:VIG65597 VSC65554:VSC65597 WBY65554:WBY65597 WLU65554:WLU65597 WVQ65554:WVQ65597 F196626:I196669 JE131090:JE131133 TA131090:TA131133 ACW131090:ACW131133 AMS131090:AMS131133 AWO131090:AWO131133 BGK131090:BGK131133 BQG131090:BQG131133 CAC131090:CAC131133 CJY131090:CJY131133 CTU131090:CTU131133 DDQ131090:DDQ131133 DNM131090:DNM131133 DXI131090:DXI131133 EHE131090:EHE131133 ERA131090:ERA131133 FAW131090:FAW131133 FKS131090:FKS131133 FUO131090:FUO131133 GEK131090:GEK131133 GOG131090:GOG131133 GYC131090:GYC131133 HHY131090:HHY131133 HRU131090:HRU131133 IBQ131090:IBQ131133 ILM131090:ILM131133 IVI131090:IVI131133 JFE131090:JFE131133 JPA131090:JPA131133 JYW131090:JYW131133 KIS131090:KIS131133 KSO131090:KSO131133 LCK131090:LCK131133 LMG131090:LMG131133 LWC131090:LWC131133 MFY131090:MFY131133 MPU131090:MPU131133 MZQ131090:MZQ131133 NJM131090:NJM131133 NTI131090:NTI131133 ODE131090:ODE131133 ONA131090:ONA131133 OWW131090:OWW131133 PGS131090:PGS131133 PQO131090:PQO131133 QAK131090:QAK131133 QKG131090:QKG131133 QUC131090:QUC131133 RDY131090:RDY131133 RNU131090:RNU131133 RXQ131090:RXQ131133 SHM131090:SHM131133 SRI131090:SRI131133 TBE131090:TBE131133 TLA131090:TLA131133 TUW131090:TUW131133 UES131090:UES131133 UOO131090:UOO131133 UYK131090:UYK131133 VIG131090:VIG131133 VSC131090:VSC131133 WBY131090:WBY131133 WLU131090:WLU131133 WVQ131090:WVQ131133 F262162:I262205 JE196626:JE196669 TA196626:TA196669 ACW196626:ACW196669 AMS196626:AMS196669 AWO196626:AWO196669 BGK196626:BGK196669 BQG196626:BQG196669 CAC196626:CAC196669 CJY196626:CJY196669 CTU196626:CTU196669 DDQ196626:DDQ196669 DNM196626:DNM196669 DXI196626:DXI196669 EHE196626:EHE196669 ERA196626:ERA196669 FAW196626:FAW196669 FKS196626:FKS196669 FUO196626:FUO196669 GEK196626:GEK196669 GOG196626:GOG196669 GYC196626:GYC196669 HHY196626:HHY196669 HRU196626:HRU196669 IBQ196626:IBQ196669 ILM196626:ILM196669 IVI196626:IVI196669 JFE196626:JFE196669 JPA196626:JPA196669 JYW196626:JYW196669 KIS196626:KIS196669 KSO196626:KSO196669 LCK196626:LCK196669 LMG196626:LMG196669 LWC196626:LWC196669 MFY196626:MFY196669 MPU196626:MPU196669 MZQ196626:MZQ196669 NJM196626:NJM196669 NTI196626:NTI196669 ODE196626:ODE196669 ONA196626:ONA196669 OWW196626:OWW196669 PGS196626:PGS196669 PQO196626:PQO196669 QAK196626:QAK196669 QKG196626:QKG196669 QUC196626:QUC196669 RDY196626:RDY196669 RNU196626:RNU196669 RXQ196626:RXQ196669 SHM196626:SHM196669 SRI196626:SRI196669 TBE196626:TBE196669 TLA196626:TLA196669 TUW196626:TUW196669 UES196626:UES196669 UOO196626:UOO196669 UYK196626:UYK196669 VIG196626:VIG196669 VSC196626:VSC196669 WBY196626:WBY196669 WLU196626:WLU196669 WVQ196626:WVQ196669 F327698:I327741 JE262162:JE262205 TA262162:TA262205 ACW262162:ACW262205 AMS262162:AMS262205 AWO262162:AWO262205 BGK262162:BGK262205 BQG262162:BQG262205 CAC262162:CAC262205 CJY262162:CJY262205 CTU262162:CTU262205 DDQ262162:DDQ262205 DNM262162:DNM262205 DXI262162:DXI262205 EHE262162:EHE262205 ERA262162:ERA262205 FAW262162:FAW262205 FKS262162:FKS262205 FUO262162:FUO262205 GEK262162:GEK262205 GOG262162:GOG262205 GYC262162:GYC262205 HHY262162:HHY262205 HRU262162:HRU262205 IBQ262162:IBQ262205 ILM262162:ILM262205 IVI262162:IVI262205 JFE262162:JFE262205 JPA262162:JPA262205 JYW262162:JYW262205 KIS262162:KIS262205 KSO262162:KSO262205 LCK262162:LCK262205 LMG262162:LMG262205 LWC262162:LWC262205 MFY262162:MFY262205 MPU262162:MPU262205 MZQ262162:MZQ262205 NJM262162:NJM262205 NTI262162:NTI262205 ODE262162:ODE262205 ONA262162:ONA262205 OWW262162:OWW262205 PGS262162:PGS262205 PQO262162:PQO262205 QAK262162:QAK262205 QKG262162:QKG262205 QUC262162:QUC262205 RDY262162:RDY262205 RNU262162:RNU262205 RXQ262162:RXQ262205 SHM262162:SHM262205 SRI262162:SRI262205 TBE262162:TBE262205 TLA262162:TLA262205 TUW262162:TUW262205 UES262162:UES262205 UOO262162:UOO262205 UYK262162:UYK262205 VIG262162:VIG262205 VSC262162:VSC262205 WBY262162:WBY262205 WLU262162:WLU262205 WVQ262162:WVQ262205 F393234:I393277 JE327698:JE327741 TA327698:TA327741 ACW327698:ACW327741 AMS327698:AMS327741 AWO327698:AWO327741 BGK327698:BGK327741 BQG327698:BQG327741 CAC327698:CAC327741 CJY327698:CJY327741 CTU327698:CTU327741 DDQ327698:DDQ327741 DNM327698:DNM327741 DXI327698:DXI327741 EHE327698:EHE327741 ERA327698:ERA327741 FAW327698:FAW327741 FKS327698:FKS327741 FUO327698:FUO327741 GEK327698:GEK327741 GOG327698:GOG327741 GYC327698:GYC327741 HHY327698:HHY327741 HRU327698:HRU327741 IBQ327698:IBQ327741 ILM327698:ILM327741 IVI327698:IVI327741 JFE327698:JFE327741 JPA327698:JPA327741 JYW327698:JYW327741 KIS327698:KIS327741 KSO327698:KSO327741 LCK327698:LCK327741 LMG327698:LMG327741 LWC327698:LWC327741 MFY327698:MFY327741 MPU327698:MPU327741 MZQ327698:MZQ327741 NJM327698:NJM327741 NTI327698:NTI327741 ODE327698:ODE327741 ONA327698:ONA327741 OWW327698:OWW327741 PGS327698:PGS327741 PQO327698:PQO327741 QAK327698:QAK327741 QKG327698:QKG327741 QUC327698:QUC327741 RDY327698:RDY327741 RNU327698:RNU327741 RXQ327698:RXQ327741 SHM327698:SHM327741 SRI327698:SRI327741 TBE327698:TBE327741 TLA327698:TLA327741 TUW327698:TUW327741 UES327698:UES327741 UOO327698:UOO327741 UYK327698:UYK327741 VIG327698:VIG327741 VSC327698:VSC327741 WBY327698:WBY327741 WLU327698:WLU327741 WVQ327698:WVQ327741 F458770:I458813 JE393234:JE393277 TA393234:TA393277 ACW393234:ACW393277 AMS393234:AMS393277 AWO393234:AWO393277 BGK393234:BGK393277 BQG393234:BQG393277 CAC393234:CAC393277 CJY393234:CJY393277 CTU393234:CTU393277 DDQ393234:DDQ393277 DNM393234:DNM393277 DXI393234:DXI393277 EHE393234:EHE393277 ERA393234:ERA393277 FAW393234:FAW393277 FKS393234:FKS393277 FUO393234:FUO393277 GEK393234:GEK393277 GOG393234:GOG393277 GYC393234:GYC393277 HHY393234:HHY393277 HRU393234:HRU393277 IBQ393234:IBQ393277 ILM393234:ILM393277 IVI393234:IVI393277 JFE393234:JFE393277 JPA393234:JPA393277 JYW393234:JYW393277 KIS393234:KIS393277 KSO393234:KSO393277 LCK393234:LCK393277 LMG393234:LMG393277 LWC393234:LWC393277 MFY393234:MFY393277 MPU393234:MPU393277 MZQ393234:MZQ393277 NJM393234:NJM393277 NTI393234:NTI393277 ODE393234:ODE393277 ONA393234:ONA393277 OWW393234:OWW393277 PGS393234:PGS393277 PQO393234:PQO393277 QAK393234:QAK393277 QKG393234:QKG393277 QUC393234:QUC393277 RDY393234:RDY393277 RNU393234:RNU393277 RXQ393234:RXQ393277 SHM393234:SHM393277 SRI393234:SRI393277 TBE393234:TBE393277 TLA393234:TLA393277 TUW393234:TUW393277 UES393234:UES393277 UOO393234:UOO393277 UYK393234:UYK393277 VIG393234:VIG393277 VSC393234:VSC393277 WBY393234:WBY393277 WLU393234:WLU393277 WVQ393234:WVQ393277 F524306:I524349 JE458770:JE458813 TA458770:TA458813 ACW458770:ACW458813 AMS458770:AMS458813 AWO458770:AWO458813 BGK458770:BGK458813 BQG458770:BQG458813 CAC458770:CAC458813 CJY458770:CJY458813 CTU458770:CTU458813 DDQ458770:DDQ458813 DNM458770:DNM458813 DXI458770:DXI458813 EHE458770:EHE458813 ERA458770:ERA458813 FAW458770:FAW458813 FKS458770:FKS458813 FUO458770:FUO458813 GEK458770:GEK458813 GOG458770:GOG458813 GYC458770:GYC458813 HHY458770:HHY458813 HRU458770:HRU458813 IBQ458770:IBQ458813 ILM458770:ILM458813 IVI458770:IVI458813 JFE458770:JFE458813 JPA458770:JPA458813 JYW458770:JYW458813 KIS458770:KIS458813 KSO458770:KSO458813 LCK458770:LCK458813 LMG458770:LMG458813 LWC458770:LWC458813 MFY458770:MFY458813 MPU458770:MPU458813 MZQ458770:MZQ458813 NJM458770:NJM458813 NTI458770:NTI458813 ODE458770:ODE458813 ONA458770:ONA458813 OWW458770:OWW458813 PGS458770:PGS458813 PQO458770:PQO458813 QAK458770:QAK458813 QKG458770:QKG458813 QUC458770:QUC458813 RDY458770:RDY458813 RNU458770:RNU458813 RXQ458770:RXQ458813 SHM458770:SHM458813 SRI458770:SRI458813 TBE458770:TBE458813 TLA458770:TLA458813 TUW458770:TUW458813 UES458770:UES458813 UOO458770:UOO458813 UYK458770:UYK458813 VIG458770:VIG458813 VSC458770:VSC458813 WBY458770:WBY458813 WLU458770:WLU458813 WVQ458770:WVQ458813 F589842:I589885 JE524306:JE524349 TA524306:TA524349 ACW524306:ACW524349 AMS524306:AMS524349 AWO524306:AWO524349 BGK524306:BGK524349 BQG524306:BQG524349 CAC524306:CAC524349 CJY524306:CJY524349 CTU524306:CTU524349 DDQ524306:DDQ524349 DNM524306:DNM524349 DXI524306:DXI524349 EHE524306:EHE524349 ERA524306:ERA524349 FAW524306:FAW524349 FKS524306:FKS524349 FUO524306:FUO524349 GEK524306:GEK524349 GOG524306:GOG524349 GYC524306:GYC524349 HHY524306:HHY524349 HRU524306:HRU524349 IBQ524306:IBQ524349 ILM524306:ILM524349 IVI524306:IVI524349 JFE524306:JFE524349 JPA524306:JPA524349 JYW524306:JYW524349 KIS524306:KIS524349 KSO524306:KSO524349 LCK524306:LCK524349 LMG524306:LMG524349 LWC524306:LWC524349 MFY524306:MFY524349 MPU524306:MPU524349 MZQ524306:MZQ524349 NJM524306:NJM524349 NTI524306:NTI524349 ODE524306:ODE524349 ONA524306:ONA524349 OWW524306:OWW524349 PGS524306:PGS524349 PQO524306:PQO524349 QAK524306:QAK524349 QKG524306:QKG524349 QUC524306:QUC524349 RDY524306:RDY524349 RNU524306:RNU524349 RXQ524306:RXQ524349 SHM524306:SHM524349 SRI524306:SRI524349 TBE524306:TBE524349 TLA524306:TLA524349 TUW524306:TUW524349 UES524306:UES524349 UOO524306:UOO524349 UYK524306:UYK524349 VIG524306:VIG524349 VSC524306:VSC524349 WBY524306:WBY524349 WLU524306:WLU524349 WVQ524306:WVQ524349 F655378:I655421 JE589842:JE589885 TA589842:TA589885 ACW589842:ACW589885 AMS589842:AMS589885 AWO589842:AWO589885 BGK589842:BGK589885 BQG589842:BQG589885 CAC589842:CAC589885 CJY589842:CJY589885 CTU589842:CTU589885 DDQ589842:DDQ589885 DNM589842:DNM589885 DXI589842:DXI589885 EHE589842:EHE589885 ERA589842:ERA589885 FAW589842:FAW589885 FKS589842:FKS589885 FUO589842:FUO589885 GEK589842:GEK589885 GOG589842:GOG589885 GYC589842:GYC589885 HHY589842:HHY589885 HRU589842:HRU589885 IBQ589842:IBQ589885 ILM589842:ILM589885 IVI589842:IVI589885 JFE589842:JFE589885 JPA589842:JPA589885 JYW589842:JYW589885 KIS589842:KIS589885 KSO589842:KSO589885 LCK589842:LCK589885 LMG589842:LMG589885 LWC589842:LWC589885 MFY589842:MFY589885 MPU589842:MPU589885 MZQ589842:MZQ589885 NJM589842:NJM589885 NTI589842:NTI589885 ODE589842:ODE589885 ONA589842:ONA589885 OWW589842:OWW589885 PGS589842:PGS589885 PQO589842:PQO589885 QAK589842:QAK589885 QKG589842:QKG589885 QUC589842:QUC589885 RDY589842:RDY589885 RNU589842:RNU589885 RXQ589842:RXQ589885 SHM589842:SHM589885 SRI589842:SRI589885 TBE589842:TBE589885 TLA589842:TLA589885 TUW589842:TUW589885 UES589842:UES589885 UOO589842:UOO589885 UYK589842:UYK589885 VIG589842:VIG589885 VSC589842:VSC589885 WBY589842:WBY589885 WLU589842:WLU589885 WVQ589842:WVQ589885 F720914:I720957 JE655378:JE655421 TA655378:TA655421 ACW655378:ACW655421 AMS655378:AMS655421 AWO655378:AWO655421 BGK655378:BGK655421 BQG655378:BQG655421 CAC655378:CAC655421 CJY655378:CJY655421 CTU655378:CTU655421 DDQ655378:DDQ655421 DNM655378:DNM655421 DXI655378:DXI655421 EHE655378:EHE655421 ERA655378:ERA655421 FAW655378:FAW655421 FKS655378:FKS655421 FUO655378:FUO655421 GEK655378:GEK655421 GOG655378:GOG655421 GYC655378:GYC655421 HHY655378:HHY655421 HRU655378:HRU655421 IBQ655378:IBQ655421 ILM655378:ILM655421 IVI655378:IVI655421 JFE655378:JFE655421 JPA655378:JPA655421 JYW655378:JYW655421 KIS655378:KIS655421 KSO655378:KSO655421 LCK655378:LCK655421 LMG655378:LMG655421 LWC655378:LWC655421 MFY655378:MFY655421 MPU655378:MPU655421 MZQ655378:MZQ655421 NJM655378:NJM655421 NTI655378:NTI655421 ODE655378:ODE655421 ONA655378:ONA655421 OWW655378:OWW655421 PGS655378:PGS655421 PQO655378:PQO655421 QAK655378:QAK655421 QKG655378:QKG655421 QUC655378:QUC655421 RDY655378:RDY655421 RNU655378:RNU655421 RXQ655378:RXQ655421 SHM655378:SHM655421 SRI655378:SRI655421 TBE655378:TBE655421 TLA655378:TLA655421 TUW655378:TUW655421 UES655378:UES655421 UOO655378:UOO655421 UYK655378:UYK655421 VIG655378:VIG655421 VSC655378:VSC655421 WBY655378:WBY655421 WLU655378:WLU655421 WVQ655378:WVQ655421 F786450:I786493 JE720914:JE720957 TA720914:TA720957 ACW720914:ACW720957 AMS720914:AMS720957 AWO720914:AWO720957 BGK720914:BGK720957 BQG720914:BQG720957 CAC720914:CAC720957 CJY720914:CJY720957 CTU720914:CTU720957 DDQ720914:DDQ720957 DNM720914:DNM720957 DXI720914:DXI720957 EHE720914:EHE720957 ERA720914:ERA720957 FAW720914:FAW720957 FKS720914:FKS720957 FUO720914:FUO720957 GEK720914:GEK720957 GOG720914:GOG720957 GYC720914:GYC720957 HHY720914:HHY720957 HRU720914:HRU720957 IBQ720914:IBQ720957 ILM720914:ILM720957 IVI720914:IVI720957 JFE720914:JFE720957 JPA720914:JPA720957 JYW720914:JYW720957 KIS720914:KIS720957 KSO720914:KSO720957 LCK720914:LCK720957 LMG720914:LMG720957 LWC720914:LWC720957 MFY720914:MFY720957 MPU720914:MPU720957 MZQ720914:MZQ720957 NJM720914:NJM720957 NTI720914:NTI720957 ODE720914:ODE720957 ONA720914:ONA720957 OWW720914:OWW720957 PGS720914:PGS720957 PQO720914:PQO720957 QAK720914:QAK720957 QKG720914:QKG720957 QUC720914:QUC720957 RDY720914:RDY720957 RNU720914:RNU720957 RXQ720914:RXQ720957 SHM720914:SHM720957 SRI720914:SRI720957 TBE720914:TBE720957 TLA720914:TLA720957 TUW720914:TUW720957 UES720914:UES720957 UOO720914:UOO720957 UYK720914:UYK720957 VIG720914:VIG720957 VSC720914:VSC720957 WBY720914:WBY720957 WLU720914:WLU720957 WVQ720914:WVQ720957 F851986:I852029 JE786450:JE786493 TA786450:TA786493 ACW786450:ACW786493 AMS786450:AMS786493 AWO786450:AWO786493 BGK786450:BGK786493 BQG786450:BQG786493 CAC786450:CAC786493 CJY786450:CJY786493 CTU786450:CTU786493 DDQ786450:DDQ786493 DNM786450:DNM786493 DXI786450:DXI786493 EHE786450:EHE786493 ERA786450:ERA786493 FAW786450:FAW786493 FKS786450:FKS786493 FUO786450:FUO786493 GEK786450:GEK786493 GOG786450:GOG786493 GYC786450:GYC786493 HHY786450:HHY786493 HRU786450:HRU786493 IBQ786450:IBQ786493 ILM786450:ILM786493 IVI786450:IVI786493 JFE786450:JFE786493 JPA786450:JPA786493 JYW786450:JYW786493 KIS786450:KIS786493 KSO786450:KSO786493 LCK786450:LCK786493 LMG786450:LMG786493 LWC786450:LWC786493 MFY786450:MFY786493 MPU786450:MPU786493 MZQ786450:MZQ786493 NJM786450:NJM786493 NTI786450:NTI786493 ODE786450:ODE786493 ONA786450:ONA786493 OWW786450:OWW786493 PGS786450:PGS786493 PQO786450:PQO786493 QAK786450:QAK786493 QKG786450:QKG786493 QUC786450:QUC786493 RDY786450:RDY786493 RNU786450:RNU786493 RXQ786450:RXQ786493 SHM786450:SHM786493 SRI786450:SRI786493 TBE786450:TBE786493 TLA786450:TLA786493 TUW786450:TUW786493 UES786450:UES786493 UOO786450:UOO786493 UYK786450:UYK786493 VIG786450:VIG786493 VSC786450:VSC786493 WBY786450:WBY786493 WLU786450:WLU786493 WVQ786450:WVQ786493 F917522:I917565 JE851986:JE852029 TA851986:TA852029 ACW851986:ACW852029 AMS851986:AMS852029 AWO851986:AWO852029 BGK851986:BGK852029 BQG851986:BQG852029 CAC851986:CAC852029 CJY851986:CJY852029 CTU851986:CTU852029 DDQ851986:DDQ852029 DNM851986:DNM852029 DXI851986:DXI852029 EHE851986:EHE852029 ERA851986:ERA852029 FAW851986:FAW852029 FKS851986:FKS852029 FUO851986:FUO852029 GEK851986:GEK852029 GOG851986:GOG852029 GYC851986:GYC852029 HHY851986:HHY852029 HRU851986:HRU852029 IBQ851986:IBQ852029 ILM851986:ILM852029 IVI851986:IVI852029 JFE851986:JFE852029 JPA851986:JPA852029 JYW851986:JYW852029 KIS851986:KIS852029 KSO851986:KSO852029 LCK851986:LCK852029 LMG851986:LMG852029 LWC851986:LWC852029 MFY851986:MFY852029 MPU851986:MPU852029 MZQ851986:MZQ852029 NJM851986:NJM852029 NTI851986:NTI852029 ODE851986:ODE852029 ONA851986:ONA852029 OWW851986:OWW852029 PGS851986:PGS852029 PQO851986:PQO852029 QAK851986:QAK852029 QKG851986:QKG852029 QUC851986:QUC852029 RDY851986:RDY852029 RNU851986:RNU852029 RXQ851986:RXQ852029 SHM851986:SHM852029 SRI851986:SRI852029 TBE851986:TBE852029 TLA851986:TLA852029 TUW851986:TUW852029 UES851986:UES852029 UOO851986:UOO852029 UYK851986:UYK852029 VIG851986:VIG852029 VSC851986:VSC852029 WBY851986:WBY852029 WLU851986:WLU852029 WVQ851986:WVQ852029 F983058:I983101 JE917522:JE917565 TA917522:TA917565 ACW917522:ACW917565 AMS917522:AMS917565 AWO917522:AWO917565 BGK917522:BGK917565 BQG917522:BQG917565 CAC917522:CAC917565 CJY917522:CJY917565 CTU917522:CTU917565 DDQ917522:DDQ917565 DNM917522:DNM917565 DXI917522:DXI917565 EHE917522:EHE917565 ERA917522:ERA917565 FAW917522:FAW917565 FKS917522:FKS917565 FUO917522:FUO917565 GEK917522:GEK917565 GOG917522:GOG917565 GYC917522:GYC917565 HHY917522:HHY917565 HRU917522:HRU917565 IBQ917522:IBQ917565 ILM917522:ILM917565 IVI917522:IVI917565 JFE917522:JFE917565 JPA917522:JPA917565 JYW917522:JYW917565 KIS917522:KIS917565 KSO917522:KSO917565 LCK917522:LCK917565 LMG917522:LMG917565 LWC917522:LWC917565 MFY917522:MFY917565 MPU917522:MPU917565 MZQ917522:MZQ917565 NJM917522:NJM917565 NTI917522:NTI917565 ODE917522:ODE917565 ONA917522:ONA917565 OWW917522:OWW917565 PGS917522:PGS917565 PQO917522:PQO917565 QAK917522:QAK917565 QKG917522:QKG917565 QUC917522:QUC917565 RDY917522:RDY917565 RNU917522:RNU917565 RXQ917522:RXQ917565 SHM917522:SHM917565 SRI917522:SRI917565 TBE917522:TBE917565 TLA917522:TLA917565 TUW917522:TUW917565 UES917522:UES917565 UOO917522:UOO917565 UYK917522:UYK917565 VIG917522:VIG917565 VSC917522:VSC917565 WBY917522:WBY917565 WLU917522:WLU917565 WVQ917522:WVQ917565 G71:I115 JE983058:JE983101 TA983058:TA983101 ACW983058:ACW983101 AMS983058:AMS983101 AWO983058:AWO983101 BGK983058:BGK983101 BQG983058:BQG983101 CAC983058:CAC983101 CJY983058:CJY983101 CTU983058:CTU983101 DDQ983058:DDQ983101 DNM983058:DNM983101 DXI983058:DXI983101 EHE983058:EHE983101 ERA983058:ERA983101 FAW983058:FAW983101 FKS983058:FKS983101 FUO983058:FUO983101 GEK983058:GEK983101 GOG983058:GOG983101 GYC983058:GYC983101 HHY983058:HHY983101 HRU983058:HRU983101 IBQ983058:IBQ983101 ILM983058:ILM983101 IVI983058:IVI983101 JFE983058:JFE983101 JPA983058:JPA983101 JYW983058:JYW983101 KIS983058:KIS983101 KSO983058:KSO983101 LCK983058:LCK983101 LMG983058:LMG983101 LWC983058:LWC983101 MFY983058:MFY983101 MPU983058:MPU983101 MZQ983058:MZQ983101 NJM983058:NJM983101 NTI983058:NTI983101 ODE983058:ODE983101 ONA983058:ONA983101 OWW983058:OWW983101 PGS983058:PGS983101 PQO983058:PQO983101 QAK983058:QAK983101 QKG983058:QKG983101 QUC983058:QUC983101 RDY983058:RDY983101 RNU983058:RNU983101 RXQ983058:RXQ983101 SHM983058:SHM983101 SRI983058:SRI983101 TBE983058:TBE983101 TLA983058:TLA983101 TUW983058:TUW983101 UES983058:UES983101 UOO983058:UOO983101 UYK983058:UYK983101 VIG983058:VIG983101 VSC983058:VSC983101 WBY983058:WBY983101 WLU983058:WLU983101 WVQ983058:WVQ983101 WVO983058:WVO983101 D65554:D65597 JC65554:JC65597 SY65554:SY65597 ACU65554:ACU65597 AMQ65554:AMQ65597 AWM65554:AWM65597 BGI65554:BGI65597 BQE65554:BQE65597 CAA65554:CAA65597 CJW65554:CJW65597 CTS65554:CTS65597 DDO65554:DDO65597 DNK65554:DNK65597 DXG65554:DXG65597 EHC65554:EHC65597 EQY65554:EQY65597 FAU65554:FAU65597 FKQ65554:FKQ65597 FUM65554:FUM65597 GEI65554:GEI65597 GOE65554:GOE65597 GYA65554:GYA65597 HHW65554:HHW65597 HRS65554:HRS65597 IBO65554:IBO65597 ILK65554:ILK65597 IVG65554:IVG65597 JFC65554:JFC65597 JOY65554:JOY65597 JYU65554:JYU65597 KIQ65554:KIQ65597 KSM65554:KSM65597 LCI65554:LCI65597 LME65554:LME65597 LWA65554:LWA65597 MFW65554:MFW65597 MPS65554:MPS65597 MZO65554:MZO65597 NJK65554:NJK65597 NTG65554:NTG65597 ODC65554:ODC65597 OMY65554:OMY65597 OWU65554:OWU65597 PGQ65554:PGQ65597 PQM65554:PQM65597 QAI65554:QAI65597 QKE65554:QKE65597 QUA65554:QUA65597 RDW65554:RDW65597 RNS65554:RNS65597 RXO65554:RXO65597 SHK65554:SHK65597 SRG65554:SRG65597 TBC65554:TBC65597 TKY65554:TKY65597 TUU65554:TUU65597 UEQ65554:UEQ65597 UOM65554:UOM65597 UYI65554:UYI65597 VIE65554:VIE65597 VSA65554:VSA65597 WBW65554:WBW65597 WLS65554:WLS65597 WVO65554:WVO65597 D131090:D131133 JC131090:JC131133 SY131090:SY131133 ACU131090:ACU131133 AMQ131090:AMQ131133 AWM131090:AWM131133 BGI131090:BGI131133 BQE131090:BQE131133 CAA131090:CAA131133 CJW131090:CJW131133 CTS131090:CTS131133 DDO131090:DDO131133 DNK131090:DNK131133 DXG131090:DXG131133 EHC131090:EHC131133 EQY131090:EQY131133 FAU131090:FAU131133 FKQ131090:FKQ131133 FUM131090:FUM131133 GEI131090:GEI131133 GOE131090:GOE131133 GYA131090:GYA131133 HHW131090:HHW131133 HRS131090:HRS131133 IBO131090:IBO131133 ILK131090:ILK131133 IVG131090:IVG131133 JFC131090:JFC131133 JOY131090:JOY131133 JYU131090:JYU131133 KIQ131090:KIQ131133 KSM131090:KSM131133 LCI131090:LCI131133 LME131090:LME131133 LWA131090:LWA131133 MFW131090:MFW131133 MPS131090:MPS131133 MZO131090:MZO131133 NJK131090:NJK131133 NTG131090:NTG131133 ODC131090:ODC131133 OMY131090:OMY131133 OWU131090:OWU131133 PGQ131090:PGQ131133 PQM131090:PQM131133 QAI131090:QAI131133 QKE131090:QKE131133 QUA131090:QUA131133 RDW131090:RDW131133 RNS131090:RNS131133 RXO131090:RXO131133 SHK131090:SHK131133 SRG131090:SRG131133 TBC131090:TBC131133 TKY131090:TKY131133 TUU131090:TUU131133 UEQ131090:UEQ131133 UOM131090:UOM131133 UYI131090:UYI131133 VIE131090:VIE131133 VSA131090:VSA131133 WBW131090:WBW131133 WLS131090:WLS131133 WVO131090:WVO131133 D196626:D196669 JC196626:JC196669 SY196626:SY196669 ACU196626:ACU196669 AMQ196626:AMQ196669 AWM196626:AWM196669 BGI196626:BGI196669 BQE196626:BQE196669 CAA196626:CAA196669 CJW196626:CJW196669 CTS196626:CTS196669 DDO196626:DDO196669 DNK196626:DNK196669 DXG196626:DXG196669 EHC196626:EHC196669 EQY196626:EQY196669 FAU196626:FAU196669 FKQ196626:FKQ196669 FUM196626:FUM196669 GEI196626:GEI196669 GOE196626:GOE196669 GYA196626:GYA196669 HHW196626:HHW196669 HRS196626:HRS196669 IBO196626:IBO196669 ILK196626:ILK196669 IVG196626:IVG196669 JFC196626:JFC196669 JOY196626:JOY196669 JYU196626:JYU196669 KIQ196626:KIQ196669 KSM196626:KSM196669 LCI196626:LCI196669 LME196626:LME196669 LWA196626:LWA196669 MFW196626:MFW196669 MPS196626:MPS196669 MZO196626:MZO196669 NJK196626:NJK196669 NTG196626:NTG196669 ODC196626:ODC196669 OMY196626:OMY196669 OWU196626:OWU196669 PGQ196626:PGQ196669 PQM196626:PQM196669 QAI196626:QAI196669 QKE196626:QKE196669 QUA196626:QUA196669 RDW196626:RDW196669 RNS196626:RNS196669 RXO196626:RXO196669 SHK196626:SHK196669 SRG196626:SRG196669 TBC196626:TBC196669 TKY196626:TKY196669 TUU196626:TUU196669 UEQ196626:UEQ196669 UOM196626:UOM196669 UYI196626:UYI196669 VIE196626:VIE196669 VSA196626:VSA196669 WBW196626:WBW196669 WLS196626:WLS196669 WVO196626:WVO196669 D262162:D262205 JC262162:JC262205 SY262162:SY262205 ACU262162:ACU262205 AMQ262162:AMQ262205 AWM262162:AWM262205 BGI262162:BGI262205 BQE262162:BQE262205 CAA262162:CAA262205 CJW262162:CJW262205 CTS262162:CTS262205 DDO262162:DDO262205 DNK262162:DNK262205 DXG262162:DXG262205 EHC262162:EHC262205 EQY262162:EQY262205 FAU262162:FAU262205 FKQ262162:FKQ262205 FUM262162:FUM262205 GEI262162:GEI262205 GOE262162:GOE262205 GYA262162:GYA262205 HHW262162:HHW262205 HRS262162:HRS262205 IBO262162:IBO262205 ILK262162:ILK262205 IVG262162:IVG262205 JFC262162:JFC262205 JOY262162:JOY262205 JYU262162:JYU262205 KIQ262162:KIQ262205 KSM262162:KSM262205 LCI262162:LCI262205 LME262162:LME262205 LWA262162:LWA262205 MFW262162:MFW262205 MPS262162:MPS262205 MZO262162:MZO262205 NJK262162:NJK262205 NTG262162:NTG262205 ODC262162:ODC262205 OMY262162:OMY262205 OWU262162:OWU262205 PGQ262162:PGQ262205 PQM262162:PQM262205 QAI262162:QAI262205 QKE262162:QKE262205 QUA262162:QUA262205 RDW262162:RDW262205 RNS262162:RNS262205 RXO262162:RXO262205 SHK262162:SHK262205 SRG262162:SRG262205 TBC262162:TBC262205 TKY262162:TKY262205 TUU262162:TUU262205 UEQ262162:UEQ262205 UOM262162:UOM262205 UYI262162:UYI262205 VIE262162:VIE262205 VSA262162:VSA262205 WBW262162:WBW262205 WLS262162:WLS262205 WVO262162:WVO262205 D327698:D327741 JC327698:JC327741 SY327698:SY327741 ACU327698:ACU327741 AMQ327698:AMQ327741 AWM327698:AWM327741 BGI327698:BGI327741 BQE327698:BQE327741 CAA327698:CAA327741 CJW327698:CJW327741 CTS327698:CTS327741 DDO327698:DDO327741 DNK327698:DNK327741 DXG327698:DXG327741 EHC327698:EHC327741 EQY327698:EQY327741 FAU327698:FAU327741 FKQ327698:FKQ327741 FUM327698:FUM327741 GEI327698:GEI327741 GOE327698:GOE327741 GYA327698:GYA327741 HHW327698:HHW327741 HRS327698:HRS327741 IBO327698:IBO327741 ILK327698:ILK327741 IVG327698:IVG327741 JFC327698:JFC327741 JOY327698:JOY327741 JYU327698:JYU327741 KIQ327698:KIQ327741 KSM327698:KSM327741 LCI327698:LCI327741 LME327698:LME327741 LWA327698:LWA327741 MFW327698:MFW327741 MPS327698:MPS327741 MZO327698:MZO327741 NJK327698:NJK327741 NTG327698:NTG327741 ODC327698:ODC327741 OMY327698:OMY327741 OWU327698:OWU327741 PGQ327698:PGQ327741 PQM327698:PQM327741 QAI327698:QAI327741 QKE327698:QKE327741 QUA327698:QUA327741 RDW327698:RDW327741 RNS327698:RNS327741 RXO327698:RXO327741 SHK327698:SHK327741 SRG327698:SRG327741 TBC327698:TBC327741 TKY327698:TKY327741 TUU327698:TUU327741 UEQ327698:UEQ327741 UOM327698:UOM327741 UYI327698:UYI327741 VIE327698:VIE327741 VSA327698:VSA327741 WBW327698:WBW327741 WLS327698:WLS327741 WVO327698:WVO327741 D393234:D393277 JC393234:JC393277 SY393234:SY393277 ACU393234:ACU393277 AMQ393234:AMQ393277 AWM393234:AWM393277 BGI393234:BGI393277 BQE393234:BQE393277 CAA393234:CAA393277 CJW393234:CJW393277 CTS393234:CTS393277 DDO393234:DDO393277 DNK393234:DNK393277 DXG393234:DXG393277 EHC393234:EHC393277 EQY393234:EQY393277 FAU393234:FAU393277 FKQ393234:FKQ393277 FUM393234:FUM393277 GEI393234:GEI393277 GOE393234:GOE393277 GYA393234:GYA393277 HHW393234:HHW393277 HRS393234:HRS393277 IBO393234:IBO393277 ILK393234:ILK393277 IVG393234:IVG393277 JFC393234:JFC393277 JOY393234:JOY393277 JYU393234:JYU393277 KIQ393234:KIQ393277 KSM393234:KSM393277 LCI393234:LCI393277 LME393234:LME393277 LWA393234:LWA393277 MFW393234:MFW393277 MPS393234:MPS393277 MZO393234:MZO393277 NJK393234:NJK393277 NTG393234:NTG393277 ODC393234:ODC393277 OMY393234:OMY393277 OWU393234:OWU393277 PGQ393234:PGQ393277 PQM393234:PQM393277 QAI393234:QAI393277 QKE393234:QKE393277 QUA393234:QUA393277 RDW393234:RDW393277 RNS393234:RNS393277 RXO393234:RXO393277 SHK393234:SHK393277 SRG393234:SRG393277 TBC393234:TBC393277 TKY393234:TKY393277 TUU393234:TUU393277 UEQ393234:UEQ393277 UOM393234:UOM393277 UYI393234:UYI393277 VIE393234:VIE393277 VSA393234:VSA393277 WBW393234:WBW393277 WLS393234:WLS393277 WVO393234:WVO393277 D458770:D458813 JC458770:JC458813 SY458770:SY458813 ACU458770:ACU458813 AMQ458770:AMQ458813 AWM458770:AWM458813 BGI458770:BGI458813 BQE458770:BQE458813 CAA458770:CAA458813 CJW458770:CJW458813 CTS458770:CTS458813 DDO458770:DDO458813 DNK458770:DNK458813 DXG458770:DXG458813 EHC458770:EHC458813 EQY458770:EQY458813 FAU458770:FAU458813 FKQ458770:FKQ458813 FUM458770:FUM458813 GEI458770:GEI458813 GOE458770:GOE458813 GYA458770:GYA458813 HHW458770:HHW458813 HRS458770:HRS458813 IBO458770:IBO458813 ILK458770:ILK458813 IVG458770:IVG458813 JFC458770:JFC458813 JOY458770:JOY458813 JYU458770:JYU458813 KIQ458770:KIQ458813 KSM458770:KSM458813 LCI458770:LCI458813 LME458770:LME458813 LWA458770:LWA458813 MFW458770:MFW458813 MPS458770:MPS458813 MZO458770:MZO458813 NJK458770:NJK458813 NTG458770:NTG458813 ODC458770:ODC458813 OMY458770:OMY458813 OWU458770:OWU458813 PGQ458770:PGQ458813 PQM458770:PQM458813 QAI458770:QAI458813 QKE458770:QKE458813 QUA458770:QUA458813 RDW458770:RDW458813 RNS458770:RNS458813 RXO458770:RXO458813 SHK458770:SHK458813 SRG458770:SRG458813 TBC458770:TBC458813 TKY458770:TKY458813 TUU458770:TUU458813 UEQ458770:UEQ458813 UOM458770:UOM458813 UYI458770:UYI458813 VIE458770:VIE458813 VSA458770:VSA458813 WBW458770:WBW458813 WLS458770:WLS458813 WVO458770:WVO458813 D524306:D524349 JC524306:JC524349 SY524306:SY524349 ACU524306:ACU524349 AMQ524306:AMQ524349 AWM524306:AWM524349 BGI524306:BGI524349 BQE524306:BQE524349 CAA524306:CAA524349 CJW524306:CJW524349 CTS524306:CTS524349 DDO524306:DDO524349 DNK524306:DNK524349 DXG524306:DXG524349 EHC524306:EHC524349 EQY524306:EQY524349 FAU524306:FAU524349 FKQ524306:FKQ524349 FUM524306:FUM524349 GEI524306:GEI524349 GOE524306:GOE524349 GYA524306:GYA524349 HHW524306:HHW524349 HRS524306:HRS524349 IBO524306:IBO524349 ILK524306:ILK524349 IVG524306:IVG524349 JFC524306:JFC524349 JOY524306:JOY524349 JYU524306:JYU524349 KIQ524306:KIQ524349 KSM524306:KSM524349 LCI524306:LCI524349 LME524306:LME524349 LWA524306:LWA524349 MFW524306:MFW524349 MPS524306:MPS524349 MZO524306:MZO524349 NJK524306:NJK524349 NTG524306:NTG524349 ODC524306:ODC524349 OMY524306:OMY524349 OWU524306:OWU524349 PGQ524306:PGQ524349 PQM524306:PQM524349 QAI524306:QAI524349 QKE524306:QKE524349 QUA524306:QUA524349 RDW524306:RDW524349 RNS524306:RNS524349 RXO524306:RXO524349 SHK524306:SHK524349 SRG524306:SRG524349 TBC524306:TBC524349 TKY524306:TKY524349 TUU524306:TUU524349 UEQ524306:UEQ524349 UOM524306:UOM524349 UYI524306:UYI524349 VIE524306:VIE524349 VSA524306:VSA524349 WBW524306:WBW524349 WLS524306:WLS524349 WVO524306:WVO524349 D589842:D589885 JC589842:JC589885 SY589842:SY589885 ACU589842:ACU589885 AMQ589842:AMQ589885 AWM589842:AWM589885 BGI589842:BGI589885 BQE589842:BQE589885 CAA589842:CAA589885 CJW589842:CJW589885 CTS589842:CTS589885 DDO589842:DDO589885 DNK589842:DNK589885 DXG589842:DXG589885 EHC589842:EHC589885 EQY589842:EQY589885 FAU589842:FAU589885 FKQ589842:FKQ589885 FUM589842:FUM589885 GEI589842:GEI589885 GOE589842:GOE589885 GYA589842:GYA589885 HHW589842:HHW589885 HRS589842:HRS589885 IBO589842:IBO589885 ILK589842:ILK589885 IVG589842:IVG589885 JFC589842:JFC589885 JOY589842:JOY589885 JYU589842:JYU589885 KIQ589842:KIQ589885 KSM589842:KSM589885 LCI589842:LCI589885 LME589842:LME589885 LWA589842:LWA589885 MFW589842:MFW589885 MPS589842:MPS589885 MZO589842:MZO589885 NJK589842:NJK589885 NTG589842:NTG589885 ODC589842:ODC589885 OMY589842:OMY589885 OWU589842:OWU589885 PGQ589842:PGQ589885 PQM589842:PQM589885 QAI589842:QAI589885 QKE589842:QKE589885 QUA589842:QUA589885 RDW589842:RDW589885 RNS589842:RNS589885 RXO589842:RXO589885 SHK589842:SHK589885 SRG589842:SRG589885 TBC589842:TBC589885 TKY589842:TKY589885 TUU589842:TUU589885 UEQ589842:UEQ589885 UOM589842:UOM589885 UYI589842:UYI589885 VIE589842:VIE589885 VSA589842:VSA589885 WBW589842:WBW589885 WLS589842:WLS589885 WVO589842:WVO589885 D655378:D655421 JC655378:JC655421 SY655378:SY655421 ACU655378:ACU655421 AMQ655378:AMQ655421 AWM655378:AWM655421 BGI655378:BGI655421 BQE655378:BQE655421 CAA655378:CAA655421 CJW655378:CJW655421 CTS655378:CTS655421 DDO655378:DDO655421 DNK655378:DNK655421 DXG655378:DXG655421 EHC655378:EHC655421 EQY655378:EQY655421 FAU655378:FAU655421 FKQ655378:FKQ655421 FUM655378:FUM655421 GEI655378:GEI655421 GOE655378:GOE655421 GYA655378:GYA655421 HHW655378:HHW655421 HRS655378:HRS655421 IBO655378:IBO655421 ILK655378:ILK655421 IVG655378:IVG655421 JFC655378:JFC655421 JOY655378:JOY655421 JYU655378:JYU655421 KIQ655378:KIQ655421 KSM655378:KSM655421 LCI655378:LCI655421 LME655378:LME655421 LWA655378:LWA655421 MFW655378:MFW655421 MPS655378:MPS655421 MZO655378:MZO655421 NJK655378:NJK655421 NTG655378:NTG655421 ODC655378:ODC655421 OMY655378:OMY655421 OWU655378:OWU655421 PGQ655378:PGQ655421 PQM655378:PQM655421 QAI655378:QAI655421 QKE655378:QKE655421 QUA655378:QUA655421 RDW655378:RDW655421 RNS655378:RNS655421 RXO655378:RXO655421 SHK655378:SHK655421 SRG655378:SRG655421 TBC655378:TBC655421 TKY655378:TKY655421 TUU655378:TUU655421 UEQ655378:UEQ655421 UOM655378:UOM655421 UYI655378:UYI655421 VIE655378:VIE655421 VSA655378:VSA655421 WBW655378:WBW655421 WLS655378:WLS655421 WVO655378:WVO655421 D720914:D720957 JC720914:JC720957 SY720914:SY720957 ACU720914:ACU720957 AMQ720914:AMQ720957 AWM720914:AWM720957 BGI720914:BGI720957 BQE720914:BQE720957 CAA720914:CAA720957 CJW720914:CJW720957 CTS720914:CTS720957 DDO720914:DDO720957 DNK720914:DNK720957 DXG720914:DXG720957 EHC720914:EHC720957 EQY720914:EQY720957 FAU720914:FAU720957 FKQ720914:FKQ720957 FUM720914:FUM720957 GEI720914:GEI720957 GOE720914:GOE720957 GYA720914:GYA720957 HHW720914:HHW720957 HRS720914:HRS720957 IBO720914:IBO720957 ILK720914:ILK720957 IVG720914:IVG720957 JFC720914:JFC720957 JOY720914:JOY720957 JYU720914:JYU720957 KIQ720914:KIQ720957 KSM720914:KSM720957 LCI720914:LCI720957 LME720914:LME720957 LWA720914:LWA720957 MFW720914:MFW720957 MPS720914:MPS720957 MZO720914:MZO720957 NJK720914:NJK720957 NTG720914:NTG720957 ODC720914:ODC720957 OMY720914:OMY720957 OWU720914:OWU720957 PGQ720914:PGQ720957 PQM720914:PQM720957 QAI720914:QAI720957 QKE720914:QKE720957 QUA720914:QUA720957 RDW720914:RDW720957 RNS720914:RNS720957 RXO720914:RXO720957 SHK720914:SHK720957 SRG720914:SRG720957 TBC720914:TBC720957 TKY720914:TKY720957 TUU720914:TUU720957 UEQ720914:UEQ720957 UOM720914:UOM720957 UYI720914:UYI720957 VIE720914:VIE720957 VSA720914:VSA720957 WBW720914:WBW720957 WLS720914:WLS720957 WVO720914:WVO720957 D786450:D786493 JC786450:JC786493 SY786450:SY786493 ACU786450:ACU786493 AMQ786450:AMQ786493 AWM786450:AWM786493 BGI786450:BGI786493 BQE786450:BQE786493 CAA786450:CAA786493 CJW786450:CJW786493 CTS786450:CTS786493 DDO786450:DDO786493 DNK786450:DNK786493 DXG786450:DXG786493 EHC786450:EHC786493 EQY786450:EQY786493 FAU786450:FAU786493 FKQ786450:FKQ786493 FUM786450:FUM786493 GEI786450:GEI786493 GOE786450:GOE786493 GYA786450:GYA786493 HHW786450:HHW786493 HRS786450:HRS786493 IBO786450:IBO786493 ILK786450:ILK786493 IVG786450:IVG786493 JFC786450:JFC786493 JOY786450:JOY786493 JYU786450:JYU786493 KIQ786450:KIQ786493 KSM786450:KSM786493 LCI786450:LCI786493 LME786450:LME786493 LWA786450:LWA786493 MFW786450:MFW786493 MPS786450:MPS786493 MZO786450:MZO786493 NJK786450:NJK786493 NTG786450:NTG786493 ODC786450:ODC786493 OMY786450:OMY786493 OWU786450:OWU786493 PGQ786450:PGQ786493 PQM786450:PQM786493 QAI786450:QAI786493 QKE786450:QKE786493 QUA786450:QUA786493 RDW786450:RDW786493 RNS786450:RNS786493 RXO786450:RXO786493 SHK786450:SHK786493 SRG786450:SRG786493 TBC786450:TBC786493 TKY786450:TKY786493 TUU786450:TUU786493 UEQ786450:UEQ786493 UOM786450:UOM786493 UYI786450:UYI786493 VIE786450:VIE786493 VSA786450:VSA786493 WBW786450:WBW786493 WLS786450:WLS786493 WVO786450:WVO786493 D851986:D852029 JC851986:JC852029 SY851986:SY852029 ACU851986:ACU852029 AMQ851986:AMQ852029 AWM851986:AWM852029 BGI851986:BGI852029 BQE851986:BQE852029 CAA851986:CAA852029 CJW851986:CJW852029 CTS851986:CTS852029 DDO851986:DDO852029 DNK851986:DNK852029 DXG851986:DXG852029 EHC851986:EHC852029 EQY851986:EQY852029 FAU851986:FAU852029 FKQ851986:FKQ852029 FUM851986:FUM852029 GEI851986:GEI852029 GOE851986:GOE852029 GYA851986:GYA852029 HHW851986:HHW852029 HRS851986:HRS852029 IBO851986:IBO852029 ILK851986:ILK852029 IVG851986:IVG852029 JFC851986:JFC852029 JOY851986:JOY852029 JYU851986:JYU852029 KIQ851986:KIQ852029 KSM851986:KSM852029 LCI851986:LCI852029 LME851986:LME852029 LWA851986:LWA852029 MFW851986:MFW852029 MPS851986:MPS852029 MZO851986:MZO852029 NJK851986:NJK852029 NTG851986:NTG852029 ODC851986:ODC852029 OMY851986:OMY852029 OWU851986:OWU852029 PGQ851986:PGQ852029 PQM851986:PQM852029 QAI851986:QAI852029 QKE851986:QKE852029 QUA851986:QUA852029 RDW851986:RDW852029 RNS851986:RNS852029 RXO851986:RXO852029 SHK851986:SHK852029 SRG851986:SRG852029 TBC851986:TBC852029 TKY851986:TKY852029 TUU851986:TUU852029 UEQ851986:UEQ852029 UOM851986:UOM852029 UYI851986:UYI852029 VIE851986:VIE852029 VSA851986:VSA852029 WBW851986:WBW852029 WLS851986:WLS852029 WVO851986:WVO852029 D917522:D917565 JC917522:JC917565 SY917522:SY917565 ACU917522:ACU917565 AMQ917522:AMQ917565 AWM917522:AWM917565 BGI917522:BGI917565 BQE917522:BQE917565 CAA917522:CAA917565 CJW917522:CJW917565 CTS917522:CTS917565 DDO917522:DDO917565 DNK917522:DNK917565 DXG917522:DXG917565 EHC917522:EHC917565 EQY917522:EQY917565 FAU917522:FAU917565 FKQ917522:FKQ917565 FUM917522:FUM917565 GEI917522:GEI917565 GOE917522:GOE917565 GYA917522:GYA917565 HHW917522:HHW917565 HRS917522:HRS917565 IBO917522:IBO917565 ILK917522:ILK917565 IVG917522:IVG917565 JFC917522:JFC917565 JOY917522:JOY917565 JYU917522:JYU917565 KIQ917522:KIQ917565 KSM917522:KSM917565 LCI917522:LCI917565 LME917522:LME917565 LWA917522:LWA917565 MFW917522:MFW917565 MPS917522:MPS917565 MZO917522:MZO917565 NJK917522:NJK917565 NTG917522:NTG917565 ODC917522:ODC917565 OMY917522:OMY917565 OWU917522:OWU917565 PGQ917522:PGQ917565 PQM917522:PQM917565 QAI917522:QAI917565 QKE917522:QKE917565 QUA917522:QUA917565 RDW917522:RDW917565 RNS917522:RNS917565 RXO917522:RXO917565 SHK917522:SHK917565 SRG917522:SRG917565 TBC917522:TBC917565 TKY917522:TKY917565 TUU917522:TUU917565 UEQ917522:UEQ917565 UOM917522:UOM917565 UYI917522:UYI917565 VIE917522:VIE917565 VSA917522:VSA917565 WBW917522:WBW917565 WLS917522:WLS917565 WVO917522:WVO917565 D983058:D983101 JC983058:JC983101 SY983058:SY983101 ACU983058:ACU983101 AMQ983058:AMQ983101 AWM983058:AWM983101 BGI983058:BGI983101 BQE983058:BQE983101 CAA983058:CAA983101 CJW983058:CJW983101 CTS983058:CTS983101 DDO983058:DDO983101 DNK983058:DNK983101 DXG983058:DXG983101 EHC983058:EHC983101 EQY983058:EQY983101 FAU983058:FAU983101 FKQ983058:FKQ983101 FUM983058:FUM983101 GEI983058:GEI983101 GOE983058:GOE983101 GYA983058:GYA983101 HHW983058:HHW983101 HRS983058:HRS983101 IBO983058:IBO983101 ILK983058:ILK983101 IVG983058:IVG983101 JFC983058:JFC983101 JOY983058:JOY983101 JYU983058:JYU983101 KIQ983058:KIQ983101 KSM983058:KSM983101 LCI983058:LCI983101 LME983058:LME983101 LWA983058:LWA983101 MFW983058:MFW983101 MPS983058:MPS983101 MZO983058:MZO983101 NJK983058:NJK983101 NTG983058:NTG983101 ODC983058:ODC983101 OMY983058:OMY983101 OWU983058:OWU983101 PGQ983058:PGQ983101 PQM983058:PQM983101 QAI983058:QAI983101 QKE983058:QKE983101 QUA983058:QUA983101 RDW983058:RDW983101 RNS983058:RNS983101 RXO983058:RXO983101 SHK983058:SHK983101 SRG983058:SRG983101 TBC983058:TBC983101 TKY983058:TKY983101 TUU983058:TUU983101 UEQ983058:UEQ983101 UOM983058:UOM983101 UYI983058:UYI983101 VIE983058:VIE983101 VSA983058:VSA983101 WBW983058:WBW983101 WLS983058:WLS983101 WVO17:WVO61 WLS17:WLS61 WBW17:WBW61 VSA17:VSA61 VIE17:VIE61 UYI17:UYI61 UOM17:UOM61 UEQ17:UEQ61 TUU17:TUU61 TKY17:TKY61 TBC17:TBC61 SRG17:SRG61 SHK17:SHK61 RXO17:RXO61 RNS17:RNS61 RDW17:RDW61 QUA17:QUA61 QKE17:QKE61 QAI17:QAI61 PQM17:PQM61 PGQ17:PGQ61 OWU17:OWU61 OMY17:OMY61 ODC17:ODC61 NTG17:NTG61 NJK17:NJK61 MZO17:MZO61 MPS17:MPS61 MFW17:MFW61 LWA17:LWA61 LME17:LME61 LCI17:LCI61 KSM17:KSM61 KIQ17:KIQ61 JYU17:JYU61 JOY17:JOY61 JFC17:JFC61 IVG17:IVG61 ILK17:ILK61 IBO17:IBO61 HRS17:HRS61 HHW17:HHW61 GYA17:GYA61 GOE17:GOE61 GEI17:GEI61 FUM17:FUM61 FKQ17:FKQ61 FAU17:FAU61 EQY17:EQY61 EHC17:EHC61 DXG17:DXG61 DNK17:DNK61 DDO17:DDO61 CTS17:CTS61 CJW17:CJW61 CAA17:CAA61 BQE17:BQE61 BGI17:BGI61 AWM17:AWM61 AMQ17:AMQ61 ACU17:ACU61 SY17:SY61 JC17:JC61 WVQ17:WVQ61 WLU17:WLU61 WBY17:WBY61 VSC17:VSC61 VIG17:VIG61 UYK17:UYK61 UOO17:UOO61 UES17:UES61 TUW17:TUW61 TLA17:TLA61 TBE17:TBE61 SRI17:SRI61 SHM17:SHM61 RXQ17:RXQ61 RNU17:RNU61 RDY17:RDY61 QUC17:QUC61 QKG17:QKG61 QAK17:QAK61 PQO17:PQO61 PGS17:PGS61 OWW17:OWW61 ONA17:ONA61 ODE17:ODE61 NTI17:NTI61 NJM17:NJM61 MZQ17:MZQ61 MPU17:MPU61 MFY17:MFY61 LWC17:LWC61 LMG17:LMG61 LCK17:LCK61 KSO17:KSO61 KIS17:KIS61 JYW17:JYW61 JPA17:JPA61 JFE17:JFE61 IVI17:IVI61 ILM17:ILM61 IBQ17:IBQ61 HRU17:HRU61 HHY17:HHY61 GYC17:GYC61 GOG17:GOG61 GEK17:GEK61 FUO17:FUO61 FKS17:FKS61 FAW17:FAW61 ERA17:ERA61 EHE17:EHE61 DXI17:DXI61 DNM17:DNM61 DDQ17:DDQ61 CTU17:CTU61 CJY17:CJY61 CAC17:CAC61 BQG17:BQG61 BGK17:BGK61 AWO17:AWO61 AMS17:AMS61 ACW17:ACW61 TA17:TA61 JE17:JE61 D17:D61 G17:I61 WVO71:WVO115 WLS71:WLS115 WBW71:WBW115 VSA71:VSA115 VIE71:VIE115 UYI71:UYI115 UOM71:UOM115 UEQ71:UEQ115 TUU71:TUU115 TKY71:TKY115 TBC71:TBC115 SRG71:SRG115 SHK71:SHK115 RXO71:RXO115 RNS71:RNS115 RDW71:RDW115 QUA71:QUA115 QKE71:QKE115 QAI71:QAI115 PQM71:PQM115 PGQ71:PGQ115 OWU71:OWU115 OMY71:OMY115 ODC71:ODC115 NTG71:NTG115 NJK71:NJK115 MZO71:MZO115 MPS71:MPS115 MFW71:MFW115 LWA71:LWA115 LME71:LME115 LCI71:LCI115 KSM71:KSM115 KIQ71:KIQ115 JYU71:JYU115 JOY71:JOY115 JFC71:JFC115 IVG71:IVG115 ILK71:ILK115 IBO71:IBO115 HRS71:HRS115 HHW71:HHW115 GYA71:GYA115 GOE71:GOE115 GEI71:GEI115 FUM71:FUM115 FKQ71:FKQ115 FAU71:FAU115 EQY71:EQY115 EHC71:EHC115 DXG71:DXG115 DNK71:DNK115 DDO71:DDO115 CTS71:CTS115 CJW71:CJW115 CAA71:CAA115 BQE71:BQE115 BGI71:BGI115 AWM71:AWM115 AMQ71:AMQ115 ACU71:ACU115 SY71:SY115 JC71:JC115 WVQ71:WVQ115 WLU71:WLU115 WBY71:WBY115 VSC71:VSC115 VIG71:VIG115 UYK71:UYK115 UOO71:UOO115 UES71:UES115 TUW71:TUW115 TLA71:TLA115 TBE71:TBE115 SRI71:SRI115 SHM71:SHM115 RXQ71:RXQ115 RNU71:RNU115 RDY71:RDY115 QUC71:QUC115 QKG71:QKG115 QAK71:QAK115 PQO71:PQO115 PGS71:PGS115 OWW71:OWW115 ONA71:ONA115 ODE71:ODE115 NTI71:NTI115 NJM71:NJM115 MZQ71:MZQ115 MPU71:MPU115 MFY71:MFY115 LWC71:LWC115 LMG71:LMG115 LCK71:LCK115 KSO71:KSO115 KIS71:KIS115 JYW71:JYW115 JPA71:JPA115 JFE71:JFE115 IVI71:IVI115 ILM71:ILM115 IBQ71:IBQ115 HRU71:HRU115 HHY71:HHY115 GYC71:GYC115 GOG71:GOG115 GEK71:GEK115 FUO71:FUO115 FKS71:FKS115 FAW71:FAW115 ERA71:ERA115 EHE71:EHE115 DXI71:DXI115 DNM71:DNM115 DDQ71:DDQ115 CTU71:CTU115 CJY71:CJY115 CAC71:CAC115 BQG71:BQG115 BGK71:BGK115 AWO71:AWO115 AMS71:AMS115 ACW71:ACW115 TA71:TA115 JE71:JE115 D71:D115 F65554:I65597" xr:uid="{5E0C3CD0-CD8A-4CD1-8C0E-38BE2C63274C}">
      <formula1>0</formula1>
    </dataValidation>
    <dataValidation type="decimal" operator="greaterThanOrEqual" allowBlank="1" showInputMessage="1" showErrorMessage="1" errorTitle="Negatief bedrag" error="Gelieve een positieve waarde in te geven" sqref="WVN983058:WVN983101 C65554:C65597 JB65554:JB65597 SX65554:SX65597 ACT65554:ACT65597 AMP65554:AMP65597 AWL65554:AWL65597 BGH65554:BGH65597 BQD65554:BQD65597 BZZ65554:BZZ65597 CJV65554:CJV65597 CTR65554:CTR65597 DDN65554:DDN65597 DNJ65554:DNJ65597 DXF65554:DXF65597 EHB65554:EHB65597 EQX65554:EQX65597 FAT65554:FAT65597 FKP65554:FKP65597 FUL65554:FUL65597 GEH65554:GEH65597 GOD65554:GOD65597 GXZ65554:GXZ65597 HHV65554:HHV65597 HRR65554:HRR65597 IBN65554:IBN65597 ILJ65554:ILJ65597 IVF65554:IVF65597 JFB65554:JFB65597 JOX65554:JOX65597 JYT65554:JYT65597 KIP65554:KIP65597 KSL65554:KSL65597 LCH65554:LCH65597 LMD65554:LMD65597 LVZ65554:LVZ65597 MFV65554:MFV65597 MPR65554:MPR65597 MZN65554:MZN65597 NJJ65554:NJJ65597 NTF65554:NTF65597 ODB65554:ODB65597 OMX65554:OMX65597 OWT65554:OWT65597 PGP65554:PGP65597 PQL65554:PQL65597 QAH65554:QAH65597 QKD65554:QKD65597 QTZ65554:QTZ65597 RDV65554:RDV65597 RNR65554:RNR65597 RXN65554:RXN65597 SHJ65554:SHJ65597 SRF65554:SRF65597 TBB65554:TBB65597 TKX65554:TKX65597 TUT65554:TUT65597 UEP65554:UEP65597 UOL65554:UOL65597 UYH65554:UYH65597 VID65554:VID65597 VRZ65554:VRZ65597 WBV65554:WBV65597 WLR65554:WLR65597 WVN65554:WVN65597 C131090:C131133 JB131090:JB131133 SX131090:SX131133 ACT131090:ACT131133 AMP131090:AMP131133 AWL131090:AWL131133 BGH131090:BGH131133 BQD131090:BQD131133 BZZ131090:BZZ131133 CJV131090:CJV131133 CTR131090:CTR131133 DDN131090:DDN131133 DNJ131090:DNJ131133 DXF131090:DXF131133 EHB131090:EHB131133 EQX131090:EQX131133 FAT131090:FAT131133 FKP131090:FKP131133 FUL131090:FUL131133 GEH131090:GEH131133 GOD131090:GOD131133 GXZ131090:GXZ131133 HHV131090:HHV131133 HRR131090:HRR131133 IBN131090:IBN131133 ILJ131090:ILJ131133 IVF131090:IVF131133 JFB131090:JFB131133 JOX131090:JOX131133 JYT131090:JYT131133 KIP131090:KIP131133 KSL131090:KSL131133 LCH131090:LCH131133 LMD131090:LMD131133 LVZ131090:LVZ131133 MFV131090:MFV131133 MPR131090:MPR131133 MZN131090:MZN131133 NJJ131090:NJJ131133 NTF131090:NTF131133 ODB131090:ODB131133 OMX131090:OMX131133 OWT131090:OWT131133 PGP131090:PGP131133 PQL131090:PQL131133 QAH131090:QAH131133 QKD131090:QKD131133 QTZ131090:QTZ131133 RDV131090:RDV131133 RNR131090:RNR131133 RXN131090:RXN131133 SHJ131090:SHJ131133 SRF131090:SRF131133 TBB131090:TBB131133 TKX131090:TKX131133 TUT131090:TUT131133 UEP131090:UEP131133 UOL131090:UOL131133 UYH131090:UYH131133 VID131090:VID131133 VRZ131090:VRZ131133 WBV131090:WBV131133 WLR131090:WLR131133 WVN131090:WVN131133 C196626:C196669 JB196626:JB196669 SX196626:SX196669 ACT196626:ACT196669 AMP196626:AMP196669 AWL196626:AWL196669 BGH196626:BGH196669 BQD196626:BQD196669 BZZ196626:BZZ196669 CJV196626:CJV196669 CTR196626:CTR196669 DDN196626:DDN196669 DNJ196626:DNJ196669 DXF196626:DXF196669 EHB196626:EHB196669 EQX196626:EQX196669 FAT196626:FAT196669 FKP196626:FKP196669 FUL196626:FUL196669 GEH196626:GEH196669 GOD196626:GOD196669 GXZ196626:GXZ196669 HHV196626:HHV196669 HRR196626:HRR196669 IBN196626:IBN196669 ILJ196626:ILJ196669 IVF196626:IVF196669 JFB196626:JFB196669 JOX196626:JOX196669 JYT196626:JYT196669 KIP196626:KIP196669 KSL196626:KSL196669 LCH196626:LCH196669 LMD196626:LMD196669 LVZ196626:LVZ196669 MFV196626:MFV196669 MPR196626:MPR196669 MZN196626:MZN196669 NJJ196626:NJJ196669 NTF196626:NTF196669 ODB196626:ODB196669 OMX196626:OMX196669 OWT196626:OWT196669 PGP196626:PGP196669 PQL196626:PQL196669 QAH196626:QAH196669 QKD196626:QKD196669 QTZ196626:QTZ196669 RDV196626:RDV196669 RNR196626:RNR196669 RXN196626:RXN196669 SHJ196626:SHJ196669 SRF196626:SRF196669 TBB196626:TBB196669 TKX196626:TKX196669 TUT196626:TUT196669 UEP196626:UEP196669 UOL196626:UOL196669 UYH196626:UYH196669 VID196626:VID196669 VRZ196626:VRZ196669 WBV196626:WBV196669 WLR196626:WLR196669 WVN196626:WVN196669 C262162:C262205 JB262162:JB262205 SX262162:SX262205 ACT262162:ACT262205 AMP262162:AMP262205 AWL262162:AWL262205 BGH262162:BGH262205 BQD262162:BQD262205 BZZ262162:BZZ262205 CJV262162:CJV262205 CTR262162:CTR262205 DDN262162:DDN262205 DNJ262162:DNJ262205 DXF262162:DXF262205 EHB262162:EHB262205 EQX262162:EQX262205 FAT262162:FAT262205 FKP262162:FKP262205 FUL262162:FUL262205 GEH262162:GEH262205 GOD262162:GOD262205 GXZ262162:GXZ262205 HHV262162:HHV262205 HRR262162:HRR262205 IBN262162:IBN262205 ILJ262162:ILJ262205 IVF262162:IVF262205 JFB262162:JFB262205 JOX262162:JOX262205 JYT262162:JYT262205 KIP262162:KIP262205 KSL262162:KSL262205 LCH262162:LCH262205 LMD262162:LMD262205 LVZ262162:LVZ262205 MFV262162:MFV262205 MPR262162:MPR262205 MZN262162:MZN262205 NJJ262162:NJJ262205 NTF262162:NTF262205 ODB262162:ODB262205 OMX262162:OMX262205 OWT262162:OWT262205 PGP262162:PGP262205 PQL262162:PQL262205 QAH262162:QAH262205 QKD262162:QKD262205 QTZ262162:QTZ262205 RDV262162:RDV262205 RNR262162:RNR262205 RXN262162:RXN262205 SHJ262162:SHJ262205 SRF262162:SRF262205 TBB262162:TBB262205 TKX262162:TKX262205 TUT262162:TUT262205 UEP262162:UEP262205 UOL262162:UOL262205 UYH262162:UYH262205 VID262162:VID262205 VRZ262162:VRZ262205 WBV262162:WBV262205 WLR262162:WLR262205 WVN262162:WVN262205 C327698:C327741 JB327698:JB327741 SX327698:SX327741 ACT327698:ACT327741 AMP327698:AMP327741 AWL327698:AWL327741 BGH327698:BGH327741 BQD327698:BQD327741 BZZ327698:BZZ327741 CJV327698:CJV327741 CTR327698:CTR327741 DDN327698:DDN327741 DNJ327698:DNJ327741 DXF327698:DXF327741 EHB327698:EHB327741 EQX327698:EQX327741 FAT327698:FAT327741 FKP327698:FKP327741 FUL327698:FUL327741 GEH327698:GEH327741 GOD327698:GOD327741 GXZ327698:GXZ327741 HHV327698:HHV327741 HRR327698:HRR327741 IBN327698:IBN327741 ILJ327698:ILJ327741 IVF327698:IVF327741 JFB327698:JFB327741 JOX327698:JOX327741 JYT327698:JYT327741 KIP327698:KIP327741 KSL327698:KSL327741 LCH327698:LCH327741 LMD327698:LMD327741 LVZ327698:LVZ327741 MFV327698:MFV327741 MPR327698:MPR327741 MZN327698:MZN327741 NJJ327698:NJJ327741 NTF327698:NTF327741 ODB327698:ODB327741 OMX327698:OMX327741 OWT327698:OWT327741 PGP327698:PGP327741 PQL327698:PQL327741 QAH327698:QAH327741 QKD327698:QKD327741 QTZ327698:QTZ327741 RDV327698:RDV327741 RNR327698:RNR327741 RXN327698:RXN327741 SHJ327698:SHJ327741 SRF327698:SRF327741 TBB327698:TBB327741 TKX327698:TKX327741 TUT327698:TUT327741 UEP327698:UEP327741 UOL327698:UOL327741 UYH327698:UYH327741 VID327698:VID327741 VRZ327698:VRZ327741 WBV327698:WBV327741 WLR327698:WLR327741 WVN327698:WVN327741 C393234:C393277 JB393234:JB393277 SX393234:SX393277 ACT393234:ACT393277 AMP393234:AMP393277 AWL393234:AWL393277 BGH393234:BGH393277 BQD393234:BQD393277 BZZ393234:BZZ393277 CJV393234:CJV393277 CTR393234:CTR393277 DDN393234:DDN393277 DNJ393234:DNJ393277 DXF393234:DXF393277 EHB393234:EHB393277 EQX393234:EQX393277 FAT393234:FAT393277 FKP393234:FKP393277 FUL393234:FUL393277 GEH393234:GEH393277 GOD393234:GOD393277 GXZ393234:GXZ393277 HHV393234:HHV393277 HRR393234:HRR393277 IBN393234:IBN393277 ILJ393234:ILJ393277 IVF393234:IVF393277 JFB393234:JFB393277 JOX393234:JOX393277 JYT393234:JYT393277 KIP393234:KIP393277 KSL393234:KSL393277 LCH393234:LCH393277 LMD393234:LMD393277 LVZ393234:LVZ393277 MFV393234:MFV393277 MPR393234:MPR393277 MZN393234:MZN393277 NJJ393234:NJJ393277 NTF393234:NTF393277 ODB393234:ODB393277 OMX393234:OMX393277 OWT393234:OWT393277 PGP393234:PGP393277 PQL393234:PQL393277 QAH393234:QAH393277 QKD393234:QKD393277 QTZ393234:QTZ393277 RDV393234:RDV393277 RNR393234:RNR393277 RXN393234:RXN393277 SHJ393234:SHJ393277 SRF393234:SRF393277 TBB393234:TBB393277 TKX393234:TKX393277 TUT393234:TUT393277 UEP393234:UEP393277 UOL393234:UOL393277 UYH393234:UYH393277 VID393234:VID393277 VRZ393234:VRZ393277 WBV393234:WBV393277 WLR393234:WLR393277 WVN393234:WVN393277 C458770:C458813 JB458770:JB458813 SX458770:SX458813 ACT458770:ACT458813 AMP458770:AMP458813 AWL458770:AWL458813 BGH458770:BGH458813 BQD458770:BQD458813 BZZ458770:BZZ458813 CJV458770:CJV458813 CTR458770:CTR458813 DDN458770:DDN458813 DNJ458770:DNJ458813 DXF458770:DXF458813 EHB458770:EHB458813 EQX458770:EQX458813 FAT458770:FAT458813 FKP458770:FKP458813 FUL458770:FUL458813 GEH458770:GEH458813 GOD458770:GOD458813 GXZ458770:GXZ458813 HHV458770:HHV458813 HRR458770:HRR458813 IBN458770:IBN458813 ILJ458770:ILJ458813 IVF458770:IVF458813 JFB458770:JFB458813 JOX458770:JOX458813 JYT458770:JYT458813 KIP458770:KIP458813 KSL458770:KSL458813 LCH458770:LCH458813 LMD458770:LMD458813 LVZ458770:LVZ458813 MFV458770:MFV458813 MPR458770:MPR458813 MZN458770:MZN458813 NJJ458770:NJJ458813 NTF458770:NTF458813 ODB458770:ODB458813 OMX458770:OMX458813 OWT458770:OWT458813 PGP458770:PGP458813 PQL458770:PQL458813 QAH458770:QAH458813 QKD458770:QKD458813 QTZ458770:QTZ458813 RDV458770:RDV458813 RNR458770:RNR458813 RXN458770:RXN458813 SHJ458770:SHJ458813 SRF458770:SRF458813 TBB458770:TBB458813 TKX458770:TKX458813 TUT458770:TUT458813 UEP458770:UEP458813 UOL458770:UOL458813 UYH458770:UYH458813 VID458770:VID458813 VRZ458770:VRZ458813 WBV458770:WBV458813 WLR458770:WLR458813 WVN458770:WVN458813 C524306:C524349 JB524306:JB524349 SX524306:SX524349 ACT524306:ACT524349 AMP524306:AMP524349 AWL524306:AWL524349 BGH524306:BGH524349 BQD524306:BQD524349 BZZ524306:BZZ524349 CJV524306:CJV524349 CTR524306:CTR524349 DDN524306:DDN524349 DNJ524306:DNJ524349 DXF524306:DXF524349 EHB524306:EHB524349 EQX524306:EQX524349 FAT524306:FAT524349 FKP524306:FKP524349 FUL524306:FUL524349 GEH524306:GEH524349 GOD524306:GOD524349 GXZ524306:GXZ524349 HHV524306:HHV524349 HRR524306:HRR524349 IBN524306:IBN524349 ILJ524306:ILJ524349 IVF524306:IVF524349 JFB524306:JFB524349 JOX524306:JOX524349 JYT524306:JYT524349 KIP524306:KIP524349 KSL524306:KSL524349 LCH524306:LCH524349 LMD524306:LMD524349 LVZ524306:LVZ524349 MFV524306:MFV524349 MPR524306:MPR524349 MZN524306:MZN524349 NJJ524306:NJJ524349 NTF524306:NTF524349 ODB524306:ODB524349 OMX524306:OMX524349 OWT524306:OWT524349 PGP524306:PGP524349 PQL524306:PQL524349 QAH524306:QAH524349 QKD524306:QKD524349 QTZ524306:QTZ524349 RDV524306:RDV524349 RNR524306:RNR524349 RXN524306:RXN524349 SHJ524306:SHJ524349 SRF524306:SRF524349 TBB524306:TBB524349 TKX524306:TKX524349 TUT524306:TUT524349 UEP524306:UEP524349 UOL524306:UOL524349 UYH524306:UYH524349 VID524306:VID524349 VRZ524306:VRZ524349 WBV524306:WBV524349 WLR524306:WLR524349 WVN524306:WVN524349 C589842:C589885 JB589842:JB589885 SX589842:SX589885 ACT589842:ACT589885 AMP589842:AMP589885 AWL589842:AWL589885 BGH589842:BGH589885 BQD589842:BQD589885 BZZ589842:BZZ589885 CJV589842:CJV589885 CTR589842:CTR589885 DDN589842:DDN589885 DNJ589842:DNJ589885 DXF589842:DXF589885 EHB589842:EHB589885 EQX589842:EQX589885 FAT589842:FAT589885 FKP589842:FKP589885 FUL589842:FUL589885 GEH589842:GEH589885 GOD589842:GOD589885 GXZ589842:GXZ589885 HHV589842:HHV589885 HRR589842:HRR589885 IBN589842:IBN589885 ILJ589842:ILJ589885 IVF589842:IVF589885 JFB589842:JFB589885 JOX589842:JOX589885 JYT589842:JYT589885 KIP589842:KIP589885 KSL589842:KSL589885 LCH589842:LCH589885 LMD589842:LMD589885 LVZ589842:LVZ589885 MFV589842:MFV589885 MPR589842:MPR589885 MZN589842:MZN589885 NJJ589842:NJJ589885 NTF589842:NTF589885 ODB589842:ODB589885 OMX589842:OMX589885 OWT589842:OWT589885 PGP589842:PGP589885 PQL589842:PQL589885 QAH589842:QAH589885 QKD589842:QKD589885 QTZ589842:QTZ589885 RDV589842:RDV589885 RNR589842:RNR589885 RXN589842:RXN589885 SHJ589842:SHJ589885 SRF589842:SRF589885 TBB589842:TBB589885 TKX589842:TKX589885 TUT589842:TUT589885 UEP589842:UEP589885 UOL589842:UOL589885 UYH589842:UYH589885 VID589842:VID589885 VRZ589842:VRZ589885 WBV589842:WBV589885 WLR589842:WLR589885 WVN589842:WVN589885 C655378:C655421 JB655378:JB655421 SX655378:SX655421 ACT655378:ACT655421 AMP655378:AMP655421 AWL655378:AWL655421 BGH655378:BGH655421 BQD655378:BQD655421 BZZ655378:BZZ655421 CJV655378:CJV655421 CTR655378:CTR655421 DDN655378:DDN655421 DNJ655378:DNJ655421 DXF655378:DXF655421 EHB655378:EHB655421 EQX655378:EQX655421 FAT655378:FAT655421 FKP655378:FKP655421 FUL655378:FUL655421 GEH655378:GEH655421 GOD655378:GOD655421 GXZ655378:GXZ655421 HHV655378:HHV655421 HRR655378:HRR655421 IBN655378:IBN655421 ILJ655378:ILJ655421 IVF655378:IVF655421 JFB655378:JFB655421 JOX655378:JOX655421 JYT655378:JYT655421 KIP655378:KIP655421 KSL655378:KSL655421 LCH655378:LCH655421 LMD655378:LMD655421 LVZ655378:LVZ655421 MFV655378:MFV655421 MPR655378:MPR655421 MZN655378:MZN655421 NJJ655378:NJJ655421 NTF655378:NTF655421 ODB655378:ODB655421 OMX655378:OMX655421 OWT655378:OWT655421 PGP655378:PGP655421 PQL655378:PQL655421 QAH655378:QAH655421 QKD655378:QKD655421 QTZ655378:QTZ655421 RDV655378:RDV655421 RNR655378:RNR655421 RXN655378:RXN655421 SHJ655378:SHJ655421 SRF655378:SRF655421 TBB655378:TBB655421 TKX655378:TKX655421 TUT655378:TUT655421 UEP655378:UEP655421 UOL655378:UOL655421 UYH655378:UYH655421 VID655378:VID655421 VRZ655378:VRZ655421 WBV655378:WBV655421 WLR655378:WLR655421 WVN655378:WVN655421 C720914:C720957 JB720914:JB720957 SX720914:SX720957 ACT720914:ACT720957 AMP720914:AMP720957 AWL720914:AWL720957 BGH720914:BGH720957 BQD720914:BQD720957 BZZ720914:BZZ720957 CJV720914:CJV720957 CTR720914:CTR720957 DDN720914:DDN720957 DNJ720914:DNJ720957 DXF720914:DXF720957 EHB720914:EHB720957 EQX720914:EQX720957 FAT720914:FAT720957 FKP720914:FKP720957 FUL720914:FUL720957 GEH720914:GEH720957 GOD720914:GOD720957 GXZ720914:GXZ720957 HHV720914:HHV720957 HRR720914:HRR720957 IBN720914:IBN720957 ILJ720914:ILJ720957 IVF720914:IVF720957 JFB720914:JFB720957 JOX720914:JOX720957 JYT720914:JYT720957 KIP720914:KIP720957 KSL720914:KSL720957 LCH720914:LCH720957 LMD720914:LMD720957 LVZ720914:LVZ720957 MFV720914:MFV720957 MPR720914:MPR720957 MZN720914:MZN720957 NJJ720914:NJJ720957 NTF720914:NTF720957 ODB720914:ODB720957 OMX720914:OMX720957 OWT720914:OWT720957 PGP720914:PGP720957 PQL720914:PQL720957 QAH720914:QAH720957 QKD720914:QKD720957 QTZ720914:QTZ720957 RDV720914:RDV720957 RNR720914:RNR720957 RXN720914:RXN720957 SHJ720914:SHJ720957 SRF720914:SRF720957 TBB720914:TBB720957 TKX720914:TKX720957 TUT720914:TUT720957 UEP720914:UEP720957 UOL720914:UOL720957 UYH720914:UYH720957 VID720914:VID720957 VRZ720914:VRZ720957 WBV720914:WBV720957 WLR720914:WLR720957 WVN720914:WVN720957 C786450:C786493 JB786450:JB786493 SX786450:SX786493 ACT786450:ACT786493 AMP786450:AMP786493 AWL786450:AWL786493 BGH786450:BGH786493 BQD786450:BQD786493 BZZ786450:BZZ786493 CJV786450:CJV786493 CTR786450:CTR786493 DDN786450:DDN786493 DNJ786450:DNJ786493 DXF786450:DXF786493 EHB786450:EHB786493 EQX786450:EQX786493 FAT786450:FAT786493 FKP786450:FKP786493 FUL786450:FUL786493 GEH786450:GEH786493 GOD786450:GOD786493 GXZ786450:GXZ786493 HHV786450:HHV786493 HRR786450:HRR786493 IBN786450:IBN786493 ILJ786450:ILJ786493 IVF786450:IVF786493 JFB786450:JFB786493 JOX786450:JOX786493 JYT786450:JYT786493 KIP786450:KIP786493 KSL786450:KSL786493 LCH786450:LCH786493 LMD786450:LMD786493 LVZ786450:LVZ786493 MFV786450:MFV786493 MPR786450:MPR786493 MZN786450:MZN786493 NJJ786450:NJJ786493 NTF786450:NTF786493 ODB786450:ODB786493 OMX786450:OMX786493 OWT786450:OWT786493 PGP786450:PGP786493 PQL786450:PQL786493 QAH786450:QAH786493 QKD786450:QKD786493 QTZ786450:QTZ786493 RDV786450:RDV786493 RNR786450:RNR786493 RXN786450:RXN786493 SHJ786450:SHJ786493 SRF786450:SRF786493 TBB786450:TBB786493 TKX786450:TKX786493 TUT786450:TUT786493 UEP786450:UEP786493 UOL786450:UOL786493 UYH786450:UYH786493 VID786450:VID786493 VRZ786450:VRZ786493 WBV786450:WBV786493 WLR786450:WLR786493 WVN786450:WVN786493 C851986:C852029 JB851986:JB852029 SX851986:SX852029 ACT851986:ACT852029 AMP851986:AMP852029 AWL851986:AWL852029 BGH851986:BGH852029 BQD851986:BQD852029 BZZ851986:BZZ852029 CJV851986:CJV852029 CTR851986:CTR852029 DDN851986:DDN852029 DNJ851986:DNJ852029 DXF851986:DXF852029 EHB851986:EHB852029 EQX851986:EQX852029 FAT851986:FAT852029 FKP851986:FKP852029 FUL851986:FUL852029 GEH851986:GEH852029 GOD851986:GOD852029 GXZ851986:GXZ852029 HHV851986:HHV852029 HRR851986:HRR852029 IBN851986:IBN852029 ILJ851986:ILJ852029 IVF851986:IVF852029 JFB851986:JFB852029 JOX851986:JOX852029 JYT851986:JYT852029 KIP851986:KIP852029 KSL851986:KSL852029 LCH851986:LCH852029 LMD851986:LMD852029 LVZ851986:LVZ852029 MFV851986:MFV852029 MPR851986:MPR852029 MZN851986:MZN852029 NJJ851986:NJJ852029 NTF851986:NTF852029 ODB851986:ODB852029 OMX851986:OMX852029 OWT851986:OWT852029 PGP851986:PGP852029 PQL851986:PQL852029 QAH851986:QAH852029 QKD851986:QKD852029 QTZ851986:QTZ852029 RDV851986:RDV852029 RNR851986:RNR852029 RXN851986:RXN852029 SHJ851986:SHJ852029 SRF851986:SRF852029 TBB851986:TBB852029 TKX851986:TKX852029 TUT851986:TUT852029 UEP851986:UEP852029 UOL851986:UOL852029 UYH851986:UYH852029 VID851986:VID852029 VRZ851986:VRZ852029 WBV851986:WBV852029 WLR851986:WLR852029 WVN851986:WVN852029 C917522:C917565 JB917522:JB917565 SX917522:SX917565 ACT917522:ACT917565 AMP917522:AMP917565 AWL917522:AWL917565 BGH917522:BGH917565 BQD917522:BQD917565 BZZ917522:BZZ917565 CJV917522:CJV917565 CTR917522:CTR917565 DDN917522:DDN917565 DNJ917522:DNJ917565 DXF917522:DXF917565 EHB917522:EHB917565 EQX917522:EQX917565 FAT917522:FAT917565 FKP917522:FKP917565 FUL917522:FUL917565 GEH917522:GEH917565 GOD917522:GOD917565 GXZ917522:GXZ917565 HHV917522:HHV917565 HRR917522:HRR917565 IBN917522:IBN917565 ILJ917522:ILJ917565 IVF917522:IVF917565 JFB917522:JFB917565 JOX917522:JOX917565 JYT917522:JYT917565 KIP917522:KIP917565 KSL917522:KSL917565 LCH917522:LCH917565 LMD917522:LMD917565 LVZ917522:LVZ917565 MFV917522:MFV917565 MPR917522:MPR917565 MZN917522:MZN917565 NJJ917522:NJJ917565 NTF917522:NTF917565 ODB917522:ODB917565 OMX917522:OMX917565 OWT917522:OWT917565 PGP917522:PGP917565 PQL917522:PQL917565 QAH917522:QAH917565 QKD917522:QKD917565 QTZ917522:QTZ917565 RDV917522:RDV917565 RNR917522:RNR917565 RXN917522:RXN917565 SHJ917522:SHJ917565 SRF917522:SRF917565 TBB917522:TBB917565 TKX917522:TKX917565 TUT917522:TUT917565 UEP917522:UEP917565 UOL917522:UOL917565 UYH917522:UYH917565 VID917522:VID917565 VRZ917522:VRZ917565 WBV917522:WBV917565 WLR917522:WLR917565 WVN917522:WVN917565 C983058:C983101 JB983058:JB983101 SX983058:SX983101 ACT983058:ACT983101 AMP983058:AMP983101 AWL983058:AWL983101 BGH983058:BGH983101 BQD983058:BQD983101 BZZ983058:BZZ983101 CJV983058:CJV983101 CTR983058:CTR983101 DDN983058:DDN983101 DNJ983058:DNJ983101 DXF983058:DXF983101 EHB983058:EHB983101 EQX983058:EQX983101 FAT983058:FAT983101 FKP983058:FKP983101 FUL983058:FUL983101 GEH983058:GEH983101 GOD983058:GOD983101 GXZ983058:GXZ983101 HHV983058:HHV983101 HRR983058:HRR983101 IBN983058:IBN983101 ILJ983058:ILJ983101 IVF983058:IVF983101 JFB983058:JFB983101 JOX983058:JOX983101 JYT983058:JYT983101 KIP983058:KIP983101 KSL983058:KSL983101 LCH983058:LCH983101 LMD983058:LMD983101 LVZ983058:LVZ983101 MFV983058:MFV983101 MPR983058:MPR983101 MZN983058:MZN983101 NJJ983058:NJJ983101 NTF983058:NTF983101 ODB983058:ODB983101 OMX983058:OMX983101 OWT983058:OWT983101 PGP983058:PGP983101 PQL983058:PQL983101 QAH983058:QAH983101 QKD983058:QKD983101 QTZ983058:QTZ983101 RDV983058:RDV983101 RNR983058:RNR983101 RXN983058:RXN983101 SHJ983058:SHJ983101 SRF983058:SRF983101 TBB983058:TBB983101 TKX983058:TKX983101 TUT983058:TUT983101 UEP983058:UEP983101 UOL983058:UOL983101 UYH983058:UYH983101 VID983058:VID983101 VRZ983058:VRZ983101 WBV983058:WBV983101 WLR983058:WLR983101 WVN17:WVN61 WLR17:WLR61 WBV17:WBV61 VRZ17:VRZ61 VID17:VID61 UYH17:UYH61 UOL17:UOL61 UEP17:UEP61 TUT17:TUT61 TKX17:TKX61 TBB17:TBB61 SRF17:SRF61 SHJ17:SHJ61 RXN17:RXN61 RNR17:RNR61 RDV17:RDV61 QTZ17:QTZ61 QKD17:QKD61 QAH17:QAH61 PQL17:PQL61 PGP17:PGP61 OWT17:OWT61 OMX17:OMX61 ODB17:ODB61 NTF17:NTF61 NJJ17:NJJ61 MZN17:MZN61 MPR17:MPR61 MFV17:MFV61 LVZ17:LVZ61 LMD17:LMD61 LCH17:LCH61 KSL17:KSL61 KIP17:KIP61 JYT17:JYT61 JOX17:JOX61 JFB17:JFB61 IVF17:IVF61 ILJ17:ILJ61 IBN17:IBN61 HRR17:HRR61 HHV17:HHV61 GXZ17:GXZ61 GOD17:GOD61 GEH17:GEH61 FUL17:FUL61 FKP17:FKP61 FAT17:FAT61 EQX17:EQX61 EHB17:EHB61 DXF17:DXF61 DNJ17:DNJ61 DDN17:DDN61 CTR17:CTR61 CJV17:CJV61 BZZ17:BZZ61 BQD17:BQD61 BGH17:BGH61 AWL17:AWL61 AMP17:AMP61 ACT17:ACT61 SX17:SX61 JB17:JB61 C17:C61 WVN71:WVN115 WLR71:WLR115 WBV71:WBV115 VRZ71:VRZ115 VID71:VID115 UYH71:UYH115 UOL71:UOL115 UEP71:UEP115 TUT71:TUT115 TKX71:TKX115 TBB71:TBB115 SRF71:SRF115 SHJ71:SHJ115 RXN71:RXN115 RNR71:RNR115 RDV71:RDV115 QTZ71:QTZ115 QKD71:QKD115 QAH71:QAH115 PQL71:PQL115 PGP71:PGP115 OWT71:OWT115 OMX71:OMX115 ODB71:ODB115 NTF71:NTF115 NJJ71:NJJ115 MZN71:MZN115 MPR71:MPR115 MFV71:MFV115 LVZ71:LVZ115 LMD71:LMD115 LCH71:LCH115 KSL71:KSL115 KIP71:KIP115 JYT71:JYT115 JOX71:JOX115 JFB71:JFB115 IVF71:IVF115 ILJ71:ILJ115 IBN71:IBN115 HRR71:HRR115 HHV71:HHV115 GXZ71:GXZ115 GOD71:GOD115 GEH71:GEH115 FUL71:FUL115 FKP71:FKP115 FAT71:FAT115 EQX71:EQX115 EHB71:EHB115 DXF71:DXF115 DNJ71:DNJ115 DDN71:DDN115 CTR71:CTR115 CJV71:CJV115 BZZ71:BZZ115 BQD71:BQD115 BGH71:BGH115 AWL71:AWL115 AMP71:AMP115 ACT71:ACT115 SX71:SX115 JB71:JB115 C71:C115" xr:uid="{39F96CCE-99A0-4721-8A51-992E164ED1F5}">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C09E5AA6-EF81-4C9E-AC40-BECF039DFD99}">
            <xm:f>TITELBLAD!$F$16="ex-ante"</xm:f>
            <x14:dxf>
              <fill>
                <patternFill patternType="lightUp"/>
              </fill>
            </x14:dxf>
          </x14:cfRule>
          <xm:sqref>A68:E118 G68:J118</xm:sqref>
        </x14:conditionalFormatting>
        <x14:conditionalFormatting xmlns:xm="http://schemas.microsoft.com/office/excel/2006/main">
          <x14:cfRule type="expression" priority="1" id="{8C7BF3CD-7B25-4AB2-B593-7F3FA3683BE3}">
            <xm:f>TITELBLAD!$F$16="ex-ante"</xm:f>
            <x14:dxf>
              <fill>
                <patternFill patternType="lightUp"/>
              </fill>
            </x14:dxf>
          </x14:cfRule>
          <xm:sqref>F68:F118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B4EA-53D4-45D5-BD9E-2B67749CD754}">
  <dimension ref="A1:N76"/>
  <sheetViews>
    <sheetView topLeftCell="B1" zoomScale="80" zoomScaleNormal="80" workbookViewId="0">
      <selection activeCell="H11" sqref="H11"/>
    </sheetView>
  </sheetViews>
  <sheetFormatPr defaultColWidth="9.140625" defaultRowHeight="12.75" x14ac:dyDescent="0.2"/>
  <cols>
    <col min="1" max="1" width="47.5703125" style="166" customWidth="1"/>
    <col min="2" max="2" width="29.5703125" style="166" customWidth="1"/>
    <col min="3" max="7" width="31" style="166" customWidth="1"/>
    <col min="8" max="9" width="31" style="956" customWidth="1"/>
    <col min="10" max="17" width="31" style="166" customWidth="1"/>
    <col min="18" max="18" width="8.85546875" style="166" customWidth="1"/>
    <col min="19" max="45" width="9.140625" style="166" customWidth="1"/>
    <col min="46" max="259" width="9.140625" style="166"/>
    <col min="260" max="260" width="47.5703125" style="166" customWidth="1"/>
    <col min="261" max="261" width="29.5703125" style="166" customWidth="1"/>
    <col min="262" max="273" width="31" style="166" customWidth="1"/>
    <col min="274" max="274" width="8.85546875" style="166" customWidth="1"/>
    <col min="275" max="515" width="9.140625" style="166"/>
    <col min="516" max="516" width="47.5703125" style="166" customWidth="1"/>
    <col min="517" max="517" width="29.5703125" style="166" customWidth="1"/>
    <col min="518" max="529" width="31" style="166" customWidth="1"/>
    <col min="530" max="530" width="8.85546875" style="166" customWidth="1"/>
    <col min="531" max="771" width="9.140625" style="166"/>
    <col min="772" max="772" width="47.5703125" style="166" customWidth="1"/>
    <col min="773" max="773" width="29.5703125" style="166" customWidth="1"/>
    <col min="774" max="785" width="31" style="166" customWidth="1"/>
    <col min="786" max="786" width="8.85546875" style="166" customWidth="1"/>
    <col min="787" max="1027" width="9.140625" style="166"/>
    <col min="1028" max="1028" width="47.5703125" style="166" customWidth="1"/>
    <col min="1029" max="1029" width="29.5703125" style="166" customWidth="1"/>
    <col min="1030" max="1041" width="31" style="166" customWidth="1"/>
    <col min="1042" max="1042" width="8.85546875" style="166" customWidth="1"/>
    <col min="1043" max="1283" width="9.140625" style="166"/>
    <col min="1284" max="1284" width="47.5703125" style="166" customWidth="1"/>
    <col min="1285" max="1285" width="29.5703125" style="166" customWidth="1"/>
    <col min="1286" max="1297" width="31" style="166" customWidth="1"/>
    <col min="1298" max="1298" width="8.85546875" style="166" customWidth="1"/>
    <col min="1299" max="1539" width="9.140625" style="166"/>
    <col min="1540" max="1540" width="47.5703125" style="166" customWidth="1"/>
    <col min="1541" max="1541" width="29.5703125" style="166" customWidth="1"/>
    <col min="1542" max="1553" width="31" style="166" customWidth="1"/>
    <col min="1554" max="1554" width="8.85546875" style="166" customWidth="1"/>
    <col min="1555" max="1795" width="9.140625" style="166"/>
    <col min="1796" max="1796" width="47.5703125" style="166" customWidth="1"/>
    <col min="1797" max="1797" width="29.5703125" style="166" customWidth="1"/>
    <col min="1798" max="1809" width="31" style="166" customWidth="1"/>
    <col min="1810" max="1810" width="8.85546875" style="166" customWidth="1"/>
    <col min="1811" max="2051" width="9.140625" style="166"/>
    <col min="2052" max="2052" width="47.5703125" style="166" customWidth="1"/>
    <col min="2053" max="2053" width="29.5703125" style="166" customWidth="1"/>
    <col min="2054" max="2065" width="31" style="166" customWidth="1"/>
    <col min="2066" max="2066" width="8.85546875" style="166" customWidth="1"/>
    <col min="2067" max="2307" width="9.140625" style="166"/>
    <col min="2308" max="2308" width="47.5703125" style="166" customWidth="1"/>
    <col min="2309" max="2309" width="29.5703125" style="166" customWidth="1"/>
    <col min="2310" max="2321" width="31" style="166" customWidth="1"/>
    <col min="2322" max="2322" width="8.85546875" style="166" customWidth="1"/>
    <col min="2323" max="2563" width="9.140625" style="166"/>
    <col min="2564" max="2564" width="47.5703125" style="166" customWidth="1"/>
    <col min="2565" max="2565" width="29.5703125" style="166" customWidth="1"/>
    <col min="2566" max="2577" width="31" style="166" customWidth="1"/>
    <col min="2578" max="2578" width="8.85546875" style="166" customWidth="1"/>
    <col min="2579" max="2819" width="9.140625" style="166"/>
    <col min="2820" max="2820" width="47.5703125" style="166" customWidth="1"/>
    <col min="2821" max="2821" width="29.5703125" style="166" customWidth="1"/>
    <col min="2822" max="2833" width="31" style="166" customWidth="1"/>
    <col min="2834" max="2834" width="8.85546875" style="166" customWidth="1"/>
    <col min="2835" max="3075" width="9.140625" style="166"/>
    <col min="3076" max="3076" width="47.5703125" style="166" customWidth="1"/>
    <col min="3077" max="3077" width="29.5703125" style="166" customWidth="1"/>
    <col min="3078" max="3089" width="31" style="166" customWidth="1"/>
    <col min="3090" max="3090" width="8.85546875" style="166" customWidth="1"/>
    <col min="3091" max="3331" width="9.140625" style="166"/>
    <col min="3332" max="3332" width="47.5703125" style="166" customWidth="1"/>
    <col min="3333" max="3333" width="29.5703125" style="166" customWidth="1"/>
    <col min="3334" max="3345" width="31" style="166" customWidth="1"/>
    <col min="3346" max="3346" width="8.85546875" style="166" customWidth="1"/>
    <col min="3347" max="3587" width="9.140625" style="166"/>
    <col min="3588" max="3588" width="47.5703125" style="166" customWidth="1"/>
    <col min="3589" max="3589" width="29.5703125" style="166" customWidth="1"/>
    <col min="3590" max="3601" width="31" style="166" customWidth="1"/>
    <col min="3602" max="3602" width="8.85546875" style="166" customWidth="1"/>
    <col min="3603" max="3843" width="9.140625" style="166"/>
    <col min="3844" max="3844" width="47.5703125" style="166" customWidth="1"/>
    <col min="3845" max="3845" width="29.5703125" style="166" customWidth="1"/>
    <col min="3846" max="3857" width="31" style="166" customWidth="1"/>
    <col min="3858" max="3858" width="8.85546875" style="166" customWidth="1"/>
    <col min="3859" max="4099" width="9.140625" style="166"/>
    <col min="4100" max="4100" width="47.5703125" style="166" customWidth="1"/>
    <col min="4101" max="4101" width="29.5703125" style="166" customWidth="1"/>
    <col min="4102" max="4113" width="31" style="166" customWidth="1"/>
    <col min="4114" max="4114" width="8.85546875" style="166" customWidth="1"/>
    <col min="4115" max="4355" width="9.140625" style="166"/>
    <col min="4356" max="4356" width="47.5703125" style="166" customWidth="1"/>
    <col min="4357" max="4357" width="29.5703125" style="166" customWidth="1"/>
    <col min="4358" max="4369" width="31" style="166" customWidth="1"/>
    <col min="4370" max="4370" width="8.85546875" style="166" customWidth="1"/>
    <col min="4371" max="4611" width="9.140625" style="166"/>
    <col min="4612" max="4612" width="47.5703125" style="166" customWidth="1"/>
    <col min="4613" max="4613" width="29.5703125" style="166" customWidth="1"/>
    <col min="4614" max="4625" width="31" style="166" customWidth="1"/>
    <col min="4626" max="4626" width="8.85546875" style="166" customWidth="1"/>
    <col min="4627" max="4867" width="9.140625" style="166"/>
    <col min="4868" max="4868" width="47.5703125" style="166" customWidth="1"/>
    <col min="4869" max="4869" width="29.5703125" style="166" customWidth="1"/>
    <col min="4870" max="4881" width="31" style="166" customWidth="1"/>
    <col min="4882" max="4882" width="8.85546875" style="166" customWidth="1"/>
    <col min="4883" max="5123" width="9.140625" style="166"/>
    <col min="5124" max="5124" width="47.5703125" style="166" customWidth="1"/>
    <col min="5125" max="5125" width="29.5703125" style="166" customWidth="1"/>
    <col min="5126" max="5137" width="31" style="166" customWidth="1"/>
    <col min="5138" max="5138" width="8.85546875" style="166" customWidth="1"/>
    <col min="5139" max="5379" width="9.140625" style="166"/>
    <col min="5380" max="5380" width="47.5703125" style="166" customWidth="1"/>
    <col min="5381" max="5381" width="29.5703125" style="166" customWidth="1"/>
    <col min="5382" max="5393" width="31" style="166" customWidth="1"/>
    <col min="5394" max="5394" width="8.85546875" style="166" customWidth="1"/>
    <col min="5395" max="5635" width="9.140625" style="166"/>
    <col min="5636" max="5636" width="47.5703125" style="166" customWidth="1"/>
    <col min="5637" max="5637" width="29.5703125" style="166" customWidth="1"/>
    <col min="5638" max="5649" width="31" style="166" customWidth="1"/>
    <col min="5650" max="5650" width="8.85546875" style="166" customWidth="1"/>
    <col min="5651" max="5891" width="9.140625" style="166"/>
    <col min="5892" max="5892" width="47.5703125" style="166" customWidth="1"/>
    <col min="5893" max="5893" width="29.5703125" style="166" customWidth="1"/>
    <col min="5894" max="5905" width="31" style="166" customWidth="1"/>
    <col min="5906" max="5906" width="8.85546875" style="166" customWidth="1"/>
    <col min="5907" max="6147" width="9.140625" style="166"/>
    <col min="6148" max="6148" width="47.5703125" style="166" customWidth="1"/>
    <col min="6149" max="6149" width="29.5703125" style="166" customWidth="1"/>
    <col min="6150" max="6161" width="31" style="166" customWidth="1"/>
    <col min="6162" max="6162" width="8.85546875" style="166" customWidth="1"/>
    <col min="6163" max="6403" width="9.140625" style="166"/>
    <col min="6404" max="6404" width="47.5703125" style="166" customWidth="1"/>
    <col min="6405" max="6405" width="29.5703125" style="166" customWidth="1"/>
    <col min="6406" max="6417" width="31" style="166" customWidth="1"/>
    <col min="6418" max="6418" width="8.85546875" style="166" customWidth="1"/>
    <col min="6419" max="6659" width="9.140625" style="166"/>
    <col min="6660" max="6660" width="47.5703125" style="166" customWidth="1"/>
    <col min="6661" max="6661" width="29.5703125" style="166" customWidth="1"/>
    <col min="6662" max="6673" width="31" style="166" customWidth="1"/>
    <col min="6674" max="6674" width="8.85546875" style="166" customWidth="1"/>
    <col min="6675" max="6915" width="9.140625" style="166"/>
    <col min="6916" max="6916" width="47.5703125" style="166" customWidth="1"/>
    <col min="6917" max="6917" width="29.5703125" style="166" customWidth="1"/>
    <col min="6918" max="6929" width="31" style="166" customWidth="1"/>
    <col min="6930" max="6930" width="8.85546875" style="166" customWidth="1"/>
    <col min="6931" max="7171" width="9.140625" style="166"/>
    <col min="7172" max="7172" width="47.5703125" style="166" customWidth="1"/>
    <col min="7173" max="7173" width="29.5703125" style="166" customWidth="1"/>
    <col min="7174" max="7185" width="31" style="166" customWidth="1"/>
    <col min="7186" max="7186" width="8.85546875" style="166" customWidth="1"/>
    <col min="7187" max="7427" width="9.140625" style="166"/>
    <col min="7428" max="7428" width="47.5703125" style="166" customWidth="1"/>
    <col min="7429" max="7429" width="29.5703125" style="166" customWidth="1"/>
    <col min="7430" max="7441" width="31" style="166" customWidth="1"/>
    <col min="7442" max="7442" width="8.85546875" style="166" customWidth="1"/>
    <col min="7443" max="7683" width="9.140625" style="166"/>
    <col min="7684" max="7684" width="47.5703125" style="166" customWidth="1"/>
    <col min="7685" max="7685" width="29.5703125" style="166" customWidth="1"/>
    <col min="7686" max="7697" width="31" style="166" customWidth="1"/>
    <col min="7698" max="7698" width="8.85546875" style="166" customWidth="1"/>
    <col min="7699" max="7939" width="9.140625" style="166"/>
    <col min="7940" max="7940" width="47.5703125" style="166" customWidth="1"/>
    <col min="7941" max="7941" width="29.5703125" style="166" customWidth="1"/>
    <col min="7942" max="7953" width="31" style="166" customWidth="1"/>
    <col min="7954" max="7954" width="8.85546875" style="166" customWidth="1"/>
    <col min="7955" max="8195" width="9.140625" style="166"/>
    <col min="8196" max="8196" width="47.5703125" style="166" customWidth="1"/>
    <col min="8197" max="8197" width="29.5703125" style="166" customWidth="1"/>
    <col min="8198" max="8209" width="31" style="166" customWidth="1"/>
    <col min="8210" max="8210" width="8.85546875" style="166" customWidth="1"/>
    <col min="8211" max="8451" width="9.140625" style="166"/>
    <col min="8452" max="8452" width="47.5703125" style="166" customWidth="1"/>
    <col min="8453" max="8453" width="29.5703125" style="166" customWidth="1"/>
    <col min="8454" max="8465" width="31" style="166" customWidth="1"/>
    <col min="8466" max="8466" width="8.85546875" style="166" customWidth="1"/>
    <col min="8467" max="8707" width="9.140625" style="166"/>
    <col min="8708" max="8708" width="47.5703125" style="166" customWidth="1"/>
    <col min="8709" max="8709" width="29.5703125" style="166" customWidth="1"/>
    <col min="8710" max="8721" width="31" style="166" customWidth="1"/>
    <col min="8722" max="8722" width="8.85546875" style="166" customWidth="1"/>
    <col min="8723" max="8963" width="9.140625" style="166"/>
    <col min="8964" max="8964" width="47.5703125" style="166" customWidth="1"/>
    <col min="8965" max="8965" width="29.5703125" style="166" customWidth="1"/>
    <col min="8966" max="8977" width="31" style="166" customWidth="1"/>
    <col min="8978" max="8978" width="8.85546875" style="166" customWidth="1"/>
    <col min="8979" max="9219" width="9.140625" style="166"/>
    <col min="9220" max="9220" width="47.5703125" style="166" customWidth="1"/>
    <col min="9221" max="9221" width="29.5703125" style="166" customWidth="1"/>
    <col min="9222" max="9233" width="31" style="166" customWidth="1"/>
    <col min="9234" max="9234" width="8.85546875" style="166" customWidth="1"/>
    <col min="9235" max="9475" width="9.140625" style="166"/>
    <col min="9476" max="9476" width="47.5703125" style="166" customWidth="1"/>
    <col min="9477" max="9477" width="29.5703125" style="166" customWidth="1"/>
    <col min="9478" max="9489" width="31" style="166" customWidth="1"/>
    <col min="9490" max="9490" width="8.85546875" style="166" customWidth="1"/>
    <col min="9491" max="9731" width="9.140625" style="166"/>
    <col min="9732" max="9732" width="47.5703125" style="166" customWidth="1"/>
    <col min="9733" max="9733" width="29.5703125" style="166" customWidth="1"/>
    <col min="9734" max="9745" width="31" style="166" customWidth="1"/>
    <col min="9746" max="9746" width="8.85546875" style="166" customWidth="1"/>
    <col min="9747" max="9987" width="9.140625" style="166"/>
    <col min="9988" max="9988" width="47.5703125" style="166" customWidth="1"/>
    <col min="9989" max="9989" width="29.5703125" style="166" customWidth="1"/>
    <col min="9990" max="10001" width="31" style="166" customWidth="1"/>
    <col min="10002" max="10002" width="8.85546875" style="166" customWidth="1"/>
    <col min="10003" max="10243" width="9.140625" style="166"/>
    <col min="10244" max="10244" width="47.5703125" style="166" customWidth="1"/>
    <col min="10245" max="10245" width="29.5703125" style="166" customWidth="1"/>
    <col min="10246" max="10257" width="31" style="166" customWidth="1"/>
    <col min="10258" max="10258" width="8.85546875" style="166" customWidth="1"/>
    <col min="10259" max="10499" width="9.140625" style="166"/>
    <col min="10500" max="10500" width="47.5703125" style="166" customWidth="1"/>
    <col min="10501" max="10501" width="29.5703125" style="166" customWidth="1"/>
    <col min="10502" max="10513" width="31" style="166" customWidth="1"/>
    <col min="10514" max="10514" width="8.85546875" style="166" customWidth="1"/>
    <col min="10515" max="10755" width="9.140625" style="166"/>
    <col min="10756" max="10756" width="47.5703125" style="166" customWidth="1"/>
    <col min="10757" max="10757" width="29.5703125" style="166" customWidth="1"/>
    <col min="10758" max="10769" width="31" style="166" customWidth="1"/>
    <col min="10770" max="10770" width="8.85546875" style="166" customWidth="1"/>
    <col min="10771" max="11011" width="9.140625" style="166"/>
    <col min="11012" max="11012" width="47.5703125" style="166" customWidth="1"/>
    <col min="11013" max="11013" width="29.5703125" style="166" customWidth="1"/>
    <col min="11014" max="11025" width="31" style="166" customWidth="1"/>
    <col min="11026" max="11026" width="8.85546875" style="166" customWidth="1"/>
    <col min="11027" max="11267" width="9.140625" style="166"/>
    <col min="11268" max="11268" width="47.5703125" style="166" customWidth="1"/>
    <col min="11269" max="11269" width="29.5703125" style="166" customWidth="1"/>
    <col min="11270" max="11281" width="31" style="166" customWidth="1"/>
    <col min="11282" max="11282" width="8.85546875" style="166" customWidth="1"/>
    <col min="11283" max="11523" width="9.140625" style="166"/>
    <col min="11524" max="11524" width="47.5703125" style="166" customWidth="1"/>
    <col min="11525" max="11525" width="29.5703125" style="166" customWidth="1"/>
    <col min="11526" max="11537" width="31" style="166" customWidth="1"/>
    <col min="11538" max="11538" width="8.85546875" style="166" customWidth="1"/>
    <col min="11539" max="11779" width="9.140625" style="166"/>
    <col min="11780" max="11780" width="47.5703125" style="166" customWidth="1"/>
    <col min="11781" max="11781" width="29.5703125" style="166" customWidth="1"/>
    <col min="11782" max="11793" width="31" style="166" customWidth="1"/>
    <col min="11794" max="11794" width="8.85546875" style="166" customWidth="1"/>
    <col min="11795" max="12035" width="9.140625" style="166"/>
    <col min="12036" max="12036" width="47.5703125" style="166" customWidth="1"/>
    <col min="12037" max="12037" width="29.5703125" style="166" customWidth="1"/>
    <col min="12038" max="12049" width="31" style="166" customWidth="1"/>
    <col min="12050" max="12050" width="8.85546875" style="166" customWidth="1"/>
    <col min="12051" max="12291" width="9.140625" style="166"/>
    <col min="12292" max="12292" width="47.5703125" style="166" customWidth="1"/>
    <col min="12293" max="12293" width="29.5703125" style="166" customWidth="1"/>
    <col min="12294" max="12305" width="31" style="166" customWidth="1"/>
    <col min="12306" max="12306" width="8.85546875" style="166" customWidth="1"/>
    <col min="12307" max="12547" width="9.140625" style="166"/>
    <col min="12548" max="12548" width="47.5703125" style="166" customWidth="1"/>
    <col min="12549" max="12549" width="29.5703125" style="166" customWidth="1"/>
    <col min="12550" max="12561" width="31" style="166" customWidth="1"/>
    <col min="12562" max="12562" width="8.85546875" style="166" customWidth="1"/>
    <col min="12563" max="12803" width="9.140625" style="166"/>
    <col min="12804" max="12804" width="47.5703125" style="166" customWidth="1"/>
    <col min="12805" max="12805" width="29.5703125" style="166" customWidth="1"/>
    <col min="12806" max="12817" width="31" style="166" customWidth="1"/>
    <col min="12818" max="12818" width="8.85546875" style="166" customWidth="1"/>
    <col min="12819" max="13059" width="9.140625" style="166"/>
    <col min="13060" max="13060" width="47.5703125" style="166" customWidth="1"/>
    <col min="13061" max="13061" width="29.5703125" style="166" customWidth="1"/>
    <col min="13062" max="13073" width="31" style="166" customWidth="1"/>
    <col min="13074" max="13074" width="8.85546875" style="166" customWidth="1"/>
    <col min="13075" max="13315" width="9.140625" style="166"/>
    <col min="13316" max="13316" width="47.5703125" style="166" customWidth="1"/>
    <col min="13317" max="13317" width="29.5703125" style="166" customWidth="1"/>
    <col min="13318" max="13329" width="31" style="166" customWidth="1"/>
    <col min="13330" max="13330" width="8.85546875" style="166" customWidth="1"/>
    <col min="13331" max="13571" width="9.140625" style="166"/>
    <col min="13572" max="13572" width="47.5703125" style="166" customWidth="1"/>
    <col min="13573" max="13573" width="29.5703125" style="166" customWidth="1"/>
    <col min="13574" max="13585" width="31" style="166" customWidth="1"/>
    <col min="13586" max="13586" width="8.85546875" style="166" customWidth="1"/>
    <col min="13587" max="13827" width="9.140625" style="166"/>
    <col min="13828" max="13828" width="47.5703125" style="166" customWidth="1"/>
    <col min="13829" max="13829" width="29.5703125" style="166" customWidth="1"/>
    <col min="13830" max="13841" width="31" style="166" customWidth="1"/>
    <col min="13842" max="13842" width="8.85546875" style="166" customWidth="1"/>
    <col min="13843" max="14083" width="9.140625" style="166"/>
    <col min="14084" max="14084" width="47.5703125" style="166" customWidth="1"/>
    <col min="14085" max="14085" width="29.5703125" style="166" customWidth="1"/>
    <col min="14086" max="14097" width="31" style="166" customWidth="1"/>
    <col min="14098" max="14098" width="8.85546875" style="166" customWidth="1"/>
    <col min="14099" max="14339" width="9.140625" style="166"/>
    <col min="14340" max="14340" width="47.5703125" style="166" customWidth="1"/>
    <col min="14341" max="14341" width="29.5703125" style="166" customWidth="1"/>
    <col min="14342" max="14353" width="31" style="166" customWidth="1"/>
    <col min="14354" max="14354" width="8.85546875" style="166" customWidth="1"/>
    <col min="14355" max="14595" width="9.140625" style="166"/>
    <col min="14596" max="14596" width="47.5703125" style="166" customWidth="1"/>
    <col min="14597" max="14597" width="29.5703125" style="166" customWidth="1"/>
    <col min="14598" max="14609" width="31" style="166" customWidth="1"/>
    <col min="14610" max="14610" width="8.85546875" style="166" customWidth="1"/>
    <col min="14611" max="14851" width="9.140625" style="166"/>
    <col min="14852" max="14852" width="47.5703125" style="166" customWidth="1"/>
    <col min="14853" max="14853" width="29.5703125" style="166" customWidth="1"/>
    <col min="14854" max="14865" width="31" style="166" customWidth="1"/>
    <col min="14866" max="14866" width="8.85546875" style="166" customWidth="1"/>
    <col min="14867" max="15107" width="9.140625" style="166"/>
    <col min="15108" max="15108" width="47.5703125" style="166" customWidth="1"/>
    <col min="15109" max="15109" width="29.5703125" style="166" customWidth="1"/>
    <col min="15110" max="15121" width="31" style="166" customWidth="1"/>
    <col min="15122" max="15122" width="8.85546875" style="166" customWidth="1"/>
    <col min="15123" max="15363" width="9.140625" style="166"/>
    <col min="15364" max="15364" width="47.5703125" style="166" customWidth="1"/>
    <col min="15365" max="15365" width="29.5703125" style="166" customWidth="1"/>
    <col min="15366" max="15377" width="31" style="166" customWidth="1"/>
    <col min="15378" max="15378" width="8.85546875" style="166" customWidth="1"/>
    <col min="15379" max="15619" width="9.140625" style="166"/>
    <col min="15620" max="15620" width="47.5703125" style="166" customWidth="1"/>
    <col min="15621" max="15621" width="29.5703125" style="166" customWidth="1"/>
    <col min="15622" max="15633" width="31" style="166" customWidth="1"/>
    <col min="15634" max="15634" width="8.85546875" style="166" customWidth="1"/>
    <col min="15635" max="15875" width="9.140625" style="166"/>
    <col min="15876" max="15876" width="47.5703125" style="166" customWidth="1"/>
    <col min="15877" max="15877" width="29.5703125" style="166" customWidth="1"/>
    <col min="15878" max="15889" width="31" style="166" customWidth="1"/>
    <col min="15890" max="15890" width="8.85546875" style="166" customWidth="1"/>
    <col min="15891" max="16131" width="9.140625" style="166"/>
    <col min="16132" max="16132" width="47.5703125" style="166" customWidth="1"/>
    <col min="16133" max="16133" width="29.5703125" style="166" customWidth="1"/>
    <col min="16134" max="16145" width="31" style="166" customWidth="1"/>
    <col min="16146" max="16146" width="8.85546875" style="166" customWidth="1"/>
    <col min="16147" max="16384" width="9.140625" style="166"/>
  </cols>
  <sheetData>
    <row r="1" spans="1:14" ht="20.100000000000001" customHeight="1" thickBot="1" x14ac:dyDescent="0.25">
      <c r="A1" s="1208" t="s">
        <v>429</v>
      </c>
      <c r="B1" s="1209"/>
      <c r="C1" s="1209"/>
      <c r="D1" s="1209"/>
      <c r="E1" s="1209"/>
      <c r="F1" s="1209"/>
      <c r="G1" s="1210"/>
      <c r="H1" s="986"/>
      <c r="I1" s="986"/>
      <c r="J1" s="291"/>
      <c r="K1" s="203" t="str">
        <f>+TITELBLAD!C10</f>
        <v>gas</v>
      </c>
      <c r="L1" s="291"/>
      <c r="M1" s="291"/>
      <c r="N1" s="291"/>
    </row>
    <row r="2" spans="1:14" x14ac:dyDescent="0.2">
      <c r="J2" s="291"/>
      <c r="K2" s="291"/>
      <c r="L2" s="291"/>
      <c r="M2" s="291"/>
      <c r="N2" s="291"/>
    </row>
    <row r="3" spans="1:14" x14ac:dyDescent="0.2">
      <c r="B3" s="291"/>
      <c r="C3" s="884" t="s">
        <v>300</v>
      </c>
      <c r="D3" s="884" t="s">
        <v>301</v>
      </c>
      <c r="J3" s="291"/>
      <c r="K3" s="291"/>
      <c r="L3" s="291"/>
      <c r="M3" s="291"/>
      <c r="N3" s="291"/>
    </row>
    <row r="4" spans="1:14" x14ac:dyDescent="0.2">
      <c r="A4" s="353" t="s">
        <v>433</v>
      </c>
      <c r="B4" s="895">
        <f>+TITELBLAD!E16</f>
        <v>2022</v>
      </c>
      <c r="C4" s="896">
        <f>-G42</f>
        <v>0</v>
      </c>
      <c r="D4" s="896">
        <f>-G75</f>
        <v>0</v>
      </c>
      <c r="E4" s="897"/>
      <c r="J4" s="291"/>
      <c r="K4" s="291"/>
      <c r="L4" s="291"/>
      <c r="M4" s="291"/>
      <c r="N4" s="291"/>
    </row>
    <row r="5" spans="1:14" x14ac:dyDescent="0.2">
      <c r="D5" s="897"/>
      <c r="E5" s="897"/>
      <c r="J5" s="291"/>
      <c r="K5" s="291"/>
      <c r="L5" s="291"/>
      <c r="M5" s="291"/>
      <c r="N5" s="291"/>
    </row>
    <row r="6" spans="1:14" x14ac:dyDescent="0.2">
      <c r="J6" s="291"/>
      <c r="K6" s="291"/>
      <c r="L6" s="291"/>
      <c r="M6" s="291"/>
      <c r="N6" s="291"/>
    </row>
    <row r="7" spans="1:14" x14ac:dyDescent="0.2">
      <c r="J7" s="291"/>
      <c r="K7" s="291"/>
      <c r="L7" s="291"/>
      <c r="M7" s="291"/>
      <c r="N7" s="291"/>
    </row>
    <row r="8" spans="1:14" x14ac:dyDescent="0.2">
      <c r="A8" s="353" t="s">
        <v>262</v>
      </c>
      <c r="J8" s="291"/>
      <c r="K8" s="291"/>
      <c r="L8" s="291"/>
      <c r="M8" s="291"/>
      <c r="N8" s="291"/>
    </row>
    <row r="9" spans="1:14" x14ac:dyDescent="0.2">
      <c r="A9" s="216" t="s">
        <v>263</v>
      </c>
      <c r="J9" s="291"/>
      <c r="K9" s="291"/>
      <c r="L9" s="291"/>
      <c r="M9" s="291"/>
      <c r="N9" s="291"/>
    </row>
    <row r="10" spans="1:14" x14ac:dyDescent="0.2">
      <c r="A10" s="898" t="s">
        <v>264</v>
      </c>
      <c r="J10" s="291"/>
      <c r="K10" s="291"/>
      <c r="L10" s="291"/>
      <c r="M10" s="291"/>
      <c r="N10" s="291"/>
    </row>
    <row r="11" spans="1:14" x14ac:dyDescent="0.2">
      <c r="A11" s="898" t="s">
        <v>265</v>
      </c>
      <c r="H11" s="978" t="s">
        <v>467</v>
      </c>
      <c r="J11" s="291"/>
      <c r="K11" s="291"/>
      <c r="L11" s="291"/>
      <c r="M11" s="291"/>
      <c r="N11" s="291"/>
    </row>
    <row r="12" spans="1:14" x14ac:dyDescent="0.2">
      <c r="A12" s="898"/>
      <c r="J12" s="291"/>
      <c r="K12" s="291"/>
      <c r="L12" s="291"/>
      <c r="M12" s="291"/>
      <c r="N12" s="291"/>
    </row>
    <row r="13" spans="1:14" ht="13.5" thickBot="1" x14ac:dyDescent="0.25">
      <c r="A13" s="898"/>
    </row>
    <row r="14" spans="1:14" ht="18" customHeight="1" thickBot="1" x14ac:dyDescent="0.25">
      <c r="A14" s="1215" t="str">
        <f>"BUDGET "&amp;B4</f>
        <v>BUDGET 2022</v>
      </c>
      <c r="B14" s="1216"/>
      <c r="C14" s="1216"/>
      <c r="D14" s="1216"/>
      <c r="E14" s="1216"/>
      <c r="F14" s="1216"/>
      <c r="G14" s="1216"/>
      <c r="H14" s="1216"/>
      <c r="I14" s="1216"/>
      <c r="J14" s="1217"/>
    </row>
    <row r="15" spans="1:14" ht="58.5" customHeight="1" x14ac:dyDescent="0.2">
      <c r="A15" s="899" t="s">
        <v>266</v>
      </c>
      <c r="B15" s="900" t="s">
        <v>297</v>
      </c>
      <c r="C15" s="901" t="str">
        <f>"Oorspronkelijke meerwaarde op basis van historische indexatie voor activa einde boekjaar "&amp;B4-1</f>
        <v>Oorspronkelijke meerwaarde op basis van historische indexatie voor activa einde boekjaar 2021</v>
      </c>
      <c r="D15" s="901" t="str">
        <f>"Gecumuleerde afschrijvingen activa einde boekjaar "&amp; B4-1</f>
        <v>Gecumuleerde afschrijvingen activa einde boekjaar 2021</v>
      </c>
      <c r="E15" s="901" t="str">
        <f>"Nettoboekwaarde meerwaarde op basis van historische indexatie einde boekjaar "&amp; B4-1</f>
        <v>Nettoboekwaarde meerwaarde op basis van historische indexatie einde boekjaar 2021</v>
      </c>
      <c r="F15" s="901" t="str">
        <f>"Transfers boekjaar "&amp;B4</f>
        <v>Transfers boekjaar 2022</v>
      </c>
      <c r="G15" s="901" t="str">
        <f>"Afschrijvingen boekjaar "&amp;B4</f>
        <v>Afschrijvingen boekjaar 2022</v>
      </c>
      <c r="H15" s="987" t="str">
        <f>"Desinvesteringen boekjaar "&amp;B4&amp;" n.a.v. verkoop"</f>
        <v>Desinvesteringen boekjaar 2022 n.a.v. verkoop</v>
      </c>
      <c r="I15" s="987" t="str">
        <f>"Desinvesteringen boekjaar "&amp;B4&amp;" n.a.v. structuurwijziging"</f>
        <v>Desinvesteringen boekjaar 2022 n.a.v. structuurwijziging</v>
      </c>
      <c r="J15" s="901" t="str">
        <f>"Nettoboekwaarde meerwaarde op basis van historische indexatie einde boekjaar "&amp;B4</f>
        <v>Nettoboekwaarde meerwaarde op basis van historische indexatie einde boekjaar 2022</v>
      </c>
    </row>
    <row r="16" spans="1:14" ht="13.5" thickBot="1" x14ac:dyDescent="0.25">
      <c r="A16" s="902"/>
      <c r="B16" s="903"/>
      <c r="C16" s="904" t="s">
        <v>4</v>
      </c>
      <c r="D16" s="904" t="s">
        <v>8</v>
      </c>
      <c r="E16" s="904"/>
      <c r="F16" s="904" t="s">
        <v>4</v>
      </c>
      <c r="G16" s="904" t="s">
        <v>8</v>
      </c>
      <c r="H16" s="988" t="s">
        <v>8</v>
      </c>
      <c r="I16" s="988" t="s">
        <v>8</v>
      </c>
      <c r="J16" s="905"/>
    </row>
    <row r="17" spans="1:10" x14ac:dyDescent="0.2">
      <c r="A17" s="906" t="s">
        <v>267</v>
      </c>
      <c r="B17" s="1212">
        <v>0.02</v>
      </c>
      <c r="C17" s="611">
        <v>0</v>
      </c>
      <c r="D17" s="611">
        <v>0</v>
      </c>
      <c r="E17" s="907">
        <f t="shared" ref="E17:E36" si="0">+C17+D17</f>
        <v>0</v>
      </c>
      <c r="F17" s="611">
        <v>0</v>
      </c>
      <c r="G17" s="611">
        <v>0</v>
      </c>
      <c r="H17" s="989">
        <v>0</v>
      </c>
      <c r="I17" s="989">
        <v>0</v>
      </c>
      <c r="J17" s="908">
        <f>+SUM(E17:I17)</f>
        <v>0</v>
      </c>
    </row>
    <row r="18" spans="1:10" x14ac:dyDescent="0.2">
      <c r="A18" s="909" t="s">
        <v>268</v>
      </c>
      <c r="B18" s="1213"/>
      <c r="C18" s="612">
        <v>0</v>
      </c>
      <c r="D18" s="612">
        <v>0</v>
      </c>
      <c r="E18" s="910">
        <f t="shared" si="0"/>
        <v>0</v>
      </c>
      <c r="F18" s="612">
        <v>0</v>
      </c>
      <c r="G18" s="612">
        <v>0</v>
      </c>
      <c r="H18" s="990">
        <v>0</v>
      </c>
      <c r="I18" s="990">
        <v>0</v>
      </c>
      <c r="J18" s="911">
        <f t="shared" ref="J18:J40" si="1">+SUM(E18:I18)</f>
        <v>0</v>
      </c>
    </row>
    <row r="19" spans="1:10" x14ac:dyDescent="0.2">
      <c r="A19" s="909" t="s">
        <v>269</v>
      </c>
      <c r="B19" s="1213"/>
      <c r="C19" s="612">
        <v>0</v>
      </c>
      <c r="D19" s="612">
        <v>0</v>
      </c>
      <c r="E19" s="910">
        <f t="shared" si="0"/>
        <v>0</v>
      </c>
      <c r="F19" s="612">
        <v>0</v>
      </c>
      <c r="G19" s="612">
        <v>0</v>
      </c>
      <c r="H19" s="990">
        <v>0</v>
      </c>
      <c r="I19" s="990">
        <v>0</v>
      </c>
      <c r="J19" s="911">
        <f t="shared" si="1"/>
        <v>0</v>
      </c>
    </row>
    <row r="20" spans="1:10" x14ac:dyDescent="0.2">
      <c r="A20" s="909" t="s">
        <v>302</v>
      </c>
      <c r="B20" s="1213"/>
      <c r="C20" s="612">
        <v>0</v>
      </c>
      <c r="D20" s="612">
        <v>0</v>
      </c>
      <c r="E20" s="910">
        <f t="shared" si="0"/>
        <v>0</v>
      </c>
      <c r="F20" s="612">
        <v>0</v>
      </c>
      <c r="G20" s="612">
        <v>0</v>
      </c>
      <c r="H20" s="990">
        <v>0</v>
      </c>
      <c r="I20" s="990">
        <v>0</v>
      </c>
      <c r="J20" s="911">
        <f t="shared" si="1"/>
        <v>0</v>
      </c>
    </row>
    <row r="21" spans="1:10" x14ac:dyDescent="0.2">
      <c r="A21" s="909" t="s">
        <v>303</v>
      </c>
      <c r="B21" s="1213"/>
      <c r="C21" s="612">
        <v>0</v>
      </c>
      <c r="D21" s="612">
        <v>0</v>
      </c>
      <c r="E21" s="910">
        <f t="shared" si="0"/>
        <v>0</v>
      </c>
      <c r="F21" s="612">
        <v>0</v>
      </c>
      <c r="G21" s="612">
        <v>0</v>
      </c>
      <c r="H21" s="990">
        <v>0</v>
      </c>
      <c r="I21" s="990">
        <v>0</v>
      </c>
      <c r="J21" s="911">
        <f t="shared" si="1"/>
        <v>0</v>
      </c>
    </row>
    <row r="22" spans="1:10" x14ac:dyDescent="0.2">
      <c r="A22" s="909" t="s">
        <v>304</v>
      </c>
      <c r="B22" s="1213"/>
      <c r="C22" s="612">
        <v>0</v>
      </c>
      <c r="D22" s="612">
        <v>0</v>
      </c>
      <c r="E22" s="910">
        <f t="shared" si="0"/>
        <v>0</v>
      </c>
      <c r="F22" s="612">
        <v>0</v>
      </c>
      <c r="G22" s="612">
        <v>0</v>
      </c>
      <c r="H22" s="990">
        <v>0</v>
      </c>
      <c r="I22" s="990">
        <v>0</v>
      </c>
      <c r="J22" s="911">
        <f t="shared" si="1"/>
        <v>0</v>
      </c>
    </row>
    <row r="23" spans="1:10" x14ac:dyDescent="0.2">
      <c r="A23" s="909" t="s">
        <v>305</v>
      </c>
      <c r="B23" s="1213"/>
      <c r="C23" s="612">
        <v>0</v>
      </c>
      <c r="D23" s="612">
        <v>0</v>
      </c>
      <c r="E23" s="910">
        <f t="shared" si="0"/>
        <v>0</v>
      </c>
      <c r="F23" s="612">
        <v>0</v>
      </c>
      <c r="G23" s="612">
        <v>0</v>
      </c>
      <c r="H23" s="990">
        <v>0</v>
      </c>
      <c r="I23" s="990">
        <v>0</v>
      </c>
      <c r="J23" s="911">
        <f t="shared" si="1"/>
        <v>0</v>
      </c>
    </row>
    <row r="24" spans="1:10" x14ac:dyDescent="0.2">
      <c r="A24" s="909" t="s">
        <v>276</v>
      </c>
      <c r="B24" s="1213"/>
      <c r="C24" s="612">
        <v>0</v>
      </c>
      <c r="D24" s="612">
        <v>0</v>
      </c>
      <c r="E24" s="910">
        <f>+C24+D24</f>
        <v>0</v>
      </c>
      <c r="F24" s="612">
        <v>0</v>
      </c>
      <c r="G24" s="612">
        <v>0</v>
      </c>
      <c r="H24" s="990">
        <v>0</v>
      </c>
      <c r="I24" s="990">
        <v>0</v>
      </c>
      <c r="J24" s="911">
        <f t="shared" si="1"/>
        <v>0</v>
      </c>
    </row>
    <row r="25" spans="1:10" x14ac:dyDescent="0.2">
      <c r="A25" s="909" t="s">
        <v>306</v>
      </c>
      <c r="B25" s="1213"/>
      <c r="C25" s="612">
        <v>0</v>
      </c>
      <c r="D25" s="612">
        <v>0</v>
      </c>
      <c r="E25" s="910">
        <f t="shared" si="0"/>
        <v>0</v>
      </c>
      <c r="F25" s="612">
        <v>0</v>
      </c>
      <c r="G25" s="612">
        <v>0</v>
      </c>
      <c r="H25" s="990">
        <v>0</v>
      </c>
      <c r="I25" s="990">
        <v>0</v>
      </c>
      <c r="J25" s="911">
        <f t="shared" si="1"/>
        <v>0</v>
      </c>
    </row>
    <row r="26" spans="1:10" x14ac:dyDescent="0.2">
      <c r="A26" s="909" t="s">
        <v>307</v>
      </c>
      <c r="B26" s="1213"/>
      <c r="C26" s="612">
        <v>0</v>
      </c>
      <c r="D26" s="612">
        <v>0</v>
      </c>
      <c r="E26" s="910">
        <f t="shared" si="0"/>
        <v>0</v>
      </c>
      <c r="F26" s="612">
        <v>0</v>
      </c>
      <c r="G26" s="612">
        <v>0</v>
      </c>
      <c r="H26" s="990">
        <v>0</v>
      </c>
      <c r="I26" s="990">
        <v>0</v>
      </c>
      <c r="J26" s="911">
        <f t="shared" si="1"/>
        <v>0</v>
      </c>
    </row>
    <row r="27" spans="1:10" x14ac:dyDescent="0.2">
      <c r="A27" s="909" t="s">
        <v>308</v>
      </c>
      <c r="B27" s="1213"/>
      <c r="C27" s="612">
        <v>0</v>
      </c>
      <c r="D27" s="612">
        <v>0</v>
      </c>
      <c r="E27" s="910">
        <f t="shared" si="0"/>
        <v>0</v>
      </c>
      <c r="F27" s="612">
        <v>0</v>
      </c>
      <c r="G27" s="612">
        <v>0</v>
      </c>
      <c r="H27" s="990">
        <v>0</v>
      </c>
      <c r="I27" s="990">
        <v>0</v>
      </c>
      <c r="J27" s="911">
        <f t="shared" si="1"/>
        <v>0</v>
      </c>
    </row>
    <row r="28" spans="1:10" x14ac:dyDescent="0.2">
      <c r="A28" s="909" t="s">
        <v>309</v>
      </c>
      <c r="B28" s="1213"/>
      <c r="C28" s="612">
        <v>0</v>
      </c>
      <c r="D28" s="612">
        <v>0</v>
      </c>
      <c r="E28" s="910">
        <f t="shared" si="0"/>
        <v>0</v>
      </c>
      <c r="F28" s="612">
        <v>0</v>
      </c>
      <c r="G28" s="612">
        <v>0</v>
      </c>
      <c r="H28" s="990">
        <v>0</v>
      </c>
      <c r="I28" s="990">
        <v>0</v>
      </c>
      <c r="J28" s="911">
        <f t="shared" si="1"/>
        <v>0</v>
      </c>
    </row>
    <row r="29" spans="1:10" x14ac:dyDescent="0.2">
      <c r="A29" s="909" t="s">
        <v>281</v>
      </c>
      <c r="B29" s="1213"/>
      <c r="C29" s="612">
        <v>0</v>
      </c>
      <c r="D29" s="612">
        <v>0</v>
      </c>
      <c r="E29" s="910">
        <f t="shared" si="0"/>
        <v>0</v>
      </c>
      <c r="F29" s="612">
        <v>0</v>
      </c>
      <c r="G29" s="612">
        <v>0</v>
      </c>
      <c r="H29" s="990">
        <v>0</v>
      </c>
      <c r="I29" s="990">
        <v>0</v>
      </c>
      <c r="J29" s="911">
        <f t="shared" si="1"/>
        <v>0</v>
      </c>
    </row>
    <row r="30" spans="1:10" x14ac:dyDescent="0.2">
      <c r="A30" s="909" t="s">
        <v>298</v>
      </c>
      <c r="B30" s="1213"/>
      <c r="C30" s="612">
        <v>0</v>
      </c>
      <c r="D30" s="612">
        <v>0</v>
      </c>
      <c r="E30" s="910">
        <f t="shared" ref="E30" si="2">+C30+D30</f>
        <v>0</v>
      </c>
      <c r="F30" s="612">
        <v>0</v>
      </c>
      <c r="G30" s="612">
        <v>0</v>
      </c>
      <c r="H30" s="990">
        <v>0</v>
      </c>
      <c r="I30" s="990">
        <v>0</v>
      </c>
      <c r="J30" s="911">
        <f t="shared" si="1"/>
        <v>0</v>
      </c>
    </row>
    <row r="31" spans="1:10" x14ac:dyDescent="0.2">
      <c r="A31" s="909" t="s">
        <v>282</v>
      </c>
      <c r="B31" s="1213"/>
      <c r="C31" s="612">
        <v>0</v>
      </c>
      <c r="D31" s="612">
        <v>0</v>
      </c>
      <c r="E31" s="910">
        <f t="shared" si="0"/>
        <v>0</v>
      </c>
      <c r="F31" s="612">
        <v>0</v>
      </c>
      <c r="G31" s="612">
        <v>0</v>
      </c>
      <c r="H31" s="990">
        <v>0</v>
      </c>
      <c r="I31" s="990">
        <v>0</v>
      </c>
      <c r="J31" s="911">
        <f t="shared" si="1"/>
        <v>0</v>
      </c>
    </row>
    <row r="32" spans="1:10" x14ac:dyDescent="0.2">
      <c r="A32" s="909" t="s">
        <v>283</v>
      </c>
      <c r="B32" s="1213"/>
      <c r="C32" s="612">
        <v>0</v>
      </c>
      <c r="D32" s="612">
        <v>0</v>
      </c>
      <c r="E32" s="910">
        <f t="shared" si="0"/>
        <v>0</v>
      </c>
      <c r="F32" s="612">
        <v>0</v>
      </c>
      <c r="G32" s="612">
        <v>0</v>
      </c>
      <c r="H32" s="990">
        <v>0</v>
      </c>
      <c r="I32" s="990">
        <v>0</v>
      </c>
      <c r="J32" s="911">
        <f t="shared" si="1"/>
        <v>0</v>
      </c>
    </row>
    <row r="33" spans="1:10" x14ac:dyDescent="0.2">
      <c r="A33" s="909" t="s">
        <v>284</v>
      </c>
      <c r="B33" s="1213"/>
      <c r="C33" s="612">
        <v>0</v>
      </c>
      <c r="D33" s="612">
        <v>0</v>
      </c>
      <c r="E33" s="910">
        <f t="shared" si="0"/>
        <v>0</v>
      </c>
      <c r="F33" s="612">
        <v>0</v>
      </c>
      <c r="G33" s="612">
        <v>0</v>
      </c>
      <c r="H33" s="990">
        <v>0</v>
      </c>
      <c r="I33" s="990">
        <v>0</v>
      </c>
      <c r="J33" s="911">
        <f t="shared" si="1"/>
        <v>0</v>
      </c>
    </row>
    <row r="34" spans="1:10" x14ac:dyDescent="0.2">
      <c r="A34" s="909" t="s">
        <v>310</v>
      </c>
      <c r="B34" s="1213"/>
      <c r="C34" s="612">
        <v>0</v>
      </c>
      <c r="D34" s="612">
        <v>0</v>
      </c>
      <c r="E34" s="910">
        <f t="shared" si="0"/>
        <v>0</v>
      </c>
      <c r="F34" s="612">
        <v>0</v>
      </c>
      <c r="G34" s="612">
        <v>0</v>
      </c>
      <c r="H34" s="990">
        <v>0</v>
      </c>
      <c r="I34" s="990">
        <v>0</v>
      </c>
      <c r="J34" s="911">
        <f t="shared" si="1"/>
        <v>0</v>
      </c>
    </row>
    <row r="35" spans="1:10" x14ac:dyDescent="0.2">
      <c r="A35" s="909" t="s">
        <v>286</v>
      </c>
      <c r="B35" s="1213"/>
      <c r="C35" s="612">
        <v>0</v>
      </c>
      <c r="D35" s="612">
        <v>0</v>
      </c>
      <c r="E35" s="910">
        <f t="shared" si="0"/>
        <v>0</v>
      </c>
      <c r="F35" s="612">
        <v>0</v>
      </c>
      <c r="G35" s="612">
        <v>0</v>
      </c>
      <c r="H35" s="990">
        <v>0</v>
      </c>
      <c r="I35" s="990">
        <v>0</v>
      </c>
      <c r="J35" s="911">
        <f t="shared" si="1"/>
        <v>0</v>
      </c>
    </row>
    <row r="36" spans="1:10" x14ac:dyDescent="0.2">
      <c r="A36" s="909" t="s">
        <v>287</v>
      </c>
      <c r="B36" s="1213"/>
      <c r="C36" s="612">
        <v>0</v>
      </c>
      <c r="D36" s="612">
        <v>0</v>
      </c>
      <c r="E36" s="910">
        <f t="shared" si="0"/>
        <v>0</v>
      </c>
      <c r="F36" s="612">
        <v>0</v>
      </c>
      <c r="G36" s="612">
        <v>0</v>
      </c>
      <c r="H36" s="990">
        <v>0</v>
      </c>
      <c r="I36" s="990">
        <v>0</v>
      </c>
      <c r="J36" s="911">
        <f t="shared" si="1"/>
        <v>0</v>
      </c>
    </row>
    <row r="37" spans="1:10" x14ac:dyDescent="0.2">
      <c r="A37" s="928" t="s">
        <v>288</v>
      </c>
      <c r="B37" s="1213"/>
      <c r="C37" s="616">
        <v>0</v>
      </c>
      <c r="D37" s="616">
        <v>0</v>
      </c>
      <c r="E37" s="929">
        <f>+C37+D37</f>
        <v>0</v>
      </c>
      <c r="F37" s="616">
        <v>0</v>
      </c>
      <c r="G37" s="616">
        <v>0</v>
      </c>
      <c r="H37" s="997">
        <v>0</v>
      </c>
      <c r="I37" s="997">
        <v>0</v>
      </c>
      <c r="J37" s="930">
        <f t="shared" si="1"/>
        <v>0</v>
      </c>
    </row>
    <row r="38" spans="1:10" x14ac:dyDescent="0.2">
      <c r="A38" s="909" t="s">
        <v>290</v>
      </c>
      <c r="B38" s="1213"/>
      <c r="C38" s="616">
        <v>0</v>
      </c>
      <c r="D38" s="616">
        <v>0</v>
      </c>
      <c r="E38" s="929">
        <f>+C38+D38</f>
        <v>0</v>
      </c>
      <c r="F38" s="616">
        <v>0</v>
      </c>
      <c r="G38" s="616">
        <v>0</v>
      </c>
      <c r="H38" s="997">
        <v>0</v>
      </c>
      <c r="I38" s="997">
        <v>0</v>
      </c>
      <c r="J38" s="930">
        <f t="shared" si="1"/>
        <v>0</v>
      </c>
    </row>
    <row r="39" spans="1:10" x14ac:dyDescent="0.2">
      <c r="A39" s="928" t="s">
        <v>293</v>
      </c>
      <c r="B39" s="1213"/>
      <c r="C39" s="616">
        <v>0</v>
      </c>
      <c r="D39" s="616">
        <v>0</v>
      </c>
      <c r="E39" s="929">
        <f>+C39+D39</f>
        <v>0</v>
      </c>
      <c r="F39" s="616">
        <v>0</v>
      </c>
      <c r="G39" s="616">
        <v>0</v>
      </c>
      <c r="H39" s="997">
        <v>0</v>
      </c>
      <c r="I39" s="997">
        <v>0</v>
      </c>
      <c r="J39" s="930">
        <f t="shared" si="1"/>
        <v>0</v>
      </c>
    </row>
    <row r="40" spans="1:10" ht="13.5" thickBot="1" x14ac:dyDescent="0.25">
      <c r="A40" s="931" t="s">
        <v>295</v>
      </c>
      <c r="B40" s="1214"/>
      <c r="C40" s="617">
        <v>0</v>
      </c>
      <c r="D40" s="617">
        <v>0</v>
      </c>
      <c r="E40" s="932">
        <f>+C40+D40</f>
        <v>0</v>
      </c>
      <c r="F40" s="617">
        <v>0</v>
      </c>
      <c r="G40" s="617">
        <v>0</v>
      </c>
      <c r="H40" s="998">
        <v>0</v>
      </c>
      <c r="I40" s="998">
        <v>0</v>
      </c>
      <c r="J40" s="933">
        <f t="shared" si="1"/>
        <v>0</v>
      </c>
    </row>
    <row r="41" spans="1:10" x14ac:dyDescent="0.2">
      <c r="A41" s="915"/>
      <c r="B41" s="916"/>
      <c r="C41" s="934"/>
      <c r="D41" s="934"/>
      <c r="E41" s="934"/>
      <c r="F41" s="934"/>
      <c r="G41" s="934"/>
      <c r="H41" s="999"/>
      <c r="I41" s="999"/>
      <c r="J41" s="934"/>
    </row>
    <row r="42" spans="1:10" x14ac:dyDescent="0.2">
      <c r="A42" s="915" t="s">
        <v>296</v>
      </c>
      <c r="B42" s="916"/>
      <c r="C42" s="918">
        <f t="shared" ref="C42:J42" si="3">SUM(C17:C40)</f>
        <v>0</v>
      </c>
      <c r="D42" s="918">
        <f t="shared" si="3"/>
        <v>0</v>
      </c>
      <c r="E42" s="918">
        <f t="shared" si="3"/>
        <v>0</v>
      </c>
      <c r="F42" s="918">
        <f t="shared" ref="F42" si="4">SUM(F17:F40)</f>
        <v>0</v>
      </c>
      <c r="G42" s="918">
        <f t="shared" si="3"/>
        <v>0</v>
      </c>
      <c r="H42" s="993">
        <f t="shared" si="3"/>
        <v>0</v>
      </c>
      <c r="I42" s="993">
        <f t="shared" ref="I42" si="5">SUM(I17:I40)</f>
        <v>0</v>
      </c>
      <c r="J42" s="918">
        <f t="shared" si="3"/>
        <v>0</v>
      </c>
    </row>
    <row r="43" spans="1:10" ht="13.5" thickBot="1" x14ac:dyDescent="0.25">
      <c r="A43" s="919"/>
      <c r="B43" s="920"/>
      <c r="C43" s="921"/>
      <c r="D43" s="921"/>
      <c r="E43" s="921"/>
      <c r="F43" s="921"/>
      <c r="G43" s="921"/>
      <c r="H43" s="994"/>
      <c r="I43" s="994"/>
      <c r="J43" s="922"/>
    </row>
    <row r="46" spans="1:10" ht="13.5" thickBot="1" x14ac:dyDescent="0.25"/>
    <row r="47" spans="1:10" ht="18" customHeight="1" thickBot="1" x14ac:dyDescent="0.25">
      <c r="A47" s="1215" t="str">
        <f>"REALITEIT "&amp;B4</f>
        <v>REALITEIT 2022</v>
      </c>
      <c r="B47" s="1216"/>
      <c r="C47" s="1216"/>
      <c r="D47" s="1216"/>
      <c r="E47" s="1216"/>
      <c r="F47" s="1216"/>
      <c r="G47" s="1216"/>
      <c r="H47" s="1216"/>
      <c r="I47" s="1216"/>
      <c r="J47" s="1217"/>
    </row>
    <row r="48" spans="1:10" ht="58.5" customHeight="1" x14ac:dyDescent="0.2">
      <c r="A48" s="899" t="s">
        <v>266</v>
      </c>
      <c r="B48" s="900" t="s">
        <v>297</v>
      </c>
      <c r="C48" s="901" t="str">
        <f>"Oorspronkelijke meerwaarde op basis van historische indexatie voor activa einde boekjaar "&amp;B4-1</f>
        <v>Oorspronkelijke meerwaarde op basis van historische indexatie voor activa einde boekjaar 2021</v>
      </c>
      <c r="D48" s="901" t="str">
        <f>"Gecumuleerde afschrijvingen activa einde boekjaar "&amp; B4-1</f>
        <v>Gecumuleerde afschrijvingen activa einde boekjaar 2021</v>
      </c>
      <c r="E48" s="901" t="str">
        <f>"Nettoboekwaarde meerwaarde op basis van historische indexatie einde boekjaar "&amp; B4-1</f>
        <v>Nettoboekwaarde meerwaarde op basis van historische indexatie einde boekjaar 2021</v>
      </c>
      <c r="F48" s="901" t="str">
        <f>"Transfers boekjaar "&amp;B4</f>
        <v>Transfers boekjaar 2022</v>
      </c>
      <c r="G48" s="901" t="str">
        <f>"Afschrijvingen boekjaar "&amp;B4</f>
        <v>Afschrijvingen boekjaar 2022</v>
      </c>
      <c r="H48" s="987" t="str">
        <f>"Desinvesteringen boekjaar "&amp;B4&amp;" n.a.v. verkoop"</f>
        <v>Desinvesteringen boekjaar 2022 n.a.v. verkoop</v>
      </c>
      <c r="I48" s="987" t="str">
        <f>"Desinvesteringen boekjaar "&amp;B4&amp;" n.a.v. structuurwijziging"</f>
        <v>Desinvesteringen boekjaar 2022 n.a.v. structuurwijziging</v>
      </c>
      <c r="J48" s="901" t="str">
        <f>"Nettoboekwaarde meerwaarde op basis van historische indexatie einde boekjaar "&amp;B4</f>
        <v>Nettoboekwaarde meerwaarde op basis van historische indexatie einde boekjaar 2022</v>
      </c>
    </row>
    <row r="49" spans="1:10" ht="13.5" thickBot="1" x14ac:dyDescent="0.25">
      <c r="A49" s="902"/>
      <c r="B49" s="903"/>
      <c r="C49" s="904" t="s">
        <v>4</v>
      </c>
      <c r="D49" s="904" t="s">
        <v>8</v>
      </c>
      <c r="E49" s="904"/>
      <c r="F49" s="904" t="s">
        <v>4</v>
      </c>
      <c r="G49" s="904" t="s">
        <v>8</v>
      </c>
      <c r="H49" s="988" t="s">
        <v>8</v>
      </c>
      <c r="I49" s="988" t="s">
        <v>8</v>
      </c>
      <c r="J49" s="905"/>
    </row>
    <row r="50" spans="1:10" x14ac:dyDescent="0.2">
      <c r="A50" s="906" t="s">
        <v>267</v>
      </c>
      <c r="B50" s="1212">
        <v>0.02</v>
      </c>
      <c r="C50" s="611">
        <v>0</v>
      </c>
      <c r="D50" s="611">
        <v>0</v>
      </c>
      <c r="E50" s="907">
        <f t="shared" ref="E50:E56" si="6">+C50+D50</f>
        <v>0</v>
      </c>
      <c r="F50" s="611">
        <v>0</v>
      </c>
      <c r="G50" s="611">
        <v>0</v>
      </c>
      <c r="H50" s="989">
        <v>0</v>
      </c>
      <c r="I50" s="989">
        <v>0</v>
      </c>
      <c r="J50" s="908">
        <f>+SUM(E50:I50)</f>
        <v>0</v>
      </c>
    </row>
    <row r="51" spans="1:10" x14ac:dyDescent="0.2">
      <c r="A51" s="909" t="s">
        <v>268</v>
      </c>
      <c r="B51" s="1213"/>
      <c r="C51" s="612">
        <v>0</v>
      </c>
      <c r="D51" s="612">
        <v>0</v>
      </c>
      <c r="E51" s="910">
        <f t="shared" si="6"/>
        <v>0</v>
      </c>
      <c r="F51" s="612">
        <v>0</v>
      </c>
      <c r="G51" s="612">
        <v>0</v>
      </c>
      <c r="H51" s="990">
        <v>0</v>
      </c>
      <c r="I51" s="990">
        <v>0</v>
      </c>
      <c r="J51" s="911">
        <f t="shared" ref="J51:J73" si="7">+SUM(E51:I51)</f>
        <v>0</v>
      </c>
    </row>
    <row r="52" spans="1:10" x14ac:dyDescent="0.2">
      <c r="A52" s="909" t="s">
        <v>269</v>
      </c>
      <c r="B52" s="1213"/>
      <c r="C52" s="612">
        <v>0</v>
      </c>
      <c r="D52" s="612">
        <v>0</v>
      </c>
      <c r="E52" s="910">
        <f t="shared" si="6"/>
        <v>0</v>
      </c>
      <c r="F52" s="612">
        <v>0</v>
      </c>
      <c r="G52" s="612">
        <v>0</v>
      </c>
      <c r="H52" s="990">
        <v>0</v>
      </c>
      <c r="I52" s="990">
        <v>0</v>
      </c>
      <c r="J52" s="911">
        <f t="shared" si="7"/>
        <v>0</v>
      </c>
    </row>
    <row r="53" spans="1:10" x14ac:dyDescent="0.2">
      <c r="A53" s="909" t="s">
        <v>302</v>
      </c>
      <c r="B53" s="1213"/>
      <c r="C53" s="612">
        <v>0</v>
      </c>
      <c r="D53" s="612">
        <v>0</v>
      </c>
      <c r="E53" s="910">
        <f t="shared" si="6"/>
        <v>0</v>
      </c>
      <c r="F53" s="612">
        <v>0</v>
      </c>
      <c r="G53" s="612">
        <v>0</v>
      </c>
      <c r="H53" s="990">
        <v>0</v>
      </c>
      <c r="I53" s="990">
        <v>0</v>
      </c>
      <c r="J53" s="911">
        <f t="shared" si="7"/>
        <v>0</v>
      </c>
    </row>
    <row r="54" spans="1:10" x14ac:dyDescent="0.2">
      <c r="A54" s="909" t="s">
        <v>303</v>
      </c>
      <c r="B54" s="1213"/>
      <c r="C54" s="612">
        <v>0</v>
      </c>
      <c r="D54" s="612">
        <v>0</v>
      </c>
      <c r="E54" s="910">
        <f t="shared" si="6"/>
        <v>0</v>
      </c>
      <c r="F54" s="612">
        <v>0</v>
      </c>
      <c r="G54" s="612">
        <v>0</v>
      </c>
      <c r="H54" s="990">
        <v>0</v>
      </c>
      <c r="I54" s="990">
        <v>0</v>
      </c>
      <c r="J54" s="911">
        <f t="shared" si="7"/>
        <v>0</v>
      </c>
    </row>
    <row r="55" spans="1:10" x14ac:dyDescent="0.2">
      <c r="A55" s="909" t="s">
        <v>304</v>
      </c>
      <c r="B55" s="1213"/>
      <c r="C55" s="612">
        <v>0</v>
      </c>
      <c r="D55" s="612">
        <v>0</v>
      </c>
      <c r="E55" s="910">
        <f t="shared" si="6"/>
        <v>0</v>
      </c>
      <c r="F55" s="612">
        <v>0</v>
      </c>
      <c r="G55" s="612">
        <v>0</v>
      </c>
      <c r="H55" s="990">
        <v>0</v>
      </c>
      <c r="I55" s="990">
        <v>0</v>
      </c>
      <c r="J55" s="911">
        <f t="shared" si="7"/>
        <v>0</v>
      </c>
    </row>
    <row r="56" spans="1:10" x14ac:dyDescent="0.2">
      <c r="A56" s="909" t="s">
        <v>305</v>
      </c>
      <c r="B56" s="1213"/>
      <c r="C56" s="612">
        <v>0</v>
      </c>
      <c r="D56" s="612">
        <v>0</v>
      </c>
      <c r="E56" s="910">
        <f t="shared" si="6"/>
        <v>0</v>
      </c>
      <c r="F56" s="612">
        <v>0</v>
      </c>
      <c r="G56" s="612">
        <v>0</v>
      </c>
      <c r="H56" s="990">
        <v>0</v>
      </c>
      <c r="I56" s="990">
        <v>0</v>
      </c>
      <c r="J56" s="911">
        <f t="shared" si="7"/>
        <v>0</v>
      </c>
    </row>
    <row r="57" spans="1:10" x14ac:dyDescent="0.2">
      <c r="A57" s="909" t="s">
        <v>276</v>
      </c>
      <c r="B57" s="1213"/>
      <c r="C57" s="612">
        <v>0</v>
      </c>
      <c r="D57" s="612">
        <v>0</v>
      </c>
      <c r="E57" s="910">
        <f>+C57+D57</f>
        <v>0</v>
      </c>
      <c r="F57" s="612">
        <v>0</v>
      </c>
      <c r="G57" s="612">
        <v>0</v>
      </c>
      <c r="H57" s="990">
        <v>0</v>
      </c>
      <c r="I57" s="990">
        <v>0</v>
      </c>
      <c r="J57" s="911">
        <f t="shared" si="7"/>
        <v>0</v>
      </c>
    </row>
    <row r="58" spans="1:10" x14ac:dyDescent="0.2">
      <c r="A58" s="909" t="s">
        <v>306</v>
      </c>
      <c r="B58" s="1213"/>
      <c r="C58" s="612">
        <v>0</v>
      </c>
      <c r="D58" s="612">
        <v>0</v>
      </c>
      <c r="E58" s="910">
        <f t="shared" ref="E58:E69" si="8">+C58+D58</f>
        <v>0</v>
      </c>
      <c r="F58" s="612">
        <v>0</v>
      </c>
      <c r="G58" s="612">
        <v>0</v>
      </c>
      <c r="H58" s="990">
        <v>0</v>
      </c>
      <c r="I58" s="990">
        <v>0</v>
      </c>
      <c r="J58" s="911">
        <f t="shared" si="7"/>
        <v>0</v>
      </c>
    </row>
    <row r="59" spans="1:10" x14ac:dyDescent="0.2">
      <c r="A59" s="909" t="s">
        <v>307</v>
      </c>
      <c r="B59" s="1213"/>
      <c r="C59" s="612">
        <v>0</v>
      </c>
      <c r="D59" s="612">
        <v>0</v>
      </c>
      <c r="E59" s="910">
        <f t="shared" si="8"/>
        <v>0</v>
      </c>
      <c r="F59" s="612">
        <v>0</v>
      </c>
      <c r="G59" s="612">
        <v>0</v>
      </c>
      <c r="H59" s="990">
        <v>0</v>
      </c>
      <c r="I59" s="990">
        <v>0</v>
      </c>
      <c r="J59" s="911">
        <f t="shared" si="7"/>
        <v>0</v>
      </c>
    </row>
    <row r="60" spans="1:10" x14ac:dyDescent="0.2">
      <c r="A60" s="909" t="s">
        <v>308</v>
      </c>
      <c r="B60" s="1213"/>
      <c r="C60" s="612">
        <v>0</v>
      </c>
      <c r="D60" s="612">
        <v>0</v>
      </c>
      <c r="E60" s="910">
        <f t="shared" si="8"/>
        <v>0</v>
      </c>
      <c r="F60" s="612">
        <v>0</v>
      </c>
      <c r="G60" s="612">
        <v>0</v>
      </c>
      <c r="H60" s="990">
        <v>0</v>
      </c>
      <c r="I60" s="990">
        <v>0</v>
      </c>
      <c r="J60" s="911">
        <f t="shared" si="7"/>
        <v>0</v>
      </c>
    </row>
    <row r="61" spans="1:10" x14ac:dyDescent="0.2">
      <c r="A61" s="909" t="s">
        <v>309</v>
      </c>
      <c r="B61" s="1213"/>
      <c r="C61" s="612">
        <v>0</v>
      </c>
      <c r="D61" s="612">
        <v>0</v>
      </c>
      <c r="E61" s="910">
        <f t="shared" si="8"/>
        <v>0</v>
      </c>
      <c r="F61" s="612">
        <v>0</v>
      </c>
      <c r="G61" s="612">
        <v>0</v>
      </c>
      <c r="H61" s="990">
        <v>0</v>
      </c>
      <c r="I61" s="990">
        <v>0</v>
      </c>
      <c r="J61" s="911">
        <f t="shared" si="7"/>
        <v>0</v>
      </c>
    </row>
    <row r="62" spans="1:10" x14ac:dyDescent="0.2">
      <c r="A62" s="909" t="s">
        <v>281</v>
      </c>
      <c r="B62" s="1213"/>
      <c r="C62" s="612">
        <v>0</v>
      </c>
      <c r="D62" s="612">
        <v>0</v>
      </c>
      <c r="E62" s="910">
        <f t="shared" si="8"/>
        <v>0</v>
      </c>
      <c r="F62" s="612">
        <v>0</v>
      </c>
      <c r="G62" s="612">
        <v>0</v>
      </c>
      <c r="H62" s="990">
        <v>0</v>
      </c>
      <c r="I62" s="990">
        <v>0</v>
      </c>
      <c r="J62" s="911">
        <f t="shared" si="7"/>
        <v>0</v>
      </c>
    </row>
    <row r="63" spans="1:10" x14ac:dyDescent="0.2">
      <c r="A63" s="909" t="s">
        <v>298</v>
      </c>
      <c r="B63" s="1213"/>
      <c r="C63" s="612">
        <v>0</v>
      </c>
      <c r="D63" s="612">
        <v>0</v>
      </c>
      <c r="E63" s="910">
        <f t="shared" si="8"/>
        <v>0</v>
      </c>
      <c r="F63" s="612">
        <v>0</v>
      </c>
      <c r="G63" s="612">
        <v>0</v>
      </c>
      <c r="H63" s="990">
        <v>0</v>
      </c>
      <c r="I63" s="990">
        <v>0</v>
      </c>
      <c r="J63" s="911">
        <f t="shared" si="7"/>
        <v>0</v>
      </c>
    </row>
    <row r="64" spans="1:10" x14ac:dyDescent="0.2">
      <c r="A64" s="909" t="s">
        <v>282</v>
      </c>
      <c r="B64" s="1213"/>
      <c r="C64" s="612">
        <v>0</v>
      </c>
      <c r="D64" s="612">
        <v>0</v>
      </c>
      <c r="E64" s="910">
        <f t="shared" si="8"/>
        <v>0</v>
      </c>
      <c r="F64" s="612">
        <v>0</v>
      </c>
      <c r="G64" s="612">
        <v>0</v>
      </c>
      <c r="H64" s="990">
        <v>0</v>
      </c>
      <c r="I64" s="990">
        <v>0</v>
      </c>
      <c r="J64" s="911">
        <f t="shared" si="7"/>
        <v>0</v>
      </c>
    </row>
    <row r="65" spans="1:10" x14ac:dyDescent="0.2">
      <c r="A65" s="909" t="s">
        <v>283</v>
      </c>
      <c r="B65" s="1213"/>
      <c r="C65" s="612">
        <v>0</v>
      </c>
      <c r="D65" s="612">
        <v>0</v>
      </c>
      <c r="E65" s="910">
        <f t="shared" si="8"/>
        <v>0</v>
      </c>
      <c r="F65" s="612">
        <v>0</v>
      </c>
      <c r="G65" s="612">
        <v>0</v>
      </c>
      <c r="H65" s="990">
        <v>0</v>
      </c>
      <c r="I65" s="990">
        <v>0</v>
      </c>
      <c r="J65" s="911">
        <f t="shared" si="7"/>
        <v>0</v>
      </c>
    </row>
    <row r="66" spans="1:10" x14ac:dyDescent="0.2">
      <c r="A66" s="909" t="s">
        <v>284</v>
      </c>
      <c r="B66" s="1213"/>
      <c r="C66" s="612">
        <v>0</v>
      </c>
      <c r="D66" s="612">
        <v>0</v>
      </c>
      <c r="E66" s="910">
        <f t="shared" si="8"/>
        <v>0</v>
      </c>
      <c r="F66" s="612">
        <v>0</v>
      </c>
      <c r="G66" s="612">
        <v>0</v>
      </c>
      <c r="H66" s="990">
        <v>0</v>
      </c>
      <c r="I66" s="990">
        <v>0</v>
      </c>
      <c r="J66" s="911">
        <f t="shared" si="7"/>
        <v>0</v>
      </c>
    </row>
    <row r="67" spans="1:10" x14ac:dyDescent="0.2">
      <c r="A67" s="909" t="s">
        <v>310</v>
      </c>
      <c r="B67" s="1213"/>
      <c r="C67" s="612">
        <v>0</v>
      </c>
      <c r="D67" s="612">
        <v>0</v>
      </c>
      <c r="E67" s="910">
        <f t="shared" si="8"/>
        <v>0</v>
      </c>
      <c r="F67" s="612">
        <v>0</v>
      </c>
      <c r="G67" s="612">
        <v>0</v>
      </c>
      <c r="H67" s="990">
        <v>0</v>
      </c>
      <c r="I67" s="990">
        <v>0</v>
      </c>
      <c r="J67" s="911">
        <f t="shared" si="7"/>
        <v>0</v>
      </c>
    </row>
    <row r="68" spans="1:10" x14ac:dyDescent="0.2">
      <c r="A68" s="909" t="s">
        <v>286</v>
      </c>
      <c r="B68" s="1213"/>
      <c r="C68" s="612">
        <v>0</v>
      </c>
      <c r="D68" s="612">
        <v>0</v>
      </c>
      <c r="E68" s="910">
        <f t="shared" si="8"/>
        <v>0</v>
      </c>
      <c r="F68" s="612">
        <v>0</v>
      </c>
      <c r="G68" s="612">
        <v>0</v>
      </c>
      <c r="H68" s="990">
        <v>0</v>
      </c>
      <c r="I68" s="990">
        <v>0</v>
      </c>
      <c r="J68" s="911">
        <f t="shared" si="7"/>
        <v>0</v>
      </c>
    </row>
    <row r="69" spans="1:10" x14ac:dyDescent="0.2">
      <c r="A69" s="909" t="s">
        <v>287</v>
      </c>
      <c r="B69" s="1213"/>
      <c r="C69" s="612">
        <v>0</v>
      </c>
      <c r="D69" s="612">
        <v>0</v>
      </c>
      <c r="E69" s="910">
        <f t="shared" si="8"/>
        <v>0</v>
      </c>
      <c r="F69" s="612">
        <v>0</v>
      </c>
      <c r="G69" s="612">
        <v>0</v>
      </c>
      <c r="H69" s="990">
        <v>0</v>
      </c>
      <c r="I69" s="990">
        <v>0</v>
      </c>
      <c r="J69" s="911">
        <f t="shared" si="7"/>
        <v>0</v>
      </c>
    </row>
    <row r="70" spans="1:10" x14ac:dyDescent="0.2">
      <c r="A70" s="928" t="s">
        <v>288</v>
      </c>
      <c r="B70" s="1213"/>
      <c r="C70" s="616">
        <v>0</v>
      </c>
      <c r="D70" s="616">
        <v>0</v>
      </c>
      <c r="E70" s="929">
        <f>+C70+D70</f>
        <v>0</v>
      </c>
      <c r="F70" s="616">
        <v>0</v>
      </c>
      <c r="G70" s="616">
        <v>0</v>
      </c>
      <c r="H70" s="997">
        <v>0</v>
      </c>
      <c r="I70" s="997">
        <v>0</v>
      </c>
      <c r="J70" s="930">
        <f t="shared" si="7"/>
        <v>0</v>
      </c>
    </row>
    <row r="71" spans="1:10" x14ac:dyDescent="0.2">
      <c r="A71" s="909" t="s">
        <v>290</v>
      </c>
      <c r="B71" s="1213"/>
      <c r="C71" s="616">
        <v>0</v>
      </c>
      <c r="D71" s="616">
        <v>0</v>
      </c>
      <c r="E71" s="929">
        <f>+C71+D71</f>
        <v>0</v>
      </c>
      <c r="F71" s="616">
        <v>0</v>
      </c>
      <c r="G71" s="616">
        <v>0</v>
      </c>
      <c r="H71" s="997">
        <v>0</v>
      </c>
      <c r="I71" s="997">
        <v>0</v>
      </c>
      <c r="J71" s="930">
        <f t="shared" si="7"/>
        <v>0</v>
      </c>
    </row>
    <row r="72" spans="1:10" x14ac:dyDescent="0.2">
      <c r="A72" s="928" t="s">
        <v>293</v>
      </c>
      <c r="B72" s="1213"/>
      <c r="C72" s="616">
        <v>0</v>
      </c>
      <c r="D72" s="616">
        <v>0</v>
      </c>
      <c r="E72" s="929">
        <f>+C72+D72</f>
        <v>0</v>
      </c>
      <c r="F72" s="616">
        <v>0</v>
      </c>
      <c r="G72" s="616">
        <v>0</v>
      </c>
      <c r="H72" s="997">
        <v>0</v>
      </c>
      <c r="I72" s="997">
        <v>0</v>
      </c>
      <c r="J72" s="930">
        <f t="shared" si="7"/>
        <v>0</v>
      </c>
    </row>
    <row r="73" spans="1:10" ht="13.5" thickBot="1" x14ac:dyDescent="0.25">
      <c r="A73" s="931" t="s">
        <v>295</v>
      </c>
      <c r="B73" s="1214"/>
      <c r="C73" s="617">
        <v>0</v>
      </c>
      <c r="D73" s="617">
        <v>0</v>
      </c>
      <c r="E73" s="932">
        <f>+C73+D73</f>
        <v>0</v>
      </c>
      <c r="F73" s="617">
        <v>0</v>
      </c>
      <c r="G73" s="617">
        <v>0</v>
      </c>
      <c r="H73" s="998">
        <v>0</v>
      </c>
      <c r="I73" s="998">
        <v>0</v>
      </c>
      <c r="J73" s="933">
        <f t="shared" si="7"/>
        <v>0</v>
      </c>
    </row>
    <row r="74" spans="1:10" x14ac:dyDescent="0.2">
      <c r="A74" s="915"/>
      <c r="B74" s="916"/>
      <c r="C74" s="934"/>
      <c r="D74" s="934"/>
      <c r="E74" s="934"/>
      <c r="F74" s="934"/>
      <c r="G74" s="934"/>
      <c r="H74" s="999"/>
      <c r="I74" s="999"/>
      <c r="J74" s="934"/>
    </row>
    <row r="75" spans="1:10" x14ac:dyDescent="0.2">
      <c r="A75" s="915" t="s">
        <v>296</v>
      </c>
      <c r="B75" s="916"/>
      <c r="C75" s="918">
        <f t="shared" ref="C75:J75" si="9">SUM(C50:C73)</f>
        <v>0</v>
      </c>
      <c r="D75" s="918">
        <f t="shared" si="9"/>
        <v>0</v>
      </c>
      <c r="E75" s="918">
        <f t="shared" si="9"/>
        <v>0</v>
      </c>
      <c r="F75" s="918">
        <f t="shared" ref="F75" si="10">SUM(F50:F73)</f>
        <v>0</v>
      </c>
      <c r="G75" s="918">
        <f t="shared" si="9"/>
        <v>0</v>
      </c>
      <c r="H75" s="993">
        <f t="shared" si="9"/>
        <v>0</v>
      </c>
      <c r="I75" s="993">
        <f t="shared" ref="I75" si="11">SUM(I50:I73)</f>
        <v>0</v>
      </c>
      <c r="J75" s="918">
        <f t="shared" si="9"/>
        <v>0</v>
      </c>
    </row>
    <row r="76" spans="1:10" ht="13.5" thickBot="1" x14ac:dyDescent="0.25">
      <c r="A76" s="919"/>
      <c r="B76" s="920"/>
      <c r="C76" s="921"/>
      <c r="D76" s="921"/>
      <c r="E76" s="921"/>
      <c r="F76" s="921"/>
      <c r="G76" s="921"/>
      <c r="H76" s="994"/>
      <c r="I76" s="994"/>
      <c r="J76" s="922"/>
    </row>
  </sheetData>
  <sheetProtection algorithmName="SHA-512" hashValue="9vE6QfFGUBUZk9+2UWTWKf9c87xaZNj3yDuZq9BzAXJIBrmFKZiq98FYFI8ZkP9zIzLOBj7k8QSLmD2m0I1ejg==" saltValue="79au9657/1VebXOnoCvrbQ==" spinCount="100000" sheet="1" objects="1" scenarios="1"/>
  <mergeCells count="5">
    <mergeCell ref="A47:J47"/>
    <mergeCell ref="B50:B73"/>
    <mergeCell ref="A1:G1"/>
    <mergeCell ref="B17:B40"/>
    <mergeCell ref="A14:J14"/>
  </mergeCells>
  <conditionalFormatting sqref="A1:XFD1048576">
    <cfRule type="expression" dxfId="4" priority="2">
      <formula>$K$1="elektriciteit"</formula>
    </cfRule>
  </conditionalFormatting>
  <dataValidations count="3">
    <dataValidation type="decimal" operator="lessThanOrEqual" allowBlank="1" showInputMessage="1" showErrorMessage="1" errorTitle="Positief bedrag" error="Gelieve een negatief bedrag in te geven" sqref="D65523:D65545 JC65523:JC65545 SY65523:SY65545 ACU65523:ACU65545 AMQ65523:AMQ65545 AWM65523:AWM65545 BGI65523:BGI65545 BQE65523:BQE65545 CAA65523:CAA65545 CJW65523:CJW65545 CTS65523:CTS65545 DDO65523:DDO65545 DNK65523:DNK65545 DXG65523:DXG65545 EHC65523:EHC65545 EQY65523:EQY65545 FAU65523:FAU65545 FKQ65523:FKQ65545 FUM65523:FUM65545 GEI65523:GEI65545 GOE65523:GOE65545 GYA65523:GYA65545 HHW65523:HHW65545 HRS65523:HRS65545 IBO65523:IBO65545 ILK65523:ILK65545 IVG65523:IVG65545 JFC65523:JFC65545 JOY65523:JOY65545 JYU65523:JYU65545 KIQ65523:KIQ65545 KSM65523:KSM65545 LCI65523:LCI65545 LME65523:LME65545 LWA65523:LWA65545 MFW65523:MFW65545 MPS65523:MPS65545 MZO65523:MZO65545 NJK65523:NJK65545 NTG65523:NTG65545 ODC65523:ODC65545 OMY65523:OMY65545 OWU65523:OWU65545 PGQ65523:PGQ65545 PQM65523:PQM65545 QAI65523:QAI65545 QKE65523:QKE65545 QUA65523:QUA65545 RDW65523:RDW65545 RNS65523:RNS65545 RXO65523:RXO65545 SHK65523:SHK65545 SRG65523:SRG65545 TBC65523:TBC65545 TKY65523:TKY65545 TUU65523:TUU65545 UEQ65523:UEQ65545 UOM65523:UOM65545 UYI65523:UYI65545 VIE65523:VIE65545 VSA65523:VSA65545 WBW65523:WBW65545 WLS65523:WLS65545 WVO65523:WVO65545 D131059:D131081 JC131059:JC131081 SY131059:SY131081 ACU131059:ACU131081 AMQ131059:AMQ131081 AWM131059:AWM131081 BGI131059:BGI131081 BQE131059:BQE131081 CAA131059:CAA131081 CJW131059:CJW131081 CTS131059:CTS131081 DDO131059:DDO131081 DNK131059:DNK131081 DXG131059:DXG131081 EHC131059:EHC131081 EQY131059:EQY131081 FAU131059:FAU131081 FKQ131059:FKQ131081 FUM131059:FUM131081 GEI131059:GEI131081 GOE131059:GOE131081 GYA131059:GYA131081 HHW131059:HHW131081 HRS131059:HRS131081 IBO131059:IBO131081 ILK131059:ILK131081 IVG131059:IVG131081 JFC131059:JFC131081 JOY131059:JOY131081 JYU131059:JYU131081 KIQ131059:KIQ131081 KSM131059:KSM131081 LCI131059:LCI131081 LME131059:LME131081 LWA131059:LWA131081 MFW131059:MFW131081 MPS131059:MPS131081 MZO131059:MZO131081 NJK131059:NJK131081 NTG131059:NTG131081 ODC131059:ODC131081 OMY131059:OMY131081 OWU131059:OWU131081 PGQ131059:PGQ131081 PQM131059:PQM131081 QAI131059:QAI131081 QKE131059:QKE131081 QUA131059:QUA131081 RDW131059:RDW131081 RNS131059:RNS131081 RXO131059:RXO131081 SHK131059:SHK131081 SRG131059:SRG131081 TBC131059:TBC131081 TKY131059:TKY131081 TUU131059:TUU131081 UEQ131059:UEQ131081 UOM131059:UOM131081 UYI131059:UYI131081 VIE131059:VIE131081 VSA131059:VSA131081 WBW131059:WBW131081 WLS131059:WLS131081 WVO131059:WVO131081 D196595:D196617 JC196595:JC196617 SY196595:SY196617 ACU196595:ACU196617 AMQ196595:AMQ196617 AWM196595:AWM196617 BGI196595:BGI196617 BQE196595:BQE196617 CAA196595:CAA196617 CJW196595:CJW196617 CTS196595:CTS196617 DDO196595:DDO196617 DNK196595:DNK196617 DXG196595:DXG196617 EHC196595:EHC196617 EQY196595:EQY196617 FAU196595:FAU196617 FKQ196595:FKQ196617 FUM196595:FUM196617 GEI196595:GEI196617 GOE196595:GOE196617 GYA196595:GYA196617 HHW196595:HHW196617 HRS196595:HRS196617 IBO196595:IBO196617 ILK196595:ILK196617 IVG196595:IVG196617 JFC196595:JFC196617 JOY196595:JOY196617 JYU196595:JYU196617 KIQ196595:KIQ196617 KSM196595:KSM196617 LCI196595:LCI196617 LME196595:LME196617 LWA196595:LWA196617 MFW196595:MFW196617 MPS196595:MPS196617 MZO196595:MZO196617 NJK196595:NJK196617 NTG196595:NTG196617 ODC196595:ODC196617 OMY196595:OMY196617 OWU196595:OWU196617 PGQ196595:PGQ196617 PQM196595:PQM196617 QAI196595:QAI196617 QKE196595:QKE196617 QUA196595:QUA196617 RDW196595:RDW196617 RNS196595:RNS196617 RXO196595:RXO196617 SHK196595:SHK196617 SRG196595:SRG196617 TBC196595:TBC196617 TKY196595:TKY196617 TUU196595:TUU196617 UEQ196595:UEQ196617 UOM196595:UOM196617 UYI196595:UYI196617 VIE196595:VIE196617 VSA196595:VSA196617 WBW196595:WBW196617 WLS196595:WLS196617 WVO196595:WVO196617 D262131:D262153 JC262131:JC262153 SY262131:SY262153 ACU262131:ACU262153 AMQ262131:AMQ262153 AWM262131:AWM262153 BGI262131:BGI262153 BQE262131:BQE262153 CAA262131:CAA262153 CJW262131:CJW262153 CTS262131:CTS262153 DDO262131:DDO262153 DNK262131:DNK262153 DXG262131:DXG262153 EHC262131:EHC262153 EQY262131:EQY262153 FAU262131:FAU262153 FKQ262131:FKQ262153 FUM262131:FUM262153 GEI262131:GEI262153 GOE262131:GOE262153 GYA262131:GYA262153 HHW262131:HHW262153 HRS262131:HRS262153 IBO262131:IBO262153 ILK262131:ILK262153 IVG262131:IVG262153 JFC262131:JFC262153 JOY262131:JOY262153 JYU262131:JYU262153 KIQ262131:KIQ262153 KSM262131:KSM262153 LCI262131:LCI262153 LME262131:LME262153 LWA262131:LWA262153 MFW262131:MFW262153 MPS262131:MPS262153 MZO262131:MZO262153 NJK262131:NJK262153 NTG262131:NTG262153 ODC262131:ODC262153 OMY262131:OMY262153 OWU262131:OWU262153 PGQ262131:PGQ262153 PQM262131:PQM262153 QAI262131:QAI262153 QKE262131:QKE262153 QUA262131:QUA262153 RDW262131:RDW262153 RNS262131:RNS262153 RXO262131:RXO262153 SHK262131:SHK262153 SRG262131:SRG262153 TBC262131:TBC262153 TKY262131:TKY262153 TUU262131:TUU262153 UEQ262131:UEQ262153 UOM262131:UOM262153 UYI262131:UYI262153 VIE262131:VIE262153 VSA262131:VSA262153 WBW262131:WBW262153 WLS262131:WLS262153 WVO262131:WVO262153 D327667:D327689 JC327667:JC327689 SY327667:SY327689 ACU327667:ACU327689 AMQ327667:AMQ327689 AWM327667:AWM327689 BGI327667:BGI327689 BQE327667:BQE327689 CAA327667:CAA327689 CJW327667:CJW327689 CTS327667:CTS327689 DDO327667:DDO327689 DNK327667:DNK327689 DXG327667:DXG327689 EHC327667:EHC327689 EQY327667:EQY327689 FAU327667:FAU327689 FKQ327667:FKQ327689 FUM327667:FUM327689 GEI327667:GEI327689 GOE327667:GOE327689 GYA327667:GYA327689 HHW327667:HHW327689 HRS327667:HRS327689 IBO327667:IBO327689 ILK327667:ILK327689 IVG327667:IVG327689 JFC327667:JFC327689 JOY327667:JOY327689 JYU327667:JYU327689 KIQ327667:KIQ327689 KSM327667:KSM327689 LCI327667:LCI327689 LME327667:LME327689 LWA327667:LWA327689 MFW327667:MFW327689 MPS327667:MPS327689 MZO327667:MZO327689 NJK327667:NJK327689 NTG327667:NTG327689 ODC327667:ODC327689 OMY327667:OMY327689 OWU327667:OWU327689 PGQ327667:PGQ327689 PQM327667:PQM327689 QAI327667:QAI327689 QKE327667:QKE327689 QUA327667:QUA327689 RDW327667:RDW327689 RNS327667:RNS327689 RXO327667:RXO327689 SHK327667:SHK327689 SRG327667:SRG327689 TBC327667:TBC327689 TKY327667:TKY327689 TUU327667:TUU327689 UEQ327667:UEQ327689 UOM327667:UOM327689 UYI327667:UYI327689 VIE327667:VIE327689 VSA327667:VSA327689 WBW327667:WBW327689 WLS327667:WLS327689 WVO327667:WVO327689 D393203:D393225 JC393203:JC393225 SY393203:SY393225 ACU393203:ACU393225 AMQ393203:AMQ393225 AWM393203:AWM393225 BGI393203:BGI393225 BQE393203:BQE393225 CAA393203:CAA393225 CJW393203:CJW393225 CTS393203:CTS393225 DDO393203:DDO393225 DNK393203:DNK393225 DXG393203:DXG393225 EHC393203:EHC393225 EQY393203:EQY393225 FAU393203:FAU393225 FKQ393203:FKQ393225 FUM393203:FUM393225 GEI393203:GEI393225 GOE393203:GOE393225 GYA393203:GYA393225 HHW393203:HHW393225 HRS393203:HRS393225 IBO393203:IBO393225 ILK393203:ILK393225 IVG393203:IVG393225 JFC393203:JFC393225 JOY393203:JOY393225 JYU393203:JYU393225 KIQ393203:KIQ393225 KSM393203:KSM393225 LCI393203:LCI393225 LME393203:LME393225 LWA393203:LWA393225 MFW393203:MFW393225 MPS393203:MPS393225 MZO393203:MZO393225 NJK393203:NJK393225 NTG393203:NTG393225 ODC393203:ODC393225 OMY393203:OMY393225 OWU393203:OWU393225 PGQ393203:PGQ393225 PQM393203:PQM393225 QAI393203:QAI393225 QKE393203:QKE393225 QUA393203:QUA393225 RDW393203:RDW393225 RNS393203:RNS393225 RXO393203:RXO393225 SHK393203:SHK393225 SRG393203:SRG393225 TBC393203:TBC393225 TKY393203:TKY393225 TUU393203:TUU393225 UEQ393203:UEQ393225 UOM393203:UOM393225 UYI393203:UYI393225 VIE393203:VIE393225 VSA393203:VSA393225 WBW393203:WBW393225 WLS393203:WLS393225 WVO393203:WVO393225 D458739:D458761 JC458739:JC458761 SY458739:SY458761 ACU458739:ACU458761 AMQ458739:AMQ458761 AWM458739:AWM458761 BGI458739:BGI458761 BQE458739:BQE458761 CAA458739:CAA458761 CJW458739:CJW458761 CTS458739:CTS458761 DDO458739:DDO458761 DNK458739:DNK458761 DXG458739:DXG458761 EHC458739:EHC458761 EQY458739:EQY458761 FAU458739:FAU458761 FKQ458739:FKQ458761 FUM458739:FUM458761 GEI458739:GEI458761 GOE458739:GOE458761 GYA458739:GYA458761 HHW458739:HHW458761 HRS458739:HRS458761 IBO458739:IBO458761 ILK458739:ILK458761 IVG458739:IVG458761 JFC458739:JFC458761 JOY458739:JOY458761 JYU458739:JYU458761 KIQ458739:KIQ458761 KSM458739:KSM458761 LCI458739:LCI458761 LME458739:LME458761 LWA458739:LWA458761 MFW458739:MFW458761 MPS458739:MPS458761 MZO458739:MZO458761 NJK458739:NJK458761 NTG458739:NTG458761 ODC458739:ODC458761 OMY458739:OMY458761 OWU458739:OWU458761 PGQ458739:PGQ458761 PQM458739:PQM458761 QAI458739:QAI458761 QKE458739:QKE458761 QUA458739:QUA458761 RDW458739:RDW458761 RNS458739:RNS458761 RXO458739:RXO458761 SHK458739:SHK458761 SRG458739:SRG458761 TBC458739:TBC458761 TKY458739:TKY458761 TUU458739:TUU458761 UEQ458739:UEQ458761 UOM458739:UOM458761 UYI458739:UYI458761 VIE458739:VIE458761 VSA458739:VSA458761 WBW458739:WBW458761 WLS458739:WLS458761 WVO458739:WVO458761 D524275:D524297 JC524275:JC524297 SY524275:SY524297 ACU524275:ACU524297 AMQ524275:AMQ524297 AWM524275:AWM524297 BGI524275:BGI524297 BQE524275:BQE524297 CAA524275:CAA524297 CJW524275:CJW524297 CTS524275:CTS524297 DDO524275:DDO524297 DNK524275:DNK524297 DXG524275:DXG524297 EHC524275:EHC524297 EQY524275:EQY524297 FAU524275:FAU524297 FKQ524275:FKQ524297 FUM524275:FUM524297 GEI524275:GEI524297 GOE524275:GOE524297 GYA524275:GYA524297 HHW524275:HHW524297 HRS524275:HRS524297 IBO524275:IBO524297 ILK524275:ILK524297 IVG524275:IVG524297 JFC524275:JFC524297 JOY524275:JOY524297 JYU524275:JYU524297 KIQ524275:KIQ524297 KSM524275:KSM524297 LCI524275:LCI524297 LME524275:LME524297 LWA524275:LWA524297 MFW524275:MFW524297 MPS524275:MPS524297 MZO524275:MZO524297 NJK524275:NJK524297 NTG524275:NTG524297 ODC524275:ODC524297 OMY524275:OMY524297 OWU524275:OWU524297 PGQ524275:PGQ524297 PQM524275:PQM524297 QAI524275:QAI524297 QKE524275:QKE524297 QUA524275:QUA524297 RDW524275:RDW524297 RNS524275:RNS524297 RXO524275:RXO524297 SHK524275:SHK524297 SRG524275:SRG524297 TBC524275:TBC524297 TKY524275:TKY524297 TUU524275:TUU524297 UEQ524275:UEQ524297 UOM524275:UOM524297 UYI524275:UYI524297 VIE524275:VIE524297 VSA524275:VSA524297 WBW524275:WBW524297 WLS524275:WLS524297 WVO524275:WVO524297 D589811:D589833 JC589811:JC589833 SY589811:SY589833 ACU589811:ACU589833 AMQ589811:AMQ589833 AWM589811:AWM589833 BGI589811:BGI589833 BQE589811:BQE589833 CAA589811:CAA589833 CJW589811:CJW589833 CTS589811:CTS589833 DDO589811:DDO589833 DNK589811:DNK589833 DXG589811:DXG589833 EHC589811:EHC589833 EQY589811:EQY589833 FAU589811:FAU589833 FKQ589811:FKQ589833 FUM589811:FUM589833 GEI589811:GEI589833 GOE589811:GOE589833 GYA589811:GYA589833 HHW589811:HHW589833 HRS589811:HRS589833 IBO589811:IBO589833 ILK589811:ILK589833 IVG589811:IVG589833 JFC589811:JFC589833 JOY589811:JOY589833 JYU589811:JYU589833 KIQ589811:KIQ589833 KSM589811:KSM589833 LCI589811:LCI589833 LME589811:LME589833 LWA589811:LWA589833 MFW589811:MFW589833 MPS589811:MPS589833 MZO589811:MZO589833 NJK589811:NJK589833 NTG589811:NTG589833 ODC589811:ODC589833 OMY589811:OMY589833 OWU589811:OWU589833 PGQ589811:PGQ589833 PQM589811:PQM589833 QAI589811:QAI589833 QKE589811:QKE589833 QUA589811:QUA589833 RDW589811:RDW589833 RNS589811:RNS589833 RXO589811:RXO589833 SHK589811:SHK589833 SRG589811:SRG589833 TBC589811:TBC589833 TKY589811:TKY589833 TUU589811:TUU589833 UEQ589811:UEQ589833 UOM589811:UOM589833 UYI589811:UYI589833 VIE589811:VIE589833 VSA589811:VSA589833 WBW589811:WBW589833 WLS589811:WLS589833 WVO589811:WVO589833 D655347:D655369 JC655347:JC655369 SY655347:SY655369 ACU655347:ACU655369 AMQ655347:AMQ655369 AWM655347:AWM655369 BGI655347:BGI655369 BQE655347:BQE655369 CAA655347:CAA655369 CJW655347:CJW655369 CTS655347:CTS655369 DDO655347:DDO655369 DNK655347:DNK655369 DXG655347:DXG655369 EHC655347:EHC655369 EQY655347:EQY655369 FAU655347:FAU655369 FKQ655347:FKQ655369 FUM655347:FUM655369 GEI655347:GEI655369 GOE655347:GOE655369 GYA655347:GYA655369 HHW655347:HHW655369 HRS655347:HRS655369 IBO655347:IBO655369 ILK655347:ILK655369 IVG655347:IVG655369 JFC655347:JFC655369 JOY655347:JOY655369 JYU655347:JYU655369 KIQ655347:KIQ655369 KSM655347:KSM655369 LCI655347:LCI655369 LME655347:LME655369 LWA655347:LWA655369 MFW655347:MFW655369 MPS655347:MPS655369 MZO655347:MZO655369 NJK655347:NJK655369 NTG655347:NTG655369 ODC655347:ODC655369 OMY655347:OMY655369 OWU655347:OWU655369 PGQ655347:PGQ655369 PQM655347:PQM655369 QAI655347:QAI655369 QKE655347:QKE655369 QUA655347:QUA655369 RDW655347:RDW655369 RNS655347:RNS655369 RXO655347:RXO655369 SHK655347:SHK655369 SRG655347:SRG655369 TBC655347:TBC655369 TKY655347:TKY655369 TUU655347:TUU655369 UEQ655347:UEQ655369 UOM655347:UOM655369 UYI655347:UYI655369 VIE655347:VIE655369 VSA655347:VSA655369 WBW655347:WBW655369 WLS655347:WLS655369 WVO655347:WVO655369 D720883:D720905 JC720883:JC720905 SY720883:SY720905 ACU720883:ACU720905 AMQ720883:AMQ720905 AWM720883:AWM720905 BGI720883:BGI720905 BQE720883:BQE720905 CAA720883:CAA720905 CJW720883:CJW720905 CTS720883:CTS720905 DDO720883:DDO720905 DNK720883:DNK720905 DXG720883:DXG720905 EHC720883:EHC720905 EQY720883:EQY720905 FAU720883:FAU720905 FKQ720883:FKQ720905 FUM720883:FUM720905 GEI720883:GEI720905 GOE720883:GOE720905 GYA720883:GYA720905 HHW720883:HHW720905 HRS720883:HRS720905 IBO720883:IBO720905 ILK720883:ILK720905 IVG720883:IVG720905 JFC720883:JFC720905 JOY720883:JOY720905 JYU720883:JYU720905 KIQ720883:KIQ720905 KSM720883:KSM720905 LCI720883:LCI720905 LME720883:LME720905 LWA720883:LWA720905 MFW720883:MFW720905 MPS720883:MPS720905 MZO720883:MZO720905 NJK720883:NJK720905 NTG720883:NTG720905 ODC720883:ODC720905 OMY720883:OMY720905 OWU720883:OWU720905 PGQ720883:PGQ720905 PQM720883:PQM720905 QAI720883:QAI720905 QKE720883:QKE720905 QUA720883:QUA720905 RDW720883:RDW720905 RNS720883:RNS720905 RXO720883:RXO720905 SHK720883:SHK720905 SRG720883:SRG720905 TBC720883:TBC720905 TKY720883:TKY720905 TUU720883:TUU720905 UEQ720883:UEQ720905 UOM720883:UOM720905 UYI720883:UYI720905 VIE720883:VIE720905 VSA720883:VSA720905 WBW720883:WBW720905 WLS720883:WLS720905 WVO720883:WVO720905 D786419:D786441 JC786419:JC786441 SY786419:SY786441 ACU786419:ACU786441 AMQ786419:AMQ786441 AWM786419:AWM786441 BGI786419:BGI786441 BQE786419:BQE786441 CAA786419:CAA786441 CJW786419:CJW786441 CTS786419:CTS786441 DDO786419:DDO786441 DNK786419:DNK786441 DXG786419:DXG786441 EHC786419:EHC786441 EQY786419:EQY786441 FAU786419:FAU786441 FKQ786419:FKQ786441 FUM786419:FUM786441 GEI786419:GEI786441 GOE786419:GOE786441 GYA786419:GYA786441 HHW786419:HHW786441 HRS786419:HRS786441 IBO786419:IBO786441 ILK786419:ILK786441 IVG786419:IVG786441 JFC786419:JFC786441 JOY786419:JOY786441 JYU786419:JYU786441 KIQ786419:KIQ786441 KSM786419:KSM786441 LCI786419:LCI786441 LME786419:LME786441 LWA786419:LWA786441 MFW786419:MFW786441 MPS786419:MPS786441 MZO786419:MZO786441 NJK786419:NJK786441 NTG786419:NTG786441 ODC786419:ODC786441 OMY786419:OMY786441 OWU786419:OWU786441 PGQ786419:PGQ786441 PQM786419:PQM786441 QAI786419:QAI786441 QKE786419:QKE786441 QUA786419:QUA786441 RDW786419:RDW786441 RNS786419:RNS786441 RXO786419:RXO786441 SHK786419:SHK786441 SRG786419:SRG786441 TBC786419:TBC786441 TKY786419:TKY786441 TUU786419:TUU786441 UEQ786419:UEQ786441 UOM786419:UOM786441 UYI786419:UYI786441 VIE786419:VIE786441 VSA786419:VSA786441 WBW786419:WBW786441 WLS786419:WLS786441 WVO786419:WVO786441 D851955:D851977 JC851955:JC851977 SY851955:SY851977 ACU851955:ACU851977 AMQ851955:AMQ851977 AWM851955:AWM851977 BGI851955:BGI851977 BQE851955:BQE851977 CAA851955:CAA851977 CJW851955:CJW851977 CTS851955:CTS851977 DDO851955:DDO851977 DNK851955:DNK851977 DXG851955:DXG851977 EHC851955:EHC851977 EQY851955:EQY851977 FAU851955:FAU851977 FKQ851955:FKQ851977 FUM851955:FUM851977 GEI851955:GEI851977 GOE851955:GOE851977 GYA851955:GYA851977 HHW851955:HHW851977 HRS851955:HRS851977 IBO851955:IBO851977 ILK851955:ILK851977 IVG851955:IVG851977 JFC851955:JFC851977 JOY851955:JOY851977 JYU851955:JYU851977 KIQ851955:KIQ851977 KSM851955:KSM851977 LCI851955:LCI851977 LME851955:LME851977 LWA851955:LWA851977 MFW851955:MFW851977 MPS851955:MPS851977 MZO851955:MZO851977 NJK851955:NJK851977 NTG851955:NTG851977 ODC851955:ODC851977 OMY851955:OMY851977 OWU851955:OWU851977 PGQ851955:PGQ851977 PQM851955:PQM851977 QAI851955:QAI851977 QKE851955:QKE851977 QUA851955:QUA851977 RDW851955:RDW851977 RNS851955:RNS851977 RXO851955:RXO851977 SHK851955:SHK851977 SRG851955:SRG851977 TBC851955:TBC851977 TKY851955:TKY851977 TUU851955:TUU851977 UEQ851955:UEQ851977 UOM851955:UOM851977 UYI851955:UYI851977 VIE851955:VIE851977 VSA851955:VSA851977 WBW851955:WBW851977 WLS851955:WLS851977 WVO851955:WVO851977 D917491:D917513 JC917491:JC917513 SY917491:SY917513 ACU917491:ACU917513 AMQ917491:AMQ917513 AWM917491:AWM917513 BGI917491:BGI917513 BQE917491:BQE917513 CAA917491:CAA917513 CJW917491:CJW917513 CTS917491:CTS917513 DDO917491:DDO917513 DNK917491:DNK917513 DXG917491:DXG917513 EHC917491:EHC917513 EQY917491:EQY917513 FAU917491:FAU917513 FKQ917491:FKQ917513 FUM917491:FUM917513 GEI917491:GEI917513 GOE917491:GOE917513 GYA917491:GYA917513 HHW917491:HHW917513 HRS917491:HRS917513 IBO917491:IBO917513 ILK917491:ILK917513 IVG917491:IVG917513 JFC917491:JFC917513 JOY917491:JOY917513 JYU917491:JYU917513 KIQ917491:KIQ917513 KSM917491:KSM917513 LCI917491:LCI917513 LME917491:LME917513 LWA917491:LWA917513 MFW917491:MFW917513 MPS917491:MPS917513 MZO917491:MZO917513 NJK917491:NJK917513 NTG917491:NTG917513 ODC917491:ODC917513 OMY917491:OMY917513 OWU917491:OWU917513 PGQ917491:PGQ917513 PQM917491:PQM917513 QAI917491:QAI917513 QKE917491:QKE917513 QUA917491:QUA917513 RDW917491:RDW917513 RNS917491:RNS917513 RXO917491:RXO917513 SHK917491:SHK917513 SRG917491:SRG917513 TBC917491:TBC917513 TKY917491:TKY917513 TUU917491:TUU917513 UEQ917491:UEQ917513 UOM917491:UOM917513 UYI917491:UYI917513 VIE917491:VIE917513 VSA917491:VSA917513 WBW917491:WBW917513 WLS917491:WLS917513 WVO917491:WVO917513 D983027:D983049 JC983027:JC983049 SY983027:SY983049 ACU983027:ACU983049 AMQ983027:AMQ983049 AWM983027:AWM983049 BGI983027:BGI983049 BQE983027:BQE983049 CAA983027:CAA983049 CJW983027:CJW983049 CTS983027:CTS983049 DDO983027:DDO983049 DNK983027:DNK983049 DXG983027:DXG983049 EHC983027:EHC983049 EQY983027:EQY983049 FAU983027:FAU983049 FKQ983027:FKQ983049 FUM983027:FUM983049 GEI983027:GEI983049 GOE983027:GOE983049 GYA983027:GYA983049 HHW983027:HHW983049 HRS983027:HRS983049 IBO983027:IBO983049 ILK983027:ILK983049 IVG983027:IVG983049 JFC983027:JFC983049 JOY983027:JOY983049 JYU983027:JYU983049 KIQ983027:KIQ983049 KSM983027:KSM983049 LCI983027:LCI983049 LME983027:LME983049 LWA983027:LWA983049 MFW983027:MFW983049 MPS983027:MPS983049 MZO983027:MZO983049 NJK983027:NJK983049 NTG983027:NTG983049 ODC983027:ODC983049 OMY983027:OMY983049 OWU983027:OWU983049 PGQ983027:PGQ983049 PQM983027:PQM983049 QAI983027:QAI983049 QKE983027:QKE983049 QUA983027:QUA983049 RDW983027:RDW983049 RNS983027:RNS983049 RXO983027:RXO983049 SHK983027:SHK983049 SRG983027:SRG983049 TBC983027:TBC983049 TKY983027:TKY983049 TUU983027:TUU983049 UEQ983027:UEQ983049 UOM983027:UOM983049 UYI983027:UYI983049 VIE983027:VIE983049 VSA983027:VSA983049 WBW983027:WBW983049 WLS983027:WLS983049 WVO983027:WVO983049 P65523:P65545 JL65523:JL65545 TH65523:TH65545 ADD65523:ADD65545 AMZ65523:AMZ65545 AWV65523:AWV65545 BGR65523:BGR65545 BQN65523:BQN65545 CAJ65523:CAJ65545 CKF65523:CKF65545 CUB65523:CUB65545 DDX65523:DDX65545 DNT65523:DNT65545 DXP65523:DXP65545 EHL65523:EHL65545 ERH65523:ERH65545 FBD65523:FBD65545 FKZ65523:FKZ65545 FUV65523:FUV65545 GER65523:GER65545 GON65523:GON65545 GYJ65523:GYJ65545 HIF65523:HIF65545 HSB65523:HSB65545 IBX65523:IBX65545 ILT65523:ILT65545 IVP65523:IVP65545 JFL65523:JFL65545 JPH65523:JPH65545 JZD65523:JZD65545 KIZ65523:KIZ65545 KSV65523:KSV65545 LCR65523:LCR65545 LMN65523:LMN65545 LWJ65523:LWJ65545 MGF65523:MGF65545 MQB65523:MQB65545 MZX65523:MZX65545 NJT65523:NJT65545 NTP65523:NTP65545 ODL65523:ODL65545 ONH65523:ONH65545 OXD65523:OXD65545 PGZ65523:PGZ65545 PQV65523:PQV65545 QAR65523:QAR65545 QKN65523:QKN65545 QUJ65523:QUJ65545 REF65523:REF65545 ROB65523:ROB65545 RXX65523:RXX65545 SHT65523:SHT65545 SRP65523:SRP65545 TBL65523:TBL65545 TLH65523:TLH65545 TVD65523:TVD65545 UEZ65523:UEZ65545 UOV65523:UOV65545 UYR65523:UYR65545 VIN65523:VIN65545 VSJ65523:VSJ65545 WCF65523:WCF65545 WMB65523:WMB65545 WVX65523:WVX65545 P131059:P131081 JL131059:JL131081 TH131059:TH131081 ADD131059:ADD131081 AMZ131059:AMZ131081 AWV131059:AWV131081 BGR131059:BGR131081 BQN131059:BQN131081 CAJ131059:CAJ131081 CKF131059:CKF131081 CUB131059:CUB131081 DDX131059:DDX131081 DNT131059:DNT131081 DXP131059:DXP131081 EHL131059:EHL131081 ERH131059:ERH131081 FBD131059:FBD131081 FKZ131059:FKZ131081 FUV131059:FUV131081 GER131059:GER131081 GON131059:GON131081 GYJ131059:GYJ131081 HIF131059:HIF131081 HSB131059:HSB131081 IBX131059:IBX131081 ILT131059:ILT131081 IVP131059:IVP131081 JFL131059:JFL131081 JPH131059:JPH131081 JZD131059:JZD131081 KIZ131059:KIZ131081 KSV131059:KSV131081 LCR131059:LCR131081 LMN131059:LMN131081 LWJ131059:LWJ131081 MGF131059:MGF131081 MQB131059:MQB131081 MZX131059:MZX131081 NJT131059:NJT131081 NTP131059:NTP131081 ODL131059:ODL131081 ONH131059:ONH131081 OXD131059:OXD131081 PGZ131059:PGZ131081 PQV131059:PQV131081 QAR131059:QAR131081 QKN131059:QKN131081 QUJ131059:QUJ131081 REF131059:REF131081 ROB131059:ROB131081 RXX131059:RXX131081 SHT131059:SHT131081 SRP131059:SRP131081 TBL131059:TBL131081 TLH131059:TLH131081 TVD131059:TVD131081 UEZ131059:UEZ131081 UOV131059:UOV131081 UYR131059:UYR131081 VIN131059:VIN131081 VSJ131059:VSJ131081 WCF131059:WCF131081 WMB131059:WMB131081 WVX131059:WVX131081 P196595:P196617 JL196595:JL196617 TH196595:TH196617 ADD196595:ADD196617 AMZ196595:AMZ196617 AWV196595:AWV196617 BGR196595:BGR196617 BQN196595:BQN196617 CAJ196595:CAJ196617 CKF196595:CKF196617 CUB196595:CUB196617 DDX196595:DDX196617 DNT196595:DNT196617 DXP196595:DXP196617 EHL196595:EHL196617 ERH196595:ERH196617 FBD196595:FBD196617 FKZ196595:FKZ196617 FUV196595:FUV196617 GER196595:GER196617 GON196595:GON196617 GYJ196595:GYJ196617 HIF196595:HIF196617 HSB196595:HSB196617 IBX196595:IBX196617 ILT196595:ILT196617 IVP196595:IVP196617 JFL196595:JFL196617 JPH196595:JPH196617 JZD196595:JZD196617 KIZ196595:KIZ196617 KSV196595:KSV196617 LCR196595:LCR196617 LMN196595:LMN196617 LWJ196595:LWJ196617 MGF196595:MGF196617 MQB196595:MQB196617 MZX196595:MZX196617 NJT196595:NJT196617 NTP196595:NTP196617 ODL196595:ODL196617 ONH196595:ONH196617 OXD196595:OXD196617 PGZ196595:PGZ196617 PQV196595:PQV196617 QAR196595:QAR196617 QKN196595:QKN196617 QUJ196595:QUJ196617 REF196595:REF196617 ROB196595:ROB196617 RXX196595:RXX196617 SHT196595:SHT196617 SRP196595:SRP196617 TBL196595:TBL196617 TLH196595:TLH196617 TVD196595:TVD196617 UEZ196595:UEZ196617 UOV196595:UOV196617 UYR196595:UYR196617 VIN196595:VIN196617 VSJ196595:VSJ196617 WCF196595:WCF196617 WMB196595:WMB196617 WVX196595:WVX196617 P262131:P262153 JL262131:JL262153 TH262131:TH262153 ADD262131:ADD262153 AMZ262131:AMZ262153 AWV262131:AWV262153 BGR262131:BGR262153 BQN262131:BQN262153 CAJ262131:CAJ262153 CKF262131:CKF262153 CUB262131:CUB262153 DDX262131:DDX262153 DNT262131:DNT262153 DXP262131:DXP262153 EHL262131:EHL262153 ERH262131:ERH262153 FBD262131:FBD262153 FKZ262131:FKZ262153 FUV262131:FUV262153 GER262131:GER262153 GON262131:GON262153 GYJ262131:GYJ262153 HIF262131:HIF262153 HSB262131:HSB262153 IBX262131:IBX262153 ILT262131:ILT262153 IVP262131:IVP262153 JFL262131:JFL262153 JPH262131:JPH262153 JZD262131:JZD262153 KIZ262131:KIZ262153 KSV262131:KSV262153 LCR262131:LCR262153 LMN262131:LMN262153 LWJ262131:LWJ262153 MGF262131:MGF262153 MQB262131:MQB262153 MZX262131:MZX262153 NJT262131:NJT262153 NTP262131:NTP262153 ODL262131:ODL262153 ONH262131:ONH262153 OXD262131:OXD262153 PGZ262131:PGZ262153 PQV262131:PQV262153 QAR262131:QAR262153 QKN262131:QKN262153 QUJ262131:QUJ262153 REF262131:REF262153 ROB262131:ROB262153 RXX262131:RXX262153 SHT262131:SHT262153 SRP262131:SRP262153 TBL262131:TBL262153 TLH262131:TLH262153 TVD262131:TVD262153 UEZ262131:UEZ262153 UOV262131:UOV262153 UYR262131:UYR262153 VIN262131:VIN262153 VSJ262131:VSJ262153 WCF262131:WCF262153 WMB262131:WMB262153 WVX262131:WVX262153 P327667:P327689 JL327667:JL327689 TH327667:TH327689 ADD327667:ADD327689 AMZ327667:AMZ327689 AWV327667:AWV327689 BGR327667:BGR327689 BQN327667:BQN327689 CAJ327667:CAJ327689 CKF327667:CKF327689 CUB327667:CUB327689 DDX327667:DDX327689 DNT327667:DNT327689 DXP327667:DXP327689 EHL327667:EHL327689 ERH327667:ERH327689 FBD327667:FBD327689 FKZ327667:FKZ327689 FUV327667:FUV327689 GER327667:GER327689 GON327667:GON327689 GYJ327667:GYJ327689 HIF327667:HIF327689 HSB327667:HSB327689 IBX327667:IBX327689 ILT327667:ILT327689 IVP327667:IVP327689 JFL327667:JFL327689 JPH327667:JPH327689 JZD327667:JZD327689 KIZ327667:KIZ327689 KSV327667:KSV327689 LCR327667:LCR327689 LMN327667:LMN327689 LWJ327667:LWJ327689 MGF327667:MGF327689 MQB327667:MQB327689 MZX327667:MZX327689 NJT327667:NJT327689 NTP327667:NTP327689 ODL327667:ODL327689 ONH327667:ONH327689 OXD327667:OXD327689 PGZ327667:PGZ327689 PQV327667:PQV327689 QAR327667:QAR327689 QKN327667:QKN327689 QUJ327667:QUJ327689 REF327667:REF327689 ROB327667:ROB327689 RXX327667:RXX327689 SHT327667:SHT327689 SRP327667:SRP327689 TBL327667:TBL327689 TLH327667:TLH327689 TVD327667:TVD327689 UEZ327667:UEZ327689 UOV327667:UOV327689 UYR327667:UYR327689 VIN327667:VIN327689 VSJ327667:VSJ327689 WCF327667:WCF327689 WMB327667:WMB327689 WVX327667:WVX327689 P393203:P393225 JL393203:JL393225 TH393203:TH393225 ADD393203:ADD393225 AMZ393203:AMZ393225 AWV393203:AWV393225 BGR393203:BGR393225 BQN393203:BQN393225 CAJ393203:CAJ393225 CKF393203:CKF393225 CUB393203:CUB393225 DDX393203:DDX393225 DNT393203:DNT393225 DXP393203:DXP393225 EHL393203:EHL393225 ERH393203:ERH393225 FBD393203:FBD393225 FKZ393203:FKZ393225 FUV393203:FUV393225 GER393203:GER393225 GON393203:GON393225 GYJ393203:GYJ393225 HIF393203:HIF393225 HSB393203:HSB393225 IBX393203:IBX393225 ILT393203:ILT393225 IVP393203:IVP393225 JFL393203:JFL393225 JPH393203:JPH393225 JZD393203:JZD393225 KIZ393203:KIZ393225 KSV393203:KSV393225 LCR393203:LCR393225 LMN393203:LMN393225 LWJ393203:LWJ393225 MGF393203:MGF393225 MQB393203:MQB393225 MZX393203:MZX393225 NJT393203:NJT393225 NTP393203:NTP393225 ODL393203:ODL393225 ONH393203:ONH393225 OXD393203:OXD393225 PGZ393203:PGZ393225 PQV393203:PQV393225 QAR393203:QAR393225 QKN393203:QKN393225 QUJ393203:QUJ393225 REF393203:REF393225 ROB393203:ROB393225 RXX393203:RXX393225 SHT393203:SHT393225 SRP393203:SRP393225 TBL393203:TBL393225 TLH393203:TLH393225 TVD393203:TVD393225 UEZ393203:UEZ393225 UOV393203:UOV393225 UYR393203:UYR393225 VIN393203:VIN393225 VSJ393203:VSJ393225 WCF393203:WCF393225 WMB393203:WMB393225 WVX393203:WVX393225 P458739:P458761 JL458739:JL458761 TH458739:TH458761 ADD458739:ADD458761 AMZ458739:AMZ458761 AWV458739:AWV458761 BGR458739:BGR458761 BQN458739:BQN458761 CAJ458739:CAJ458761 CKF458739:CKF458761 CUB458739:CUB458761 DDX458739:DDX458761 DNT458739:DNT458761 DXP458739:DXP458761 EHL458739:EHL458761 ERH458739:ERH458761 FBD458739:FBD458761 FKZ458739:FKZ458761 FUV458739:FUV458761 GER458739:GER458761 GON458739:GON458761 GYJ458739:GYJ458761 HIF458739:HIF458761 HSB458739:HSB458761 IBX458739:IBX458761 ILT458739:ILT458761 IVP458739:IVP458761 JFL458739:JFL458761 JPH458739:JPH458761 JZD458739:JZD458761 KIZ458739:KIZ458761 KSV458739:KSV458761 LCR458739:LCR458761 LMN458739:LMN458761 LWJ458739:LWJ458761 MGF458739:MGF458761 MQB458739:MQB458761 MZX458739:MZX458761 NJT458739:NJT458761 NTP458739:NTP458761 ODL458739:ODL458761 ONH458739:ONH458761 OXD458739:OXD458761 PGZ458739:PGZ458761 PQV458739:PQV458761 QAR458739:QAR458761 QKN458739:QKN458761 QUJ458739:QUJ458761 REF458739:REF458761 ROB458739:ROB458761 RXX458739:RXX458761 SHT458739:SHT458761 SRP458739:SRP458761 TBL458739:TBL458761 TLH458739:TLH458761 TVD458739:TVD458761 UEZ458739:UEZ458761 UOV458739:UOV458761 UYR458739:UYR458761 VIN458739:VIN458761 VSJ458739:VSJ458761 WCF458739:WCF458761 WMB458739:WMB458761 WVX458739:WVX458761 P524275:P524297 JL524275:JL524297 TH524275:TH524297 ADD524275:ADD524297 AMZ524275:AMZ524297 AWV524275:AWV524297 BGR524275:BGR524297 BQN524275:BQN524297 CAJ524275:CAJ524297 CKF524275:CKF524297 CUB524275:CUB524297 DDX524275:DDX524297 DNT524275:DNT524297 DXP524275:DXP524297 EHL524275:EHL524297 ERH524275:ERH524297 FBD524275:FBD524297 FKZ524275:FKZ524297 FUV524275:FUV524297 GER524275:GER524297 GON524275:GON524297 GYJ524275:GYJ524297 HIF524275:HIF524297 HSB524275:HSB524297 IBX524275:IBX524297 ILT524275:ILT524297 IVP524275:IVP524297 JFL524275:JFL524297 JPH524275:JPH524297 JZD524275:JZD524297 KIZ524275:KIZ524297 KSV524275:KSV524297 LCR524275:LCR524297 LMN524275:LMN524297 LWJ524275:LWJ524297 MGF524275:MGF524297 MQB524275:MQB524297 MZX524275:MZX524297 NJT524275:NJT524297 NTP524275:NTP524297 ODL524275:ODL524297 ONH524275:ONH524297 OXD524275:OXD524297 PGZ524275:PGZ524297 PQV524275:PQV524297 QAR524275:QAR524297 QKN524275:QKN524297 QUJ524275:QUJ524297 REF524275:REF524297 ROB524275:ROB524297 RXX524275:RXX524297 SHT524275:SHT524297 SRP524275:SRP524297 TBL524275:TBL524297 TLH524275:TLH524297 TVD524275:TVD524297 UEZ524275:UEZ524297 UOV524275:UOV524297 UYR524275:UYR524297 VIN524275:VIN524297 VSJ524275:VSJ524297 WCF524275:WCF524297 WMB524275:WMB524297 WVX524275:WVX524297 P589811:P589833 JL589811:JL589833 TH589811:TH589833 ADD589811:ADD589833 AMZ589811:AMZ589833 AWV589811:AWV589833 BGR589811:BGR589833 BQN589811:BQN589833 CAJ589811:CAJ589833 CKF589811:CKF589833 CUB589811:CUB589833 DDX589811:DDX589833 DNT589811:DNT589833 DXP589811:DXP589833 EHL589811:EHL589833 ERH589811:ERH589833 FBD589811:FBD589833 FKZ589811:FKZ589833 FUV589811:FUV589833 GER589811:GER589833 GON589811:GON589833 GYJ589811:GYJ589833 HIF589811:HIF589833 HSB589811:HSB589833 IBX589811:IBX589833 ILT589811:ILT589833 IVP589811:IVP589833 JFL589811:JFL589833 JPH589811:JPH589833 JZD589811:JZD589833 KIZ589811:KIZ589833 KSV589811:KSV589833 LCR589811:LCR589833 LMN589811:LMN589833 LWJ589811:LWJ589833 MGF589811:MGF589833 MQB589811:MQB589833 MZX589811:MZX589833 NJT589811:NJT589833 NTP589811:NTP589833 ODL589811:ODL589833 ONH589811:ONH589833 OXD589811:OXD589833 PGZ589811:PGZ589833 PQV589811:PQV589833 QAR589811:QAR589833 QKN589811:QKN589833 QUJ589811:QUJ589833 REF589811:REF589833 ROB589811:ROB589833 RXX589811:RXX589833 SHT589811:SHT589833 SRP589811:SRP589833 TBL589811:TBL589833 TLH589811:TLH589833 TVD589811:TVD589833 UEZ589811:UEZ589833 UOV589811:UOV589833 UYR589811:UYR589833 VIN589811:VIN589833 VSJ589811:VSJ589833 WCF589811:WCF589833 WMB589811:WMB589833 WVX589811:WVX589833 P655347:P655369 JL655347:JL655369 TH655347:TH655369 ADD655347:ADD655369 AMZ655347:AMZ655369 AWV655347:AWV655369 BGR655347:BGR655369 BQN655347:BQN655369 CAJ655347:CAJ655369 CKF655347:CKF655369 CUB655347:CUB655369 DDX655347:DDX655369 DNT655347:DNT655369 DXP655347:DXP655369 EHL655347:EHL655369 ERH655347:ERH655369 FBD655347:FBD655369 FKZ655347:FKZ655369 FUV655347:FUV655369 GER655347:GER655369 GON655347:GON655369 GYJ655347:GYJ655369 HIF655347:HIF655369 HSB655347:HSB655369 IBX655347:IBX655369 ILT655347:ILT655369 IVP655347:IVP655369 JFL655347:JFL655369 JPH655347:JPH655369 JZD655347:JZD655369 KIZ655347:KIZ655369 KSV655347:KSV655369 LCR655347:LCR655369 LMN655347:LMN655369 LWJ655347:LWJ655369 MGF655347:MGF655369 MQB655347:MQB655369 MZX655347:MZX655369 NJT655347:NJT655369 NTP655347:NTP655369 ODL655347:ODL655369 ONH655347:ONH655369 OXD655347:OXD655369 PGZ655347:PGZ655369 PQV655347:PQV655369 QAR655347:QAR655369 QKN655347:QKN655369 QUJ655347:QUJ655369 REF655347:REF655369 ROB655347:ROB655369 RXX655347:RXX655369 SHT655347:SHT655369 SRP655347:SRP655369 TBL655347:TBL655369 TLH655347:TLH655369 TVD655347:TVD655369 UEZ655347:UEZ655369 UOV655347:UOV655369 UYR655347:UYR655369 VIN655347:VIN655369 VSJ655347:VSJ655369 WCF655347:WCF655369 WMB655347:WMB655369 WVX655347:WVX655369 P720883:P720905 JL720883:JL720905 TH720883:TH720905 ADD720883:ADD720905 AMZ720883:AMZ720905 AWV720883:AWV720905 BGR720883:BGR720905 BQN720883:BQN720905 CAJ720883:CAJ720905 CKF720883:CKF720905 CUB720883:CUB720905 DDX720883:DDX720905 DNT720883:DNT720905 DXP720883:DXP720905 EHL720883:EHL720905 ERH720883:ERH720905 FBD720883:FBD720905 FKZ720883:FKZ720905 FUV720883:FUV720905 GER720883:GER720905 GON720883:GON720905 GYJ720883:GYJ720905 HIF720883:HIF720905 HSB720883:HSB720905 IBX720883:IBX720905 ILT720883:ILT720905 IVP720883:IVP720905 JFL720883:JFL720905 JPH720883:JPH720905 JZD720883:JZD720905 KIZ720883:KIZ720905 KSV720883:KSV720905 LCR720883:LCR720905 LMN720883:LMN720905 LWJ720883:LWJ720905 MGF720883:MGF720905 MQB720883:MQB720905 MZX720883:MZX720905 NJT720883:NJT720905 NTP720883:NTP720905 ODL720883:ODL720905 ONH720883:ONH720905 OXD720883:OXD720905 PGZ720883:PGZ720905 PQV720883:PQV720905 QAR720883:QAR720905 QKN720883:QKN720905 QUJ720883:QUJ720905 REF720883:REF720905 ROB720883:ROB720905 RXX720883:RXX720905 SHT720883:SHT720905 SRP720883:SRP720905 TBL720883:TBL720905 TLH720883:TLH720905 TVD720883:TVD720905 UEZ720883:UEZ720905 UOV720883:UOV720905 UYR720883:UYR720905 VIN720883:VIN720905 VSJ720883:VSJ720905 WCF720883:WCF720905 WMB720883:WMB720905 WVX720883:WVX720905 P786419:P786441 JL786419:JL786441 TH786419:TH786441 ADD786419:ADD786441 AMZ786419:AMZ786441 AWV786419:AWV786441 BGR786419:BGR786441 BQN786419:BQN786441 CAJ786419:CAJ786441 CKF786419:CKF786441 CUB786419:CUB786441 DDX786419:DDX786441 DNT786419:DNT786441 DXP786419:DXP786441 EHL786419:EHL786441 ERH786419:ERH786441 FBD786419:FBD786441 FKZ786419:FKZ786441 FUV786419:FUV786441 GER786419:GER786441 GON786419:GON786441 GYJ786419:GYJ786441 HIF786419:HIF786441 HSB786419:HSB786441 IBX786419:IBX786441 ILT786419:ILT786441 IVP786419:IVP786441 JFL786419:JFL786441 JPH786419:JPH786441 JZD786419:JZD786441 KIZ786419:KIZ786441 KSV786419:KSV786441 LCR786419:LCR786441 LMN786419:LMN786441 LWJ786419:LWJ786441 MGF786419:MGF786441 MQB786419:MQB786441 MZX786419:MZX786441 NJT786419:NJT786441 NTP786419:NTP786441 ODL786419:ODL786441 ONH786419:ONH786441 OXD786419:OXD786441 PGZ786419:PGZ786441 PQV786419:PQV786441 QAR786419:QAR786441 QKN786419:QKN786441 QUJ786419:QUJ786441 REF786419:REF786441 ROB786419:ROB786441 RXX786419:RXX786441 SHT786419:SHT786441 SRP786419:SRP786441 TBL786419:TBL786441 TLH786419:TLH786441 TVD786419:TVD786441 UEZ786419:UEZ786441 UOV786419:UOV786441 UYR786419:UYR786441 VIN786419:VIN786441 VSJ786419:VSJ786441 WCF786419:WCF786441 WMB786419:WMB786441 WVX786419:WVX786441 P851955:P851977 JL851955:JL851977 TH851955:TH851977 ADD851955:ADD851977 AMZ851955:AMZ851977 AWV851955:AWV851977 BGR851955:BGR851977 BQN851955:BQN851977 CAJ851955:CAJ851977 CKF851955:CKF851977 CUB851955:CUB851977 DDX851955:DDX851977 DNT851955:DNT851977 DXP851955:DXP851977 EHL851955:EHL851977 ERH851955:ERH851977 FBD851955:FBD851977 FKZ851955:FKZ851977 FUV851955:FUV851977 GER851955:GER851977 GON851955:GON851977 GYJ851955:GYJ851977 HIF851955:HIF851977 HSB851955:HSB851977 IBX851955:IBX851977 ILT851955:ILT851977 IVP851955:IVP851977 JFL851955:JFL851977 JPH851955:JPH851977 JZD851955:JZD851977 KIZ851955:KIZ851977 KSV851955:KSV851977 LCR851955:LCR851977 LMN851955:LMN851977 LWJ851955:LWJ851977 MGF851955:MGF851977 MQB851955:MQB851977 MZX851955:MZX851977 NJT851955:NJT851977 NTP851955:NTP851977 ODL851955:ODL851977 ONH851955:ONH851977 OXD851955:OXD851977 PGZ851955:PGZ851977 PQV851955:PQV851977 QAR851955:QAR851977 QKN851955:QKN851977 QUJ851955:QUJ851977 REF851955:REF851977 ROB851955:ROB851977 RXX851955:RXX851977 SHT851955:SHT851977 SRP851955:SRP851977 TBL851955:TBL851977 TLH851955:TLH851977 TVD851955:TVD851977 UEZ851955:UEZ851977 UOV851955:UOV851977 UYR851955:UYR851977 VIN851955:VIN851977 VSJ851955:VSJ851977 WCF851955:WCF851977 WMB851955:WMB851977 WVX851955:WVX851977 P917491:P917513 JL917491:JL917513 TH917491:TH917513 ADD917491:ADD917513 AMZ917491:AMZ917513 AWV917491:AWV917513 BGR917491:BGR917513 BQN917491:BQN917513 CAJ917491:CAJ917513 CKF917491:CKF917513 CUB917491:CUB917513 DDX917491:DDX917513 DNT917491:DNT917513 DXP917491:DXP917513 EHL917491:EHL917513 ERH917491:ERH917513 FBD917491:FBD917513 FKZ917491:FKZ917513 FUV917491:FUV917513 GER917491:GER917513 GON917491:GON917513 GYJ917491:GYJ917513 HIF917491:HIF917513 HSB917491:HSB917513 IBX917491:IBX917513 ILT917491:ILT917513 IVP917491:IVP917513 JFL917491:JFL917513 JPH917491:JPH917513 JZD917491:JZD917513 KIZ917491:KIZ917513 KSV917491:KSV917513 LCR917491:LCR917513 LMN917491:LMN917513 LWJ917491:LWJ917513 MGF917491:MGF917513 MQB917491:MQB917513 MZX917491:MZX917513 NJT917491:NJT917513 NTP917491:NTP917513 ODL917491:ODL917513 ONH917491:ONH917513 OXD917491:OXD917513 PGZ917491:PGZ917513 PQV917491:PQV917513 QAR917491:QAR917513 QKN917491:QKN917513 QUJ917491:QUJ917513 REF917491:REF917513 ROB917491:ROB917513 RXX917491:RXX917513 SHT917491:SHT917513 SRP917491:SRP917513 TBL917491:TBL917513 TLH917491:TLH917513 TVD917491:TVD917513 UEZ917491:UEZ917513 UOV917491:UOV917513 UYR917491:UYR917513 VIN917491:VIN917513 VSJ917491:VSJ917513 WCF917491:WCF917513 WMB917491:WMB917513 WVX917491:WVX917513 P983027:P983049 JL983027:JL983049 TH983027:TH983049 ADD983027:ADD983049 AMZ983027:AMZ983049 AWV983027:AWV983049 BGR983027:BGR983049 BQN983027:BQN983049 CAJ983027:CAJ983049 CKF983027:CKF983049 CUB983027:CUB983049 DDX983027:DDX983049 DNT983027:DNT983049 DXP983027:DXP983049 EHL983027:EHL983049 ERH983027:ERH983049 FBD983027:FBD983049 FKZ983027:FKZ983049 FUV983027:FUV983049 GER983027:GER983049 GON983027:GON983049 GYJ983027:GYJ983049 HIF983027:HIF983049 HSB983027:HSB983049 IBX983027:IBX983049 ILT983027:ILT983049 IVP983027:IVP983049 JFL983027:JFL983049 JPH983027:JPH983049 JZD983027:JZD983049 KIZ983027:KIZ983049 KSV983027:KSV983049 LCR983027:LCR983049 LMN983027:LMN983049 LWJ983027:LWJ983049 MGF983027:MGF983049 MQB983027:MQB983049 MZX983027:MZX983049 NJT983027:NJT983049 NTP983027:NTP983049 ODL983027:ODL983049 ONH983027:ONH983049 OXD983027:OXD983049 PGZ983027:PGZ983049 PQV983027:PQV983049 QAR983027:QAR983049 QKN983027:QKN983049 QUJ983027:QUJ983049 REF983027:REF983049 ROB983027:ROB983049 RXX983027:RXX983049 SHT983027:SHT983049 SRP983027:SRP983049 TBL983027:TBL983049 TLH983027:TLH983049 TVD983027:TVD983049 UEZ983027:UEZ983049 UOV983027:UOV983049 UYR983027:UYR983049 VIN983027:VIN983049 VSJ983027:VSJ983049 WCF983027:WCF983049 WMB983027:WMB983049 WVX983027:WVX983049 K65523:M65545 JG65523:JI65545 TC65523:TE65545 ACY65523:ADA65545 AMU65523:AMW65545 AWQ65523:AWS65545 BGM65523:BGO65545 BQI65523:BQK65545 CAE65523:CAG65545 CKA65523:CKC65545 CTW65523:CTY65545 DDS65523:DDU65545 DNO65523:DNQ65545 DXK65523:DXM65545 EHG65523:EHI65545 ERC65523:ERE65545 FAY65523:FBA65545 FKU65523:FKW65545 FUQ65523:FUS65545 GEM65523:GEO65545 GOI65523:GOK65545 GYE65523:GYG65545 HIA65523:HIC65545 HRW65523:HRY65545 IBS65523:IBU65545 ILO65523:ILQ65545 IVK65523:IVM65545 JFG65523:JFI65545 JPC65523:JPE65545 JYY65523:JZA65545 KIU65523:KIW65545 KSQ65523:KSS65545 LCM65523:LCO65545 LMI65523:LMK65545 LWE65523:LWG65545 MGA65523:MGC65545 MPW65523:MPY65545 MZS65523:MZU65545 NJO65523:NJQ65545 NTK65523:NTM65545 ODG65523:ODI65545 ONC65523:ONE65545 OWY65523:OXA65545 PGU65523:PGW65545 PQQ65523:PQS65545 QAM65523:QAO65545 QKI65523:QKK65545 QUE65523:QUG65545 REA65523:REC65545 RNW65523:RNY65545 RXS65523:RXU65545 SHO65523:SHQ65545 SRK65523:SRM65545 TBG65523:TBI65545 TLC65523:TLE65545 TUY65523:TVA65545 UEU65523:UEW65545 UOQ65523:UOS65545 UYM65523:UYO65545 VII65523:VIK65545 VSE65523:VSG65545 WCA65523:WCC65545 WLW65523:WLY65545 WVS65523:WVU65545 K131059:M131081 JG131059:JI131081 TC131059:TE131081 ACY131059:ADA131081 AMU131059:AMW131081 AWQ131059:AWS131081 BGM131059:BGO131081 BQI131059:BQK131081 CAE131059:CAG131081 CKA131059:CKC131081 CTW131059:CTY131081 DDS131059:DDU131081 DNO131059:DNQ131081 DXK131059:DXM131081 EHG131059:EHI131081 ERC131059:ERE131081 FAY131059:FBA131081 FKU131059:FKW131081 FUQ131059:FUS131081 GEM131059:GEO131081 GOI131059:GOK131081 GYE131059:GYG131081 HIA131059:HIC131081 HRW131059:HRY131081 IBS131059:IBU131081 ILO131059:ILQ131081 IVK131059:IVM131081 JFG131059:JFI131081 JPC131059:JPE131081 JYY131059:JZA131081 KIU131059:KIW131081 KSQ131059:KSS131081 LCM131059:LCO131081 LMI131059:LMK131081 LWE131059:LWG131081 MGA131059:MGC131081 MPW131059:MPY131081 MZS131059:MZU131081 NJO131059:NJQ131081 NTK131059:NTM131081 ODG131059:ODI131081 ONC131059:ONE131081 OWY131059:OXA131081 PGU131059:PGW131081 PQQ131059:PQS131081 QAM131059:QAO131081 QKI131059:QKK131081 QUE131059:QUG131081 REA131059:REC131081 RNW131059:RNY131081 RXS131059:RXU131081 SHO131059:SHQ131081 SRK131059:SRM131081 TBG131059:TBI131081 TLC131059:TLE131081 TUY131059:TVA131081 UEU131059:UEW131081 UOQ131059:UOS131081 UYM131059:UYO131081 VII131059:VIK131081 VSE131059:VSG131081 WCA131059:WCC131081 WLW131059:WLY131081 WVS131059:WVU131081 K196595:M196617 JG196595:JI196617 TC196595:TE196617 ACY196595:ADA196617 AMU196595:AMW196617 AWQ196595:AWS196617 BGM196595:BGO196617 BQI196595:BQK196617 CAE196595:CAG196617 CKA196595:CKC196617 CTW196595:CTY196617 DDS196595:DDU196617 DNO196595:DNQ196617 DXK196595:DXM196617 EHG196595:EHI196617 ERC196595:ERE196617 FAY196595:FBA196617 FKU196595:FKW196617 FUQ196595:FUS196617 GEM196595:GEO196617 GOI196595:GOK196617 GYE196595:GYG196617 HIA196595:HIC196617 HRW196595:HRY196617 IBS196595:IBU196617 ILO196595:ILQ196617 IVK196595:IVM196617 JFG196595:JFI196617 JPC196595:JPE196617 JYY196595:JZA196617 KIU196595:KIW196617 KSQ196595:KSS196617 LCM196595:LCO196617 LMI196595:LMK196617 LWE196595:LWG196617 MGA196595:MGC196617 MPW196595:MPY196617 MZS196595:MZU196617 NJO196595:NJQ196617 NTK196595:NTM196617 ODG196595:ODI196617 ONC196595:ONE196617 OWY196595:OXA196617 PGU196595:PGW196617 PQQ196595:PQS196617 QAM196595:QAO196617 QKI196595:QKK196617 QUE196595:QUG196617 REA196595:REC196617 RNW196595:RNY196617 RXS196595:RXU196617 SHO196595:SHQ196617 SRK196595:SRM196617 TBG196595:TBI196617 TLC196595:TLE196617 TUY196595:TVA196617 UEU196595:UEW196617 UOQ196595:UOS196617 UYM196595:UYO196617 VII196595:VIK196617 VSE196595:VSG196617 WCA196595:WCC196617 WLW196595:WLY196617 WVS196595:WVU196617 K262131:M262153 JG262131:JI262153 TC262131:TE262153 ACY262131:ADA262153 AMU262131:AMW262153 AWQ262131:AWS262153 BGM262131:BGO262153 BQI262131:BQK262153 CAE262131:CAG262153 CKA262131:CKC262153 CTW262131:CTY262153 DDS262131:DDU262153 DNO262131:DNQ262153 DXK262131:DXM262153 EHG262131:EHI262153 ERC262131:ERE262153 FAY262131:FBA262153 FKU262131:FKW262153 FUQ262131:FUS262153 GEM262131:GEO262153 GOI262131:GOK262153 GYE262131:GYG262153 HIA262131:HIC262153 HRW262131:HRY262153 IBS262131:IBU262153 ILO262131:ILQ262153 IVK262131:IVM262153 JFG262131:JFI262153 JPC262131:JPE262153 JYY262131:JZA262153 KIU262131:KIW262153 KSQ262131:KSS262153 LCM262131:LCO262153 LMI262131:LMK262153 LWE262131:LWG262153 MGA262131:MGC262153 MPW262131:MPY262153 MZS262131:MZU262153 NJO262131:NJQ262153 NTK262131:NTM262153 ODG262131:ODI262153 ONC262131:ONE262153 OWY262131:OXA262153 PGU262131:PGW262153 PQQ262131:PQS262153 QAM262131:QAO262153 QKI262131:QKK262153 QUE262131:QUG262153 REA262131:REC262153 RNW262131:RNY262153 RXS262131:RXU262153 SHO262131:SHQ262153 SRK262131:SRM262153 TBG262131:TBI262153 TLC262131:TLE262153 TUY262131:TVA262153 UEU262131:UEW262153 UOQ262131:UOS262153 UYM262131:UYO262153 VII262131:VIK262153 VSE262131:VSG262153 WCA262131:WCC262153 WLW262131:WLY262153 WVS262131:WVU262153 K327667:M327689 JG327667:JI327689 TC327667:TE327689 ACY327667:ADA327689 AMU327667:AMW327689 AWQ327667:AWS327689 BGM327667:BGO327689 BQI327667:BQK327689 CAE327667:CAG327689 CKA327667:CKC327689 CTW327667:CTY327689 DDS327667:DDU327689 DNO327667:DNQ327689 DXK327667:DXM327689 EHG327667:EHI327689 ERC327667:ERE327689 FAY327667:FBA327689 FKU327667:FKW327689 FUQ327667:FUS327689 GEM327667:GEO327689 GOI327667:GOK327689 GYE327667:GYG327689 HIA327667:HIC327689 HRW327667:HRY327689 IBS327667:IBU327689 ILO327667:ILQ327689 IVK327667:IVM327689 JFG327667:JFI327689 JPC327667:JPE327689 JYY327667:JZA327689 KIU327667:KIW327689 KSQ327667:KSS327689 LCM327667:LCO327689 LMI327667:LMK327689 LWE327667:LWG327689 MGA327667:MGC327689 MPW327667:MPY327689 MZS327667:MZU327689 NJO327667:NJQ327689 NTK327667:NTM327689 ODG327667:ODI327689 ONC327667:ONE327689 OWY327667:OXA327689 PGU327667:PGW327689 PQQ327667:PQS327689 QAM327667:QAO327689 QKI327667:QKK327689 QUE327667:QUG327689 REA327667:REC327689 RNW327667:RNY327689 RXS327667:RXU327689 SHO327667:SHQ327689 SRK327667:SRM327689 TBG327667:TBI327689 TLC327667:TLE327689 TUY327667:TVA327689 UEU327667:UEW327689 UOQ327667:UOS327689 UYM327667:UYO327689 VII327667:VIK327689 VSE327667:VSG327689 WCA327667:WCC327689 WLW327667:WLY327689 WVS327667:WVU327689 K393203:M393225 JG393203:JI393225 TC393203:TE393225 ACY393203:ADA393225 AMU393203:AMW393225 AWQ393203:AWS393225 BGM393203:BGO393225 BQI393203:BQK393225 CAE393203:CAG393225 CKA393203:CKC393225 CTW393203:CTY393225 DDS393203:DDU393225 DNO393203:DNQ393225 DXK393203:DXM393225 EHG393203:EHI393225 ERC393203:ERE393225 FAY393203:FBA393225 FKU393203:FKW393225 FUQ393203:FUS393225 GEM393203:GEO393225 GOI393203:GOK393225 GYE393203:GYG393225 HIA393203:HIC393225 HRW393203:HRY393225 IBS393203:IBU393225 ILO393203:ILQ393225 IVK393203:IVM393225 JFG393203:JFI393225 JPC393203:JPE393225 JYY393203:JZA393225 KIU393203:KIW393225 KSQ393203:KSS393225 LCM393203:LCO393225 LMI393203:LMK393225 LWE393203:LWG393225 MGA393203:MGC393225 MPW393203:MPY393225 MZS393203:MZU393225 NJO393203:NJQ393225 NTK393203:NTM393225 ODG393203:ODI393225 ONC393203:ONE393225 OWY393203:OXA393225 PGU393203:PGW393225 PQQ393203:PQS393225 QAM393203:QAO393225 QKI393203:QKK393225 QUE393203:QUG393225 REA393203:REC393225 RNW393203:RNY393225 RXS393203:RXU393225 SHO393203:SHQ393225 SRK393203:SRM393225 TBG393203:TBI393225 TLC393203:TLE393225 TUY393203:TVA393225 UEU393203:UEW393225 UOQ393203:UOS393225 UYM393203:UYO393225 VII393203:VIK393225 VSE393203:VSG393225 WCA393203:WCC393225 WLW393203:WLY393225 WVS393203:WVU393225 K458739:M458761 JG458739:JI458761 TC458739:TE458761 ACY458739:ADA458761 AMU458739:AMW458761 AWQ458739:AWS458761 BGM458739:BGO458761 BQI458739:BQK458761 CAE458739:CAG458761 CKA458739:CKC458761 CTW458739:CTY458761 DDS458739:DDU458761 DNO458739:DNQ458761 DXK458739:DXM458761 EHG458739:EHI458761 ERC458739:ERE458761 FAY458739:FBA458761 FKU458739:FKW458761 FUQ458739:FUS458761 GEM458739:GEO458761 GOI458739:GOK458761 GYE458739:GYG458761 HIA458739:HIC458761 HRW458739:HRY458761 IBS458739:IBU458761 ILO458739:ILQ458761 IVK458739:IVM458761 JFG458739:JFI458761 JPC458739:JPE458761 JYY458739:JZA458761 KIU458739:KIW458761 KSQ458739:KSS458761 LCM458739:LCO458761 LMI458739:LMK458761 LWE458739:LWG458761 MGA458739:MGC458761 MPW458739:MPY458761 MZS458739:MZU458761 NJO458739:NJQ458761 NTK458739:NTM458761 ODG458739:ODI458761 ONC458739:ONE458761 OWY458739:OXA458761 PGU458739:PGW458761 PQQ458739:PQS458761 QAM458739:QAO458761 QKI458739:QKK458761 QUE458739:QUG458761 REA458739:REC458761 RNW458739:RNY458761 RXS458739:RXU458761 SHO458739:SHQ458761 SRK458739:SRM458761 TBG458739:TBI458761 TLC458739:TLE458761 TUY458739:TVA458761 UEU458739:UEW458761 UOQ458739:UOS458761 UYM458739:UYO458761 VII458739:VIK458761 VSE458739:VSG458761 WCA458739:WCC458761 WLW458739:WLY458761 WVS458739:WVU458761 K524275:M524297 JG524275:JI524297 TC524275:TE524297 ACY524275:ADA524297 AMU524275:AMW524297 AWQ524275:AWS524297 BGM524275:BGO524297 BQI524275:BQK524297 CAE524275:CAG524297 CKA524275:CKC524297 CTW524275:CTY524297 DDS524275:DDU524297 DNO524275:DNQ524297 DXK524275:DXM524297 EHG524275:EHI524297 ERC524275:ERE524297 FAY524275:FBA524297 FKU524275:FKW524297 FUQ524275:FUS524297 GEM524275:GEO524297 GOI524275:GOK524297 GYE524275:GYG524297 HIA524275:HIC524297 HRW524275:HRY524297 IBS524275:IBU524297 ILO524275:ILQ524297 IVK524275:IVM524297 JFG524275:JFI524297 JPC524275:JPE524297 JYY524275:JZA524297 KIU524275:KIW524297 KSQ524275:KSS524297 LCM524275:LCO524297 LMI524275:LMK524297 LWE524275:LWG524297 MGA524275:MGC524297 MPW524275:MPY524297 MZS524275:MZU524297 NJO524275:NJQ524297 NTK524275:NTM524297 ODG524275:ODI524297 ONC524275:ONE524297 OWY524275:OXA524297 PGU524275:PGW524297 PQQ524275:PQS524297 QAM524275:QAO524297 QKI524275:QKK524297 QUE524275:QUG524297 REA524275:REC524297 RNW524275:RNY524297 RXS524275:RXU524297 SHO524275:SHQ524297 SRK524275:SRM524297 TBG524275:TBI524297 TLC524275:TLE524297 TUY524275:TVA524297 UEU524275:UEW524297 UOQ524275:UOS524297 UYM524275:UYO524297 VII524275:VIK524297 VSE524275:VSG524297 WCA524275:WCC524297 WLW524275:WLY524297 WVS524275:WVU524297 K589811:M589833 JG589811:JI589833 TC589811:TE589833 ACY589811:ADA589833 AMU589811:AMW589833 AWQ589811:AWS589833 BGM589811:BGO589833 BQI589811:BQK589833 CAE589811:CAG589833 CKA589811:CKC589833 CTW589811:CTY589833 DDS589811:DDU589833 DNO589811:DNQ589833 DXK589811:DXM589833 EHG589811:EHI589833 ERC589811:ERE589833 FAY589811:FBA589833 FKU589811:FKW589833 FUQ589811:FUS589833 GEM589811:GEO589833 GOI589811:GOK589833 GYE589811:GYG589833 HIA589811:HIC589833 HRW589811:HRY589833 IBS589811:IBU589833 ILO589811:ILQ589833 IVK589811:IVM589833 JFG589811:JFI589833 JPC589811:JPE589833 JYY589811:JZA589833 KIU589811:KIW589833 KSQ589811:KSS589833 LCM589811:LCO589833 LMI589811:LMK589833 LWE589811:LWG589833 MGA589811:MGC589833 MPW589811:MPY589833 MZS589811:MZU589833 NJO589811:NJQ589833 NTK589811:NTM589833 ODG589811:ODI589833 ONC589811:ONE589833 OWY589811:OXA589833 PGU589811:PGW589833 PQQ589811:PQS589833 QAM589811:QAO589833 QKI589811:QKK589833 QUE589811:QUG589833 REA589811:REC589833 RNW589811:RNY589833 RXS589811:RXU589833 SHO589811:SHQ589833 SRK589811:SRM589833 TBG589811:TBI589833 TLC589811:TLE589833 TUY589811:TVA589833 UEU589811:UEW589833 UOQ589811:UOS589833 UYM589811:UYO589833 VII589811:VIK589833 VSE589811:VSG589833 WCA589811:WCC589833 WLW589811:WLY589833 WVS589811:WVU589833 K655347:M655369 JG655347:JI655369 TC655347:TE655369 ACY655347:ADA655369 AMU655347:AMW655369 AWQ655347:AWS655369 BGM655347:BGO655369 BQI655347:BQK655369 CAE655347:CAG655369 CKA655347:CKC655369 CTW655347:CTY655369 DDS655347:DDU655369 DNO655347:DNQ655369 DXK655347:DXM655369 EHG655347:EHI655369 ERC655347:ERE655369 FAY655347:FBA655369 FKU655347:FKW655369 FUQ655347:FUS655369 GEM655347:GEO655369 GOI655347:GOK655369 GYE655347:GYG655369 HIA655347:HIC655369 HRW655347:HRY655369 IBS655347:IBU655369 ILO655347:ILQ655369 IVK655347:IVM655369 JFG655347:JFI655369 JPC655347:JPE655369 JYY655347:JZA655369 KIU655347:KIW655369 KSQ655347:KSS655369 LCM655347:LCO655369 LMI655347:LMK655369 LWE655347:LWG655369 MGA655347:MGC655369 MPW655347:MPY655369 MZS655347:MZU655369 NJO655347:NJQ655369 NTK655347:NTM655369 ODG655347:ODI655369 ONC655347:ONE655369 OWY655347:OXA655369 PGU655347:PGW655369 PQQ655347:PQS655369 QAM655347:QAO655369 QKI655347:QKK655369 QUE655347:QUG655369 REA655347:REC655369 RNW655347:RNY655369 RXS655347:RXU655369 SHO655347:SHQ655369 SRK655347:SRM655369 TBG655347:TBI655369 TLC655347:TLE655369 TUY655347:TVA655369 UEU655347:UEW655369 UOQ655347:UOS655369 UYM655347:UYO655369 VII655347:VIK655369 VSE655347:VSG655369 WCA655347:WCC655369 WLW655347:WLY655369 WVS655347:WVU655369 K720883:M720905 JG720883:JI720905 TC720883:TE720905 ACY720883:ADA720905 AMU720883:AMW720905 AWQ720883:AWS720905 BGM720883:BGO720905 BQI720883:BQK720905 CAE720883:CAG720905 CKA720883:CKC720905 CTW720883:CTY720905 DDS720883:DDU720905 DNO720883:DNQ720905 DXK720883:DXM720905 EHG720883:EHI720905 ERC720883:ERE720905 FAY720883:FBA720905 FKU720883:FKW720905 FUQ720883:FUS720905 GEM720883:GEO720905 GOI720883:GOK720905 GYE720883:GYG720905 HIA720883:HIC720905 HRW720883:HRY720905 IBS720883:IBU720905 ILO720883:ILQ720905 IVK720883:IVM720905 JFG720883:JFI720905 JPC720883:JPE720905 JYY720883:JZA720905 KIU720883:KIW720905 KSQ720883:KSS720905 LCM720883:LCO720905 LMI720883:LMK720905 LWE720883:LWG720905 MGA720883:MGC720905 MPW720883:MPY720905 MZS720883:MZU720905 NJO720883:NJQ720905 NTK720883:NTM720905 ODG720883:ODI720905 ONC720883:ONE720905 OWY720883:OXA720905 PGU720883:PGW720905 PQQ720883:PQS720905 QAM720883:QAO720905 QKI720883:QKK720905 QUE720883:QUG720905 REA720883:REC720905 RNW720883:RNY720905 RXS720883:RXU720905 SHO720883:SHQ720905 SRK720883:SRM720905 TBG720883:TBI720905 TLC720883:TLE720905 TUY720883:TVA720905 UEU720883:UEW720905 UOQ720883:UOS720905 UYM720883:UYO720905 VII720883:VIK720905 VSE720883:VSG720905 WCA720883:WCC720905 WLW720883:WLY720905 WVS720883:WVU720905 K786419:M786441 JG786419:JI786441 TC786419:TE786441 ACY786419:ADA786441 AMU786419:AMW786441 AWQ786419:AWS786441 BGM786419:BGO786441 BQI786419:BQK786441 CAE786419:CAG786441 CKA786419:CKC786441 CTW786419:CTY786441 DDS786419:DDU786441 DNO786419:DNQ786441 DXK786419:DXM786441 EHG786419:EHI786441 ERC786419:ERE786441 FAY786419:FBA786441 FKU786419:FKW786441 FUQ786419:FUS786441 GEM786419:GEO786441 GOI786419:GOK786441 GYE786419:GYG786441 HIA786419:HIC786441 HRW786419:HRY786441 IBS786419:IBU786441 ILO786419:ILQ786441 IVK786419:IVM786441 JFG786419:JFI786441 JPC786419:JPE786441 JYY786419:JZA786441 KIU786419:KIW786441 KSQ786419:KSS786441 LCM786419:LCO786441 LMI786419:LMK786441 LWE786419:LWG786441 MGA786419:MGC786441 MPW786419:MPY786441 MZS786419:MZU786441 NJO786419:NJQ786441 NTK786419:NTM786441 ODG786419:ODI786441 ONC786419:ONE786441 OWY786419:OXA786441 PGU786419:PGW786441 PQQ786419:PQS786441 QAM786419:QAO786441 QKI786419:QKK786441 QUE786419:QUG786441 REA786419:REC786441 RNW786419:RNY786441 RXS786419:RXU786441 SHO786419:SHQ786441 SRK786419:SRM786441 TBG786419:TBI786441 TLC786419:TLE786441 TUY786419:TVA786441 UEU786419:UEW786441 UOQ786419:UOS786441 UYM786419:UYO786441 VII786419:VIK786441 VSE786419:VSG786441 WCA786419:WCC786441 WLW786419:WLY786441 WVS786419:WVU786441 K851955:M851977 JG851955:JI851977 TC851955:TE851977 ACY851955:ADA851977 AMU851955:AMW851977 AWQ851955:AWS851977 BGM851955:BGO851977 BQI851955:BQK851977 CAE851955:CAG851977 CKA851955:CKC851977 CTW851955:CTY851977 DDS851955:DDU851977 DNO851955:DNQ851977 DXK851955:DXM851977 EHG851955:EHI851977 ERC851955:ERE851977 FAY851955:FBA851977 FKU851955:FKW851977 FUQ851955:FUS851977 GEM851955:GEO851977 GOI851955:GOK851977 GYE851955:GYG851977 HIA851955:HIC851977 HRW851955:HRY851977 IBS851955:IBU851977 ILO851955:ILQ851977 IVK851955:IVM851977 JFG851955:JFI851977 JPC851955:JPE851977 JYY851955:JZA851977 KIU851955:KIW851977 KSQ851955:KSS851977 LCM851955:LCO851977 LMI851955:LMK851977 LWE851955:LWG851977 MGA851955:MGC851977 MPW851955:MPY851977 MZS851955:MZU851977 NJO851955:NJQ851977 NTK851955:NTM851977 ODG851955:ODI851977 ONC851955:ONE851977 OWY851955:OXA851977 PGU851955:PGW851977 PQQ851955:PQS851977 QAM851955:QAO851977 QKI851955:QKK851977 QUE851955:QUG851977 REA851955:REC851977 RNW851955:RNY851977 RXS851955:RXU851977 SHO851955:SHQ851977 SRK851955:SRM851977 TBG851955:TBI851977 TLC851955:TLE851977 TUY851955:TVA851977 UEU851955:UEW851977 UOQ851955:UOS851977 UYM851955:UYO851977 VII851955:VIK851977 VSE851955:VSG851977 WCA851955:WCC851977 WLW851955:WLY851977 WVS851955:WVU851977 K917491:M917513 JG917491:JI917513 TC917491:TE917513 ACY917491:ADA917513 AMU917491:AMW917513 AWQ917491:AWS917513 BGM917491:BGO917513 BQI917491:BQK917513 CAE917491:CAG917513 CKA917491:CKC917513 CTW917491:CTY917513 DDS917491:DDU917513 DNO917491:DNQ917513 DXK917491:DXM917513 EHG917491:EHI917513 ERC917491:ERE917513 FAY917491:FBA917513 FKU917491:FKW917513 FUQ917491:FUS917513 GEM917491:GEO917513 GOI917491:GOK917513 GYE917491:GYG917513 HIA917491:HIC917513 HRW917491:HRY917513 IBS917491:IBU917513 ILO917491:ILQ917513 IVK917491:IVM917513 JFG917491:JFI917513 JPC917491:JPE917513 JYY917491:JZA917513 KIU917491:KIW917513 KSQ917491:KSS917513 LCM917491:LCO917513 LMI917491:LMK917513 LWE917491:LWG917513 MGA917491:MGC917513 MPW917491:MPY917513 MZS917491:MZU917513 NJO917491:NJQ917513 NTK917491:NTM917513 ODG917491:ODI917513 ONC917491:ONE917513 OWY917491:OXA917513 PGU917491:PGW917513 PQQ917491:PQS917513 QAM917491:QAO917513 QKI917491:QKK917513 QUE917491:QUG917513 REA917491:REC917513 RNW917491:RNY917513 RXS917491:RXU917513 SHO917491:SHQ917513 SRK917491:SRM917513 TBG917491:TBI917513 TLC917491:TLE917513 TUY917491:TVA917513 UEU917491:UEW917513 UOQ917491:UOS917513 UYM917491:UYO917513 VII917491:VIK917513 VSE917491:VSG917513 WCA917491:WCC917513 WLW917491:WLY917513 WVS917491:WVU917513 K983027:M983049 JG983027:JI983049 TC983027:TE983049 ACY983027:ADA983049 AMU983027:AMW983049 AWQ983027:AWS983049 BGM983027:BGO983049 BQI983027:BQK983049 CAE983027:CAG983049 CKA983027:CKC983049 CTW983027:CTY983049 DDS983027:DDU983049 DNO983027:DNQ983049 DXK983027:DXM983049 EHG983027:EHI983049 ERC983027:ERE983049 FAY983027:FBA983049 FKU983027:FKW983049 FUQ983027:FUS983049 GEM983027:GEO983049 GOI983027:GOK983049 GYE983027:GYG983049 HIA983027:HIC983049 HRW983027:HRY983049 IBS983027:IBU983049 ILO983027:ILQ983049 IVK983027:IVM983049 JFG983027:JFI983049 JPC983027:JPE983049 JYY983027:JZA983049 KIU983027:KIW983049 KSQ983027:KSS983049 LCM983027:LCO983049 LMI983027:LMK983049 LWE983027:LWG983049 MGA983027:MGC983049 MPW983027:MPY983049 MZS983027:MZU983049 NJO983027:NJQ983049 NTK983027:NTM983049 ODG983027:ODI983049 ONC983027:ONE983049 OWY983027:OXA983049 PGU983027:PGW983049 PQQ983027:PQS983049 QAM983027:QAO983049 QKI983027:QKK983049 QUE983027:QUG983049 REA983027:REC983049 RNW983027:RNY983049 RXS983027:RXU983049 SHO983027:SHQ983049 SRK983027:SRM983049 TBG983027:TBI983049 TLC983027:TLE983049 TUY983027:TVA983049 UEU983027:UEW983049 UOQ983027:UOS983049 UYM983027:UYO983049 VII983027:VIK983049 VSE983027:VSG983049 WCA983027:WCC983049 WLW983027:WLY983049 WVS983027:WVU983049 G17:I40 D17:D40 D50:D73 G50:I73" xr:uid="{B087FE4F-03DB-4B2D-BABD-0465B8AFA694}">
      <formula1>0</formula1>
    </dataValidation>
    <dataValidation type="decimal" operator="greaterThanOrEqual" allowBlank="1" showInputMessage="1" showErrorMessage="1" errorTitle="Negatieve waarde" error="Gelieve positieve waarde in te geven" sqref="JE65523:JF65545 TA65523:TB65545 ACW65523:ACX65545 AMS65523:AMT65545 AWO65523:AWP65545 BGK65523:BGL65545 BQG65523:BQH65545 CAC65523:CAD65545 CJY65523:CJZ65545 CTU65523:CTV65545 DDQ65523:DDR65545 DNM65523:DNN65545 DXI65523:DXJ65545 EHE65523:EHF65545 ERA65523:ERB65545 FAW65523:FAX65545 FKS65523:FKT65545 FUO65523:FUP65545 GEK65523:GEL65545 GOG65523:GOH65545 GYC65523:GYD65545 HHY65523:HHZ65545 HRU65523:HRV65545 IBQ65523:IBR65545 ILM65523:ILN65545 IVI65523:IVJ65545 JFE65523:JFF65545 JPA65523:JPB65545 JYW65523:JYX65545 KIS65523:KIT65545 KSO65523:KSP65545 LCK65523:LCL65545 LMG65523:LMH65545 LWC65523:LWD65545 MFY65523:MFZ65545 MPU65523:MPV65545 MZQ65523:MZR65545 NJM65523:NJN65545 NTI65523:NTJ65545 ODE65523:ODF65545 ONA65523:ONB65545 OWW65523:OWX65545 PGS65523:PGT65545 PQO65523:PQP65545 QAK65523:QAL65545 QKG65523:QKH65545 QUC65523:QUD65545 RDY65523:RDZ65545 RNU65523:RNV65545 RXQ65523:RXR65545 SHM65523:SHN65545 SRI65523:SRJ65545 TBE65523:TBF65545 TLA65523:TLB65545 TUW65523:TUX65545 UES65523:UET65545 UOO65523:UOP65545 UYK65523:UYL65545 VIG65523:VIH65545 VSC65523:VSD65545 WBY65523:WBZ65545 WLU65523:WLV65545 WVQ65523:WVR65545 JE131059:JF131081 TA131059:TB131081 ACW131059:ACX131081 AMS131059:AMT131081 AWO131059:AWP131081 BGK131059:BGL131081 BQG131059:BQH131081 CAC131059:CAD131081 CJY131059:CJZ131081 CTU131059:CTV131081 DDQ131059:DDR131081 DNM131059:DNN131081 DXI131059:DXJ131081 EHE131059:EHF131081 ERA131059:ERB131081 FAW131059:FAX131081 FKS131059:FKT131081 FUO131059:FUP131081 GEK131059:GEL131081 GOG131059:GOH131081 GYC131059:GYD131081 HHY131059:HHZ131081 HRU131059:HRV131081 IBQ131059:IBR131081 ILM131059:ILN131081 IVI131059:IVJ131081 JFE131059:JFF131081 JPA131059:JPB131081 JYW131059:JYX131081 KIS131059:KIT131081 KSO131059:KSP131081 LCK131059:LCL131081 LMG131059:LMH131081 LWC131059:LWD131081 MFY131059:MFZ131081 MPU131059:MPV131081 MZQ131059:MZR131081 NJM131059:NJN131081 NTI131059:NTJ131081 ODE131059:ODF131081 ONA131059:ONB131081 OWW131059:OWX131081 PGS131059:PGT131081 PQO131059:PQP131081 QAK131059:QAL131081 QKG131059:QKH131081 QUC131059:QUD131081 RDY131059:RDZ131081 RNU131059:RNV131081 RXQ131059:RXR131081 SHM131059:SHN131081 SRI131059:SRJ131081 TBE131059:TBF131081 TLA131059:TLB131081 TUW131059:TUX131081 UES131059:UET131081 UOO131059:UOP131081 UYK131059:UYL131081 VIG131059:VIH131081 VSC131059:VSD131081 WBY131059:WBZ131081 WLU131059:WLV131081 WVQ131059:WVR131081 JE196595:JF196617 TA196595:TB196617 ACW196595:ACX196617 AMS196595:AMT196617 AWO196595:AWP196617 BGK196595:BGL196617 BQG196595:BQH196617 CAC196595:CAD196617 CJY196595:CJZ196617 CTU196595:CTV196617 DDQ196595:DDR196617 DNM196595:DNN196617 DXI196595:DXJ196617 EHE196595:EHF196617 ERA196595:ERB196617 FAW196595:FAX196617 FKS196595:FKT196617 FUO196595:FUP196617 GEK196595:GEL196617 GOG196595:GOH196617 GYC196595:GYD196617 HHY196595:HHZ196617 HRU196595:HRV196617 IBQ196595:IBR196617 ILM196595:ILN196617 IVI196595:IVJ196617 JFE196595:JFF196617 JPA196595:JPB196617 JYW196595:JYX196617 KIS196595:KIT196617 KSO196595:KSP196617 LCK196595:LCL196617 LMG196595:LMH196617 LWC196595:LWD196617 MFY196595:MFZ196617 MPU196595:MPV196617 MZQ196595:MZR196617 NJM196595:NJN196617 NTI196595:NTJ196617 ODE196595:ODF196617 ONA196595:ONB196617 OWW196595:OWX196617 PGS196595:PGT196617 PQO196595:PQP196617 QAK196595:QAL196617 QKG196595:QKH196617 QUC196595:QUD196617 RDY196595:RDZ196617 RNU196595:RNV196617 RXQ196595:RXR196617 SHM196595:SHN196617 SRI196595:SRJ196617 TBE196595:TBF196617 TLA196595:TLB196617 TUW196595:TUX196617 UES196595:UET196617 UOO196595:UOP196617 UYK196595:UYL196617 VIG196595:VIH196617 VSC196595:VSD196617 WBY196595:WBZ196617 WLU196595:WLV196617 WVQ196595:WVR196617 JE262131:JF262153 TA262131:TB262153 ACW262131:ACX262153 AMS262131:AMT262153 AWO262131:AWP262153 BGK262131:BGL262153 BQG262131:BQH262153 CAC262131:CAD262153 CJY262131:CJZ262153 CTU262131:CTV262153 DDQ262131:DDR262153 DNM262131:DNN262153 DXI262131:DXJ262153 EHE262131:EHF262153 ERA262131:ERB262153 FAW262131:FAX262153 FKS262131:FKT262153 FUO262131:FUP262153 GEK262131:GEL262153 GOG262131:GOH262153 GYC262131:GYD262153 HHY262131:HHZ262153 HRU262131:HRV262153 IBQ262131:IBR262153 ILM262131:ILN262153 IVI262131:IVJ262153 JFE262131:JFF262153 JPA262131:JPB262153 JYW262131:JYX262153 KIS262131:KIT262153 KSO262131:KSP262153 LCK262131:LCL262153 LMG262131:LMH262153 LWC262131:LWD262153 MFY262131:MFZ262153 MPU262131:MPV262153 MZQ262131:MZR262153 NJM262131:NJN262153 NTI262131:NTJ262153 ODE262131:ODF262153 ONA262131:ONB262153 OWW262131:OWX262153 PGS262131:PGT262153 PQO262131:PQP262153 QAK262131:QAL262153 QKG262131:QKH262153 QUC262131:QUD262153 RDY262131:RDZ262153 RNU262131:RNV262153 RXQ262131:RXR262153 SHM262131:SHN262153 SRI262131:SRJ262153 TBE262131:TBF262153 TLA262131:TLB262153 TUW262131:TUX262153 UES262131:UET262153 UOO262131:UOP262153 UYK262131:UYL262153 VIG262131:VIH262153 VSC262131:VSD262153 WBY262131:WBZ262153 WLU262131:WLV262153 WVQ262131:WVR262153 JE327667:JF327689 TA327667:TB327689 ACW327667:ACX327689 AMS327667:AMT327689 AWO327667:AWP327689 BGK327667:BGL327689 BQG327667:BQH327689 CAC327667:CAD327689 CJY327667:CJZ327689 CTU327667:CTV327689 DDQ327667:DDR327689 DNM327667:DNN327689 DXI327667:DXJ327689 EHE327667:EHF327689 ERA327667:ERB327689 FAW327667:FAX327689 FKS327667:FKT327689 FUO327667:FUP327689 GEK327667:GEL327689 GOG327667:GOH327689 GYC327667:GYD327689 HHY327667:HHZ327689 HRU327667:HRV327689 IBQ327667:IBR327689 ILM327667:ILN327689 IVI327667:IVJ327689 JFE327667:JFF327689 JPA327667:JPB327689 JYW327667:JYX327689 KIS327667:KIT327689 KSO327667:KSP327689 LCK327667:LCL327689 LMG327667:LMH327689 LWC327667:LWD327689 MFY327667:MFZ327689 MPU327667:MPV327689 MZQ327667:MZR327689 NJM327667:NJN327689 NTI327667:NTJ327689 ODE327667:ODF327689 ONA327667:ONB327689 OWW327667:OWX327689 PGS327667:PGT327689 PQO327667:PQP327689 QAK327667:QAL327689 QKG327667:QKH327689 QUC327667:QUD327689 RDY327667:RDZ327689 RNU327667:RNV327689 RXQ327667:RXR327689 SHM327667:SHN327689 SRI327667:SRJ327689 TBE327667:TBF327689 TLA327667:TLB327689 TUW327667:TUX327689 UES327667:UET327689 UOO327667:UOP327689 UYK327667:UYL327689 VIG327667:VIH327689 VSC327667:VSD327689 WBY327667:WBZ327689 WLU327667:WLV327689 WVQ327667:WVR327689 JE393203:JF393225 TA393203:TB393225 ACW393203:ACX393225 AMS393203:AMT393225 AWO393203:AWP393225 BGK393203:BGL393225 BQG393203:BQH393225 CAC393203:CAD393225 CJY393203:CJZ393225 CTU393203:CTV393225 DDQ393203:DDR393225 DNM393203:DNN393225 DXI393203:DXJ393225 EHE393203:EHF393225 ERA393203:ERB393225 FAW393203:FAX393225 FKS393203:FKT393225 FUO393203:FUP393225 GEK393203:GEL393225 GOG393203:GOH393225 GYC393203:GYD393225 HHY393203:HHZ393225 HRU393203:HRV393225 IBQ393203:IBR393225 ILM393203:ILN393225 IVI393203:IVJ393225 JFE393203:JFF393225 JPA393203:JPB393225 JYW393203:JYX393225 KIS393203:KIT393225 KSO393203:KSP393225 LCK393203:LCL393225 LMG393203:LMH393225 LWC393203:LWD393225 MFY393203:MFZ393225 MPU393203:MPV393225 MZQ393203:MZR393225 NJM393203:NJN393225 NTI393203:NTJ393225 ODE393203:ODF393225 ONA393203:ONB393225 OWW393203:OWX393225 PGS393203:PGT393225 PQO393203:PQP393225 QAK393203:QAL393225 QKG393203:QKH393225 QUC393203:QUD393225 RDY393203:RDZ393225 RNU393203:RNV393225 RXQ393203:RXR393225 SHM393203:SHN393225 SRI393203:SRJ393225 TBE393203:TBF393225 TLA393203:TLB393225 TUW393203:TUX393225 UES393203:UET393225 UOO393203:UOP393225 UYK393203:UYL393225 VIG393203:VIH393225 VSC393203:VSD393225 WBY393203:WBZ393225 WLU393203:WLV393225 WVQ393203:WVR393225 JE458739:JF458761 TA458739:TB458761 ACW458739:ACX458761 AMS458739:AMT458761 AWO458739:AWP458761 BGK458739:BGL458761 BQG458739:BQH458761 CAC458739:CAD458761 CJY458739:CJZ458761 CTU458739:CTV458761 DDQ458739:DDR458761 DNM458739:DNN458761 DXI458739:DXJ458761 EHE458739:EHF458761 ERA458739:ERB458761 FAW458739:FAX458761 FKS458739:FKT458761 FUO458739:FUP458761 GEK458739:GEL458761 GOG458739:GOH458761 GYC458739:GYD458761 HHY458739:HHZ458761 HRU458739:HRV458761 IBQ458739:IBR458761 ILM458739:ILN458761 IVI458739:IVJ458761 JFE458739:JFF458761 JPA458739:JPB458761 JYW458739:JYX458761 KIS458739:KIT458761 KSO458739:KSP458761 LCK458739:LCL458761 LMG458739:LMH458761 LWC458739:LWD458761 MFY458739:MFZ458761 MPU458739:MPV458761 MZQ458739:MZR458761 NJM458739:NJN458761 NTI458739:NTJ458761 ODE458739:ODF458761 ONA458739:ONB458761 OWW458739:OWX458761 PGS458739:PGT458761 PQO458739:PQP458761 QAK458739:QAL458761 QKG458739:QKH458761 QUC458739:QUD458761 RDY458739:RDZ458761 RNU458739:RNV458761 RXQ458739:RXR458761 SHM458739:SHN458761 SRI458739:SRJ458761 TBE458739:TBF458761 TLA458739:TLB458761 TUW458739:TUX458761 UES458739:UET458761 UOO458739:UOP458761 UYK458739:UYL458761 VIG458739:VIH458761 VSC458739:VSD458761 WBY458739:WBZ458761 WLU458739:WLV458761 WVQ458739:WVR458761 JE524275:JF524297 TA524275:TB524297 ACW524275:ACX524297 AMS524275:AMT524297 AWO524275:AWP524297 BGK524275:BGL524297 BQG524275:BQH524297 CAC524275:CAD524297 CJY524275:CJZ524297 CTU524275:CTV524297 DDQ524275:DDR524297 DNM524275:DNN524297 DXI524275:DXJ524297 EHE524275:EHF524297 ERA524275:ERB524297 FAW524275:FAX524297 FKS524275:FKT524297 FUO524275:FUP524297 GEK524275:GEL524297 GOG524275:GOH524297 GYC524275:GYD524297 HHY524275:HHZ524297 HRU524275:HRV524297 IBQ524275:IBR524297 ILM524275:ILN524297 IVI524275:IVJ524297 JFE524275:JFF524297 JPA524275:JPB524297 JYW524275:JYX524297 KIS524275:KIT524297 KSO524275:KSP524297 LCK524275:LCL524297 LMG524275:LMH524297 LWC524275:LWD524297 MFY524275:MFZ524297 MPU524275:MPV524297 MZQ524275:MZR524297 NJM524275:NJN524297 NTI524275:NTJ524297 ODE524275:ODF524297 ONA524275:ONB524297 OWW524275:OWX524297 PGS524275:PGT524297 PQO524275:PQP524297 QAK524275:QAL524297 QKG524275:QKH524297 QUC524275:QUD524297 RDY524275:RDZ524297 RNU524275:RNV524297 RXQ524275:RXR524297 SHM524275:SHN524297 SRI524275:SRJ524297 TBE524275:TBF524297 TLA524275:TLB524297 TUW524275:TUX524297 UES524275:UET524297 UOO524275:UOP524297 UYK524275:UYL524297 VIG524275:VIH524297 VSC524275:VSD524297 WBY524275:WBZ524297 WLU524275:WLV524297 WVQ524275:WVR524297 JE589811:JF589833 TA589811:TB589833 ACW589811:ACX589833 AMS589811:AMT589833 AWO589811:AWP589833 BGK589811:BGL589833 BQG589811:BQH589833 CAC589811:CAD589833 CJY589811:CJZ589833 CTU589811:CTV589833 DDQ589811:DDR589833 DNM589811:DNN589833 DXI589811:DXJ589833 EHE589811:EHF589833 ERA589811:ERB589833 FAW589811:FAX589833 FKS589811:FKT589833 FUO589811:FUP589833 GEK589811:GEL589833 GOG589811:GOH589833 GYC589811:GYD589833 HHY589811:HHZ589833 HRU589811:HRV589833 IBQ589811:IBR589833 ILM589811:ILN589833 IVI589811:IVJ589833 JFE589811:JFF589833 JPA589811:JPB589833 JYW589811:JYX589833 KIS589811:KIT589833 KSO589811:KSP589833 LCK589811:LCL589833 LMG589811:LMH589833 LWC589811:LWD589833 MFY589811:MFZ589833 MPU589811:MPV589833 MZQ589811:MZR589833 NJM589811:NJN589833 NTI589811:NTJ589833 ODE589811:ODF589833 ONA589811:ONB589833 OWW589811:OWX589833 PGS589811:PGT589833 PQO589811:PQP589833 QAK589811:QAL589833 QKG589811:QKH589833 QUC589811:QUD589833 RDY589811:RDZ589833 RNU589811:RNV589833 RXQ589811:RXR589833 SHM589811:SHN589833 SRI589811:SRJ589833 TBE589811:TBF589833 TLA589811:TLB589833 TUW589811:TUX589833 UES589811:UET589833 UOO589811:UOP589833 UYK589811:UYL589833 VIG589811:VIH589833 VSC589811:VSD589833 WBY589811:WBZ589833 WLU589811:WLV589833 WVQ589811:WVR589833 JE655347:JF655369 TA655347:TB655369 ACW655347:ACX655369 AMS655347:AMT655369 AWO655347:AWP655369 BGK655347:BGL655369 BQG655347:BQH655369 CAC655347:CAD655369 CJY655347:CJZ655369 CTU655347:CTV655369 DDQ655347:DDR655369 DNM655347:DNN655369 DXI655347:DXJ655369 EHE655347:EHF655369 ERA655347:ERB655369 FAW655347:FAX655369 FKS655347:FKT655369 FUO655347:FUP655369 GEK655347:GEL655369 GOG655347:GOH655369 GYC655347:GYD655369 HHY655347:HHZ655369 HRU655347:HRV655369 IBQ655347:IBR655369 ILM655347:ILN655369 IVI655347:IVJ655369 JFE655347:JFF655369 JPA655347:JPB655369 JYW655347:JYX655369 KIS655347:KIT655369 KSO655347:KSP655369 LCK655347:LCL655369 LMG655347:LMH655369 LWC655347:LWD655369 MFY655347:MFZ655369 MPU655347:MPV655369 MZQ655347:MZR655369 NJM655347:NJN655369 NTI655347:NTJ655369 ODE655347:ODF655369 ONA655347:ONB655369 OWW655347:OWX655369 PGS655347:PGT655369 PQO655347:PQP655369 QAK655347:QAL655369 QKG655347:QKH655369 QUC655347:QUD655369 RDY655347:RDZ655369 RNU655347:RNV655369 RXQ655347:RXR655369 SHM655347:SHN655369 SRI655347:SRJ655369 TBE655347:TBF655369 TLA655347:TLB655369 TUW655347:TUX655369 UES655347:UET655369 UOO655347:UOP655369 UYK655347:UYL655369 VIG655347:VIH655369 VSC655347:VSD655369 WBY655347:WBZ655369 WLU655347:WLV655369 WVQ655347:WVR655369 JE720883:JF720905 TA720883:TB720905 ACW720883:ACX720905 AMS720883:AMT720905 AWO720883:AWP720905 BGK720883:BGL720905 BQG720883:BQH720905 CAC720883:CAD720905 CJY720883:CJZ720905 CTU720883:CTV720905 DDQ720883:DDR720905 DNM720883:DNN720905 DXI720883:DXJ720905 EHE720883:EHF720905 ERA720883:ERB720905 FAW720883:FAX720905 FKS720883:FKT720905 FUO720883:FUP720905 GEK720883:GEL720905 GOG720883:GOH720905 GYC720883:GYD720905 HHY720883:HHZ720905 HRU720883:HRV720905 IBQ720883:IBR720905 ILM720883:ILN720905 IVI720883:IVJ720905 JFE720883:JFF720905 JPA720883:JPB720905 JYW720883:JYX720905 KIS720883:KIT720905 KSO720883:KSP720905 LCK720883:LCL720905 LMG720883:LMH720905 LWC720883:LWD720905 MFY720883:MFZ720905 MPU720883:MPV720905 MZQ720883:MZR720905 NJM720883:NJN720905 NTI720883:NTJ720905 ODE720883:ODF720905 ONA720883:ONB720905 OWW720883:OWX720905 PGS720883:PGT720905 PQO720883:PQP720905 QAK720883:QAL720905 QKG720883:QKH720905 QUC720883:QUD720905 RDY720883:RDZ720905 RNU720883:RNV720905 RXQ720883:RXR720905 SHM720883:SHN720905 SRI720883:SRJ720905 TBE720883:TBF720905 TLA720883:TLB720905 TUW720883:TUX720905 UES720883:UET720905 UOO720883:UOP720905 UYK720883:UYL720905 VIG720883:VIH720905 VSC720883:VSD720905 WBY720883:WBZ720905 WLU720883:WLV720905 WVQ720883:WVR720905 JE786419:JF786441 TA786419:TB786441 ACW786419:ACX786441 AMS786419:AMT786441 AWO786419:AWP786441 BGK786419:BGL786441 BQG786419:BQH786441 CAC786419:CAD786441 CJY786419:CJZ786441 CTU786419:CTV786441 DDQ786419:DDR786441 DNM786419:DNN786441 DXI786419:DXJ786441 EHE786419:EHF786441 ERA786419:ERB786441 FAW786419:FAX786441 FKS786419:FKT786441 FUO786419:FUP786441 GEK786419:GEL786441 GOG786419:GOH786441 GYC786419:GYD786441 HHY786419:HHZ786441 HRU786419:HRV786441 IBQ786419:IBR786441 ILM786419:ILN786441 IVI786419:IVJ786441 JFE786419:JFF786441 JPA786419:JPB786441 JYW786419:JYX786441 KIS786419:KIT786441 KSO786419:KSP786441 LCK786419:LCL786441 LMG786419:LMH786441 LWC786419:LWD786441 MFY786419:MFZ786441 MPU786419:MPV786441 MZQ786419:MZR786441 NJM786419:NJN786441 NTI786419:NTJ786441 ODE786419:ODF786441 ONA786419:ONB786441 OWW786419:OWX786441 PGS786419:PGT786441 PQO786419:PQP786441 QAK786419:QAL786441 QKG786419:QKH786441 QUC786419:QUD786441 RDY786419:RDZ786441 RNU786419:RNV786441 RXQ786419:RXR786441 SHM786419:SHN786441 SRI786419:SRJ786441 TBE786419:TBF786441 TLA786419:TLB786441 TUW786419:TUX786441 UES786419:UET786441 UOO786419:UOP786441 UYK786419:UYL786441 VIG786419:VIH786441 VSC786419:VSD786441 WBY786419:WBZ786441 WLU786419:WLV786441 WVQ786419:WVR786441 JE851955:JF851977 TA851955:TB851977 ACW851955:ACX851977 AMS851955:AMT851977 AWO851955:AWP851977 BGK851955:BGL851977 BQG851955:BQH851977 CAC851955:CAD851977 CJY851955:CJZ851977 CTU851955:CTV851977 DDQ851955:DDR851977 DNM851955:DNN851977 DXI851955:DXJ851977 EHE851955:EHF851977 ERA851955:ERB851977 FAW851955:FAX851977 FKS851955:FKT851977 FUO851955:FUP851977 GEK851955:GEL851977 GOG851955:GOH851977 GYC851955:GYD851977 HHY851955:HHZ851977 HRU851955:HRV851977 IBQ851955:IBR851977 ILM851955:ILN851977 IVI851955:IVJ851977 JFE851955:JFF851977 JPA851955:JPB851977 JYW851955:JYX851977 KIS851955:KIT851977 KSO851955:KSP851977 LCK851955:LCL851977 LMG851955:LMH851977 LWC851955:LWD851977 MFY851955:MFZ851977 MPU851955:MPV851977 MZQ851955:MZR851977 NJM851955:NJN851977 NTI851955:NTJ851977 ODE851955:ODF851977 ONA851955:ONB851977 OWW851955:OWX851977 PGS851955:PGT851977 PQO851955:PQP851977 QAK851955:QAL851977 QKG851955:QKH851977 QUC851955:QUD851977 RDY851955:RDZ851977 RNU851955:RNV851977 RXQ851955:RXR851977 SHM851955:SHN851977 SRI851955:SRJ851977 TBE851955:TBF851977 TLA851955:TLB851977 TUW851955:TUX851977 UES851955:UET851977 UOO851955:UOP851977 UYK851955:UYL851977 VIG851955:VIH851977 VSC851955:VSD851977 WBY851955:WBZ851977 WLU851955:WLV851977 WVQ851955:WVR851977 JE917491:JF917513 TA917491:TB917513 ACW917491:ACX917513 AMS917491:AMT917513 AWO917491:AWP917513 BGK917491:BGL917513 BQG917491:BQH917513 CAC917491:CAD917513 CJY917491:CJZ917513 CTU917491:CTV917513 DDQ917491:DDR917513 DNM917491:DNN917513 DXI917491:DXJ917513 EHE917491:EHF917513 ERA917491:ERB917513 FAW917491:FAX917513 FKS917491:FKT917513 FUO917491:FUP917513 GEK917491:GEL917513 GOG917491:GOH917513 GYC917491:GYD917513 HHY917491:HHZ917513 HRU917491:HRV917513 IBQ917491:IBR917513 ILM917491:ILN917513 IVI917491:IVJ917513 JFE917491:JFF917513 JPA917491:JPB917513 JYW917491:JYX917513 KIS917491:KIT917513 KSO917491:KSP917513 LCK917491:LCL917513 LMG917491:LMH917513 LWC917491:LWD917513 MFY917491:MFZ917513 MPU917491:MPV917513 MZQ917491:MZR917513 NJM917491:NJN917513 NTI917491:NTJ917513 ODE917491:ODF917513 ONA917491:ONB917513 OWW917491:OWX917513 PGS917491:PGT917513 PQO917491:PQP917513 QAK917491:QAL917513 QKG917491:QKH917513 QUC917491:QUD917513 RDY917491:RDZ917513 RNU917491:RNV917513 RXQ917491:RXR917513 SHM917491:SHN917513 SRI917491:SRJ917513 TBE917491:TBF917513 TLA917491:TLB917513 TUW917491:TUX917513 UES917491:UET917513 UOO917491:UOP917513 UYK917491:UYL917513 VIG917491:VIH917513 VSC917491:VSD917513 WBY917491:WBZ917513 WLU917491:WLV917513 WVQ917491:WVR917513 WVV983027:WVV983049 JE983027:JF983049 TA983027:TB983049 ACW983027:ACX983049 AMS983027:AMT983049 AWO983027:AWP983049 BGK983027:BGL983049 BQG983027:BQH983049 CAC983027:CAD983049 CJY983027:CJZ983049 CTU983027:CTV983049 DDQ983027:DDR983049 DNM983027:DNN983049 DXI983027:DXJ983049 EHE983027:EHF983049 ERA983027:ERB983049 FAW983027:FAX983049 FKS983027:FKT983049 FUO983027:FUP983049 GEK983027:GEL983049 GOG983027:GOH983049 GYC983027:GYD983049 HHY983027:HHZ983049 HRU983027:HRV983049 IBQ983027:IBR983049 ILM983027:ILN983049 IVI983027:IVJ983049 JFE983027:JFF983049 JPA983027:JPB983049 JYW983027:JYX983049 KIS983027:KIT983049 KSO983027:KSP983049 LCK983027:LCL983049 LMG983027:LMH983049 LWC983027:LWD983049 MFY983027:MFZ983049 MPU983027:MPV983049 MZQ983027:MZR983049 NJM983027:NJN983049 NTI983027:NTJ983049 ODE983027:ODF983049 ONA983027:ONB983049 OWW983027:OWX983049 PGS983027:PGT983049 PQO983027:PQP983049 QAK983027:QAL983049 QKG983027:QKH983049 QUC983027:QUD983049 RDY983027:RDZ983049 RNU983027:RNV983049 RXQ983027:RXR983049 SHM983027:SHN983049 SRI983027:SRJ983049 TBE983027:TBF983049 TLA983027:TLB983049 TUW983027:TUX983049 UES983027:UET983049 UOO983027:UOP983049 UYK983027:UYL983049 VIG983027:VIH983049 VSC983027:VSD983049 WBY983027:WBZ983049 WLU983027:WLV983049 WVQ983027:WVR983049 C65523:C65545 JB65523:JB65545 SX65523:SX65545 ACT65523:ACT65545 AMP65523:AMP65545 AWL65523:AWL65545 BGH65523:BGH65545 BQD65523:BQD65545 BZZ65523:BZZ65545 CJV65523:CJV65545 CTR65523:CTR65545 DDN65523:DDN65545 DNJ65523:DNJ65545 DXF65523:DXF65545 EHB65523:EHB65545 EQX65523:EQX65545 FAT65523:FAT65545 FKP65523:FKP65545 FUL65523:FUL65545 GEH65523:GEH65545 GOD65523:GOD65545 GXZ65523:GXZ65545 HHV65523:HHV65545 HRR65523:HRR65545 IBN65523:IBN65545 ILJ65523:ILJ65545 IVF65523:IVF65545 JFB65523:JFB65545 JOX65523:JOX65545 JYT65523:JYT65545 KIP65523:KIP65545 KSL65523:KSL65545 LCH65523:LCH65545 LMD65523:LMD65545 LVZ65523:LVZ65545 MFV65523:MFV65545 MPR65523:MPR65545 MZN65523:MZN65545 NJJ65523:NJJ65545 NTF65523:NTF65545 ODB65523:ODB65545 OMX65523:OMX65545 OWT65523:OWT65545 PGP65523:PGP65545 PQL65523:PQL65545 QAH65523:QAH65545 QKD65523:QKD65545 QTZ65523:QTZ65545 RDV65523:RDV65545 RNR65523:RNR65545 RXN65523:RXN65545 SHJ65523:SHJ65545 SRF65523:SRF65545 TBB65523:TBB65545 TKX65523:TKX65545 TUT65523:TUT65545 UEP65523:UEP65545 UOL65523:UOL65545 UYH65523:UYH65545 VID65523:VID65545 VRZ65523:VRZ65545 WBV65523:WBV65545 WLR65523:WLR65545 WVN65523:WVN65545 C131059:C131081 JB131059:JB131081 SX131059:SX131081 ACT131059:ACT131081 AMP131059:AMP131081 AWL131059:AWL131081 BGH131059:BGH131081 BQD131059:BQD131081 BZZ131059:BZZ131081 CJV131059:CJV131081 CTR131059:CTR131081 DDN131059:DDN131081 DNJ131059:DNJ131081 DXF131059:DXF131081 EHB131059:EHB131081 EQX131059:EQX131081 FAT131059:FAT131081 FKP131059:FKP131081 FUL131059:FUL131081 GEH131059:GEH131081 GOD131059:GOD131081 GXZ131059:GXZ131081 HHV131059:HHV131081 HRR131059:HRR131081 IBN131059:IBN131081 ILJ131059:ILJ131081 IVF131059:IVF131081 JFB131059:JFB131081 JOX131059:JOX131081 JYT131059:JYT131081 KIP131059:KIP131081 KSL131059:KSL131081 LCH131059:LCH131081 LMD131059:LMD131081 LVZ131059:LVZ131081 MFV131059:MFV131081 MPR131059:MPR131081 MZN131059:MZN131081 NJJ131059:NJJ131081 NTF131059:NTF131081 ODB131059:ODB131081 OMX131059:OMX131081 OWT131059:OWT131081 PGP131059:PGP131081 PQL131059:PQL131081 QAH131059:QAH131081 QKD131059:QKD131081 QTZ131059:QTZ131081 RDV131059:RDV131081 RNR131059:RNR131081 RXN131059:RXN131081 SHJ131059:SHJ131081 SRF131059:SRF131081 TBB131059:TBB131081 TKX131059:TKX131081 TUT131059:TUT131081 UEP131059:UEP131081 UOL131059:UOL131081 UYH131059:UYH131081 VID131059:VID131081 VRZ131059:VRZ131081 WBV131059:WBV131081 WLR131059:WLR131081 WVN131059:WVN131081 C196595:C196617 JB196595:JB196617 SX196595:SX196617 ACT196595:ACT196617 AMP196595:AMP196617 AWL196595:AWL196617 BGH196595:BGH196617 BQD196595:BQD196617 BZZ196595:BZZ196617 CJV196595:CJV196617 CTR196595:CTR196617 DDN196595:DDN196617 DNJ196595:DNJ196617 DXF196595:DXF196617 EHB196595:EHB196617 EQX196595:EQX196617 FAT196595:FAT196617 FKP196595:FKP196617 FUL196595:FUL196617 GEH196595:GEH196617 GOD196595:GOD196617 GXZ196595:GXZ196617 HHV196595:HHV196617 HRR196595:HRR196617 IBN196595:IBN196617 ILJ196595:ILJ196617 IVF196595:IVF196617 JFB196595:JFB196617 JOX196595:JOX196617 JYT196595:JYT196617 KIP196595:KIP196617 KSL196595:KSL196617 LCH196595:LCH196617 LMD196595:LMD196617 LVZ196595:LVZ196617 MFV196595:MFV196617 MPR196595:MPR196617 MZN196595:MZN196617 NJJ196595:NJJ196617 NTF196595:NTF196617 ODB196595:ODB196617 OMX196595:OMX196617 OWT196595:OWT196617 PGP196595:PGP196617 PQL196595:PQL196617 QAH196595:QAH196617 QKD196595:QKD196617 QTZ196595:QTZ196617 RDV196595:RDV196617 RNR196595:RNR196617 RXN196595:RXN196617 SHJ196595:SHJ196617 SRF196595:SRF196617 TBB196595:TBB196617 TKX196595:TKX196617 TUT196595:TUT196617 UEP196595:UEP196617 UOL196595:UOL196617 UYH196595:UYH196617 VID196595:VID196617 VRZ196595:VRZ196617 WBV196595:WBV196617 WLR196595:WLR196617 WVN196595:WVN196617 C262131:C262153 JB262131:JB262153 SX262131:SX262153 ACT262131:ACT262153 AMP262131:AMP262153 AWL262131:AWL262153 BGH262131:BGH262153 BQD262131:BQD262153 BZZ262131:BZZ262153 CJV262131:CJV262153 CTR262131:CTR262153 DDN262131:DDN262153 DNJ262131:DNJ262153 DXF262131:DXF262153 EHB262131:EHB262153 EQX262131:EQX262153 FAT262131:FAT262153 FKP262131:FKP262153 FUL262131:FUL262153 GEH262131:GEH262153 GOD262131:GOD262153 GXZ262131:GXZ262153 HHV262131:HHV262153 HRR262131:HRR262153 IBN262131:IBN262153 ILJ262131:ILJ262153 IVF262131:IVF262153 JFB262131:JFB262153 JOX262131:JOX262153 JYT262131:JYT262153 KIP262131:KIP262153 KSL262131:KSL262153 LCH262131:LCH262153 LMD262131:LMD262153 LVZ262131:LVZ262153 MFV262131:MFV262153 MPR262131:MPR262153 MZN262131:MZN262153 NJJ262131:NJJ262153 NTF262131:NTF262153 ODB262131:ODB262153 OMX262131:OMX262153 OWT262131:OWT262153 PGP262131:PGP262153 PQL262131:PQL262153 QAH262131:QAH262153 QKD262131:QKD262153 QTZ262131:QTZ262153 RDV262131:RDV262153 RNR262131:RNR262153 RXN262131:RXN262153 SHJ262131:SHJ262153 SRF262131:SRF262153 TBB262131:TBB262153 TKX262131:TKX262153 TUT262131:TUT262153 UEP262131:UEP262153 UOL262131:UOL262153 UYH262131:UYH262153 VID262131:VID262153 VRZ262131:VRZ262153 WBV262131:WBV262153 WLR262131:WLR262153 WVN262131:WVN262153 C327667:C327689 JB327667:JB327689 SX327667:SX327689 ACT327667:ACT327689 AMP327667:AMP327689 AWL327667:AWL327689 BGH327667:BGH327689 BQD327667:BQD327689 BZZ327667:BZZ327689 CJV327667:CJV327689 CTR327667:CTR327689 DDN327667:DDN327689 DNJ327667:DNJ327689 DXF327667:DXF327689 EHB327667:EHB327689 EQX327667:EQX327689 FAT327667:FAT327689 FKP327667:FKP327689 FUL327667:FUL327689 GEH327667:GEH327689 GOD327667:GOD327689 GXZ327667:GXZ327689 HHV327667:HHV327689 HRR327667:HRR327689 IBN327667:IBN327689 ILJ327667:ILJ327689 IVF327667:IVF327689 JFB327667:JFB327689 JOX327667:JOX327689 JYT327667:JYT327689 KIP327667:KIP327689 KSL327667:KSL327689 LCH327667:LCH327689 LMD327667:LMD327689 LVZ327667:LVZ327689 MFV327667:MFV327689 MPR327667:MPR327689 MZN327667:MZN327689 NJJ327667:NJJ327689 NTF327667:NTF327689 ODB327667:ODB327689 OMX327667:OMX327689 OWT327667:OWT327689 PGP327667:PGP327689 PQL327667:PQL327689 QAH327667:QAH327689 QKD327667:QKD327689 QTZ327667:QTZ327689 RDV327667:RDV327689 RNR327667:RNR327689 RXN327667:RXN327689 SHJ327667:SHJ327689 SRF327667:SRF327689 TBB327667:TBB327689 TKX327667:TKX327689 TUT327667:TUT327689 UEP327667:UEP327689 UOL327667:UOL327689 UYH327667:UYH327689 VID327667:VID327689 VRZ327667:VRZ327689 WBV327667:WBV327689 WLR327667:WLR327689 WVN327667:WVN327689 C393203:C393225 JB393203:JB393225 SX393203:SX393225 ACT393203:ACT393225 AMP393203:AMP393225 AWL393203:AWL393225 BGH393203:BGH393225 BQD393203:BQD393225 BZZ393203:BZZ393225 CJV393203:CJV393225 CTR393203:CTR393225 DDN393203:DDN393225 DNJ393203:DNJ393225 DXF393203:DXF393225 EHB393203:EHB393225 EQX393203:EQX393225 FAT393203:FAT393225 FKP393203:FKP393225 FUL393203:FUL393225 GEH393203:GEH393225 GOD393203:GOD393225 GXZ393203:GXZ393225 HHV393203:HHV393225 HRR393203:HRR393225 IBN393203:IBN393225 ILJ393203:ILJ393225 IVF393203:IVF393225 JFB393203:JFB393225 JOX393203:JOX393225 JYT393203:JYT393225 KIP393203:KIP393225 KSL393203:KSL393225 LCH393203:LCH393225 LMD393203:LMD393225 LVZ393203:LVZ393225 MFV393203:MFV393225 MPR393203:MPR393225 MZN393203:MZN393225 NJJ393203:NJJ393225 NTF393203:NTF393225 ODB393203:ODB393225 OMX393203:OMX393225 OWT393203:OWT393225 PGP393203:PGP393225 PQL393203:PQL393225 QAH393203:QAH393225 QKD393203:QKD393225 QTZ393203:QTZ393225 RDV393203:RDV393225 RNR393203:RNR393225 RXN393203:RXN393225 SHJ393203:SHJ393225 SRF393203:SRF393225 TBB393203:TBB393225 TKX393203:TKX393225 TUT393203:TUT393225 UEP393203:UEP393225 UOL393203:UOL393225 UYH393203:UYH393225 VID393203:VID393225 VRZ393203:VRZ393225 WBV393203:WBV393225 WLR393203:WLR393225 WVN393203:WVN393225 C458739:C458761 JB458739:JB458761 SX458739:SX458761 ACT458739:ACT458761 AMP458739:AMP458761 AWL458739:AWL458761 BGH458739:BGH458761 BQD458739:BQD458761 BZZ458739:BZZ458761 CJV458739:CJV458761 CTR458739:CTR458761 DDN458739:DDN458761 DNJ458739:DNJ458761 DXF458739:DXF458761 EHB458739:EHB458761 EQX458739:EQX458761 FAT458739:FAT458761 FKP458739:FKP458761 FUL458739:FUL458761 GEH458739:GEH458761 GOD458739:GOD458761 GXZ458739:GXZ458761 HHV458739:HHV458761 HRR458739:HRR458761 IBN458739:IBN458761 ILJ458739:ILJ458761 IVF458739:IVF458761 JFB458739:JFB458761 JOX458739:JOX458761 JYT458739:JYT458761 KIP458739:KIP458761 KSL458739:KSL458761 LCH458739:LCH458761 LMD458739:LMD458761 LVZ458739:LVZ458761 MFV458739:MFV458761 MPR458739:MPR458761 MZN458739:MZN458761 NJJ458739:NJJ458761 NTF458739:NTF458761 ODB458739:ODB458761 OMX458739:OMX458761 OWT458739:OWT458761 PGP458739:PGP458761 PQL458739:PQL458761 QAH458739:QAH458761 QKD458739:QKD458761 QTZ458739:QTZ458761 RDV458739:RDV458761 RNR458739:RNR458761 RXN458739:RXN458761 SHJ458739:SHJ458761 SRF458739:SRF458761 TBB458739:TBB458761 TKX458739:TKX458761 TUT458739:TUT458761 UEP458739:UEP458761 UOL458739:UOL458761 UYH458739:UYH458761 VID458739:VID458761 VRZ458739:VRZ458761 WBV458739:WBV458761 WLR458739:WLR458761 WVN458739:WVN458761 C524275:C524297 JB524275:JB524297 SX524275:SX524297 ACT524275:ACT524297 AMP524275:AMP524297 AWL524275:AWL524297 BGH524275:BGH524297 BQD524275:BQD524297 BZZ524275:BZZ524297 CJV524275:CJV524297 CTR524275:CTR524297 DDN524275:DDN524297 DNJ524275:DNJ524297 DXF524275:DXF524297 EHB524275:EHB524297 EQX524275:EQX524297 FAT524275:FAT524297 FKP524275:FKP524297 FUL524275:FUL524297 GEH524275:GEH524297 GOD524275:GOD524297 GXZ524275:GXZ524297 HHV524275:HHV524297 HRR524275:HRR524297 IBN524275:IBN524297 ILJ524275:ILJ524297 IVF524275:IVF524297 JFB524275:JFB524297 JOX524275:JOX524297 JYT524275:JYT524297 KIP524275:KIP524297 KSL524275:KSL524297 LCH524275:LCH524297 LMD524275:LMD524297 LVZ524275:LVZ524297 MFV524275:MFV524297 MPR524275:MPR524297 MZN524275:MZN524297 NJJ524275:NJJ524297 NTF524275:NTF524297 ODB524275:ODB524297 OMX524275:OMX524297 OWT524275:OWT524297 PGP524275:PGP524297 PQL524275:PQL524297 QAH524275:QAH524297 QKD524275:QKD524297 QTZ524275:QTZ524297 RDV524275:RDV524297 RNR524275:RNR524297 RXN524275:RXN524297 SHJ524275:SHJ524297 SRF524275:SRF524297 TBB524275:TBB524297 TKX524275:TKX524297 TUT524275:TUT524297 UEP524275:UEP524297 UOL524275:UOL524297 UYH524275:UYH524297 VID524275:VID524297 VRZ524275:VRZ524297 WBV524275:WBV524297 WLR524275:WLR524297 WVN524275:WVN524297 C589811:C589833 JB589811:JB589833 SX589811:SX589833 ACT589811:ACT589833 AMP589811:AMP589833 AWL589811:AWL589833 BGH589811:BGH589833 BQD589811:BQD589833 BZZ589811:BZZ589833 CJV589811:CJV589833 CTR589811:CTR589833 DDN589811:DDN589833 DNJ589811:DNJ589833 DXF589811:DXF589833 EHB589811:EHB589833 EQX589811:EQX589833 FAT589811:FAT589833 FKP589811:FKP589833 FUL589811:FUL589833 GEH589811:GEH589833 GOD589811:GOD589833 GXZ589811:GXZ589833 HHV589811:HHV589833 HRR589811:HRR589833 IBN589811:IBN589833 ILJ589811:ILJ589833 IVF589811:IVF589833 JFB589811:JFB589833 JOX589811:JOX589833 JYT589811:JYT589833 KIP589811:KIP589833 KSL589811:KSL589833 LCH589811:LCH589833 LMD589811:LMD589833 LVZ589811:LVZ589833 MFV589811:MFV589833 MPR589811:MPR589833 MZN589811:MZN589833 NJJ589811:NJJ589833 NTF589811:NTF589833 ODB589811:ODB589833 OMX589811:OMX589833 OWT589811:OWT589833 PGP589811:PGP589833 PQL589811:PQL589833 QAH589811:QAH589833 QKD589811:QKD589833 QTZ589811:QTZ589833 RDV589811:RDV589833 RNR589811:RNR589833 RXN589811:RXN589833 SHJ589811:SHJ589833 SRF589811:SRF589833 TBB589811:TBB589833 TKX589811:TKX589833 TUT589811:TUT589833 UEP589811:UEP589833 UOL589811:UOL589833 UYH589811:UYH589833 VID589811:VID589833 VRZ589811:VRZ589833 WBV589811:WBV589833 WLR589811:WLR589833 WVN589811:WVN589833 C655347:C655369 JB655347:JB655369 SX655347:SX655369 ACT655347:ACT655369 AMP655347:AMP655369 AWL655347:AWL655369 BGH655347:BGH655369 BQD655347:BQD655369 BZZ655347:BZZ655369 CJV655347:CJV655369 CTR655347:CTR655369 DDN655347:DDN655369 DNJ655347:DNJ655369 DXF655347:DXF655369 EHB655347:EHB655369 EQX655347:EQX655369 FAT655347:FAT655369 FKP655347:FKP655369 FUL655347:FUL655369 GEH655347:GEH655369 GOD655347:GOD655369 GXZ655347:GXZ655369 HHV655347:HHV655369 HRR655347:HRR655369 IBN655347:IBN655369 ILJ655347:ILJ655369 IVF655347:IVF655369 JFB655347:JFB655369 JOX655347:JOX655369 JYT655347:JYT655369 KIP655347:KIP655369 KSL655347:KSL655369 LCH655347:LCH655369 LMD655347:LMD655369 LVZ655347:LVZ655369 MFV655347:MFV655369 MPR655347:MPR655369 MZN655347:MZN655369 NJJ655347:NJJ655369 NTF655347:NTF655369 ODB655347:ODB655369 OMX655347:OMX655369 OWT655347:OWT655369 PGP655347:PGP655369 PQL655347:PQL655369 QAH655347:QAH655369 QKD655347:QKD655369 QTZ655347:QTZ655369 RDV655347:RDV655369 RNR655347:RNR655369 RXN655347:RXN655369 SHJ655347:SHJ655369 SRF655347:SRF655369 TBB655347:TBB655369 TKX655347:TKX655369 TUT655347:TUT655369 UEP655347:UEP655369 UOL655347:UOL655369 UYH655347:UYH655369 VID655347:VID655369 VRZ655347:VRZ655369 WBV655347:WBV655369 WLR655347:WLR655369 WVN655347:WVN655369 C720883:C720905 JB720883:JB720905 SX720883:SX720905 ACT720883:ACT720905 AMP720883:AMP720905 AWL720883:AWL720905 BGH720883:BGH720905 BQD720883:BQD720905 BZZ720883:BZZ720905 CJV720883:CJV720905 CTR720883:CTR720905 DDN720883:DDN720905 DNJ720883:DNJ720905 DXF720883:DXF720905 EHB720883:EHB720905 EQX720883:EQX720905 FAT720883:FAT720905 FKP720883:FKP720905 FUL720883:FUL720905 GEH720883:GEH720905 GOD720883:GOD720905 GXZ720883:GXZ720905 HHV720883:HHV720905 HRR720883:HRR720905 IBN720883:IBN720905 ILJ720883:ILJ720905 IVF720883:IVF720905 JFB720883:JFB720905 JOX720883:JOX720905 JYT720883:JYT720905 KIP720883:KIP720905 KSL720883:KSL720905 LCH720883:LCH720905 LMD720883:LMD720905 LVZ720883:LVZ720905 MFV720883:MFV720905 MPR720883:MPR720905 MZN720883:MZN720905 NJJ720883:NJJ720905 NTF720883:NTF720905 ODB720883:ODB720905 OMX720883:OMX720905 OWT720883:OWT720905 PGP720883:PGP720905 PQL720883:PQL720905 QAH720883:QAH720905 QKD720883:QKD720905 QTZ720883:QTZ720905 RDV720883:RDV720905 RNR720883:RNR720905 RXN720883:RXN720905 SHJ720883:SHJ720905 SRF720883:SRF720905 TBB720883:TBB720905 TKX720883:TKX720905 TUT720883:TUT720905 UEP720883:UEP720905 UOL720883:UOL720905 UYH720883:UYH720905 VID720883:VID720905 VRZ720883:VRZ720905 WBV720883:WBV720905 WLR720883:WLR720905 WVN720883:WVN720905 C786419:C786441 JB786419:JB786441 SX786419:SX786441 ACT786419:ACT786441 AMP786419:AMP786441 AWL786419:AWL786441 BGH786419:BGH786441 BQD786419:BQD786441 BZZ786419:BZZ786441 CJV786419:CJV786441 CTR786419:CTR786441 DDN786419:DDN786441 DNJ786419:DNJ786441 DXF786419:DXF786441 EHB786419:EHB786441 EQX786419:EQX786441 FAT786419:FAT786441 FKP786419:FKP786441 FUL786419:FUL786441 GEH786419:GEH786441 GOD786419:GOD786441 GXZ786419:GXZ786441 HHV786419:HHV786441 HRR786419:HRR786441 IBN786419:IBN786441 ILJ786419:ILJ786441 IVF786419:IVF786441 JFB786419:JFB786441 JOX786419:JOX786441 JYT786419:JYT786441 KIP786419:KIP786441 KSL786419:KSL786441 LCH786419:LCH786441 LMD786419:LMD786441 LVZ786419:LVZ786441 MFV786419:MFV786441 MPR786419:MPR786441 MZN786419:MZN786441 NJJ786419:NJJ786441 NTF786419:NTF786441 ODB786419:ODB786441 OMX786419:OMX786441 OWT786419:OWT786441 PGP786419:PGP786441 PQL786419:PQL786441 QAH786419:QAH786441 QKD786419:QKD786441 QTZ786419:QTZ786441 RDV786419:RDV786441 RNR786419:RNR786441 RXN786419:RXN786441 SHJ786419:SHJ786441 SRF786419:SRF786441 TBB786419:TBB786441 TKX786419:TKX786441 TUT786419:TUT786441 UEP786419:UEP786441 UOL786419:UOL786441 UYH786419:UYH786441 VID786419:VID786441 VRZ786419:VRZ786441 WBV786419:WBV786441 WLR786419:WLR786441 WVN786419:WVN786441 C851955:C851977 JB851955:JB851977 SX851955:SX851977 ACT851955:ACT851977 AMP851955:AMP851977 AWL851955:AWL851977 BGH851955:BGH851977 BQD851955:BQD851977 BZZ851955:BZZ851977 CJV851955:CJV851977 CTR851955:CTR851977 DDN851955:DDN851977 DNJ851955:DNJ851977 DXF851955:DXF851977 EHB851955:EHB851977 EQX851955:EQX851977 FAT851955:FAT851977 FKP851955:FKP851977 FUL851955:FUL851977 GEH851955:GEH851977 GOD851955:GOD851977 GXZ851955:GXZ851977 HHV851955:HHV851977 HRR851955:HRR851977 IBN851955:IBN851977 ILJ851955:ILJ851977 IVF851955:IVF851977 JFB851955:JFB851977 JOX851955:JOX851977 JYT851955:JYT851977 KIP851955:KIP851977 KSL851955:KSL851977 LCH851955:LCH851977 LMD851955:LMD851977 LVZ851955:LVZ851977 MFV851955:MFV851977 MPR851955:MPR851977 MZN851955:MZN851977 NJJ851955:NJJ851977 NTF851955:NTF851977 ODB851955:ODB851977 OMX851955:OMX851977 OWT851955:OWT851977 PGP851955:PGP851977 PQL851955:PQL851977 QAH851955:QAH851977 QKD851955:QKD851977 QTZ851955:QTZ851977 RDV851955:RDV851977 RNR851955:RNR851977 RXN851955:RXN851977 SHJ851955:SHJ851977 SRF851955:SRF851977 TBB851955:TBB851977 TKX851955:TKX851977 TUT851955:TUT851977 UEP851955:UEP851977 UOL851955:UOL851977 UYH851955:UYH851977 VID851955:VID851977 VRZ851955:VRZ851977 WBV851955:WBV851977 WLR851955:WLR851977 WVN851955:WVN851977 C917491:C917513 JB917491:JB917513 SX917491:SX917513 ACT917491:ACT917513 AMP917491:AMP917513 AWL917491:AWL917513 BGH917491:BGH917513 BQD917491:BQD917513 BZZ917491:BZZ917513 CJV917491:CJV917513 CTR917491:CTR917513 DDN917491:DDN917513 DNJ917491:DNJ917513 DXF917491:DXF917513 EHB917491:EHB917513 EQX917491:EQX917513 FAT917491:FAT917513 FKP917491:FKP917513 FUL917491:FUL917513 GEH917491:GEH917513 GOD917491:GOD917513 GXZ917491:GXZ917513 HHV917491:HHV917513 HRR917491:HRR917513 IBN917491:IBN917513 ILJ917491:ILJ917513 IVF917491:IVF917513 JFB917491:JFB917513 JOX917491:JOX917513 JYT917491:JYT917513 KIP917491:KIP917513 KSL917491:KSL917513 LCH917491:LCH917513 LMD917491:LMD917513 LVZ917491:LVZ917513 MFV917491:MFV917513 MPR917491:MPR917513 MZN917491:MZN917513 NJJ917491:NJJ917513 NTF917491:NTF917513 ODB917491:ODB917513 OMX917491:OMX917513 OWT917491:OWT917513 PGP917491:PGP917513 PQL917491:PQL917513 QAH917491:QAH917513 QKD917491:QKD917513 QTZ917491:QTZ917513 RDV917491:RDV917513 RNR917491:RNR917513 RXN917491:RXN917513 SHJ917491:SHJ917513 SRF917491:SRF917513 TBB917491:TBB917513 TKX917491:TKX917513 TUT917491:TUT917513 UEP917491:UEP917513 UOL917491:UOL917513 UYH917491:UYH917513 VID917491:VID917513 VRZ917491:VRZ917513 WBV917491:WBV917513 WLR917491:WLR917513 WVN917491:WVN917513 C983027:C983049 JB983027:JB983049 SX983027:SX983049 ACT983027:ACT983049 AMP983027:AMP983049 AWL983027:AWL983049 BGH983027:BGH983049 BQD983027:BQD983049 BZZ983027:BZZ983049 CJV983027:CJV983049 CTR983027:CTR983049 DDN983027:DDN983049 DNJ983027:DNJ983049 DXF983027:DXF983049 EHB983027:EHB983049 EQX983027:EQX983049 FAT983027:FAT983049 FKP983027:FKP983049 FUL983027:FUL983049 GEH983027:GEH983049 GOD983027:GOD983049 GXZ983027:GXZ983049 HHV983027:HHV983049 HRR983027:HRR983049 IBN983027:IBN983049 ILJ983027:ILJ983049 IVF983027:IVF983049 JFB983027:JFB983049 JOX983027:JOX983049 JYT983027:JYT983049 KIP983027:KIP983049 KSL983027:KSL983049 LCH983027:LCH983049 LMD983027:LMD983049 LVZ983027:LVZ983049 MFV983027:MFV983049 MPR983027:MPR983049 MZN983027:MZN983049 NJJ983027:NJJ983049 NTF983027:NTF983049 ODB983027:ODB983049 OMX983027:OMX983049 OWT983027:OWT983049 PGP983027:PGP983049 PQL983027:PQL983049 QAH983027:QAH983049 QKD983027:QKD983049 QTZ983027:QTZ983049 RDV983027:RDV983049 RNR983027:RNR983049 RXN983027:RXN983049 SHJ983027:SHJ983049 SRF983027:SRF983049 TBB983027:TBB983049 TKX983027:TKX983049 TUT983027:TUT983049 UEP983027:UEP983049 UOL983027:UOL983049 UYH983027:UYH983049 VID983027:VID983049 VRZ983027:VRZ983049 WBV983027:WBV983049 WLR983027:WLR983049 WVN983027:WVN983049 N65523:N65545 JJ65523:JJ65545 TF65523:TF65545 ADB65523:ADB65545 AMX65523:AMX65545 AWT65523:AWT65545 BGP65523:BGP65545 BQL65523:BQL65545 CAH65523:CAH65545 CKD65523:CKD65545 CTZ65523:CTZ65545 DDV65523:DDV65545 DNR65523:DNR65545 DXN65523:DXN65545 EHJ65523:EHJ65545 ERF65523:ERF65545 FBB65523:FBB65545 FKX65523:FKX65545 FUT65523:FUT65545 GEP65523:GEP65545 GOL65523:GOL65545 GYH65523:GYH65545 HID65523:HID65545 HRZ65523:HRZ65545 IBV65523:IBV65545 ILR65523:ILR65545 IVN65523:IVN65545 JFJ65523:JFJ65545 JPF65523:JPF65545 JZB65523:JZB65545 KIX65523:KIX65545 KST65523:KST65545 LCP65523:LCP65545 LML65523:LML65545 LWH65523:LWH65545 MGD65523:MGD65545 MPZ65523:MPZ65545 MZV65523:MZV65545 NJR65523:NJR65545 NTN65523:NTN65545 ODJ65523:ODJ65545 ONF65523:ONF65545 OXB65523:OXB65545 PGX65523:PGX65545 PQT65523:PQT65545 QAP65523:QAP65545 QKL65523:QKL65545 QUH65523:QUH65545 RED65523:RED65545 RNZ65523:RNZ65545 RXV65523:RXV65545 SHR65523:SHR65545 SRN65523:SRN65545 TBJ65523:TBJ65545 TLF65523:TLF65545 TVB65523:TVB65545 UEX65523:UEX65545 UOT65523:UOT65545 UYP65523:UYP65545 VIL65523:VIL65545 VSH65523:VSH65545 WCD65523:WCD65545 WLZ65523:WLZ65545 WVV65523:WVV65545 N131059:N131081 JJ131059:JJ131081 TF131059:TF131081 ADB131059:ADB131081 AMX131059:AMX131081 AWT131059:AWT131081 BGP131059:BGP131081 BQL131059:BQL131081 CAH131059:CAH131081 CKD131059:CKD131081 CTZ131059:CTZ131081 DDV131059:DDV131081 DNR131059:DNR131081 DXN131059:DXN131081 EHJ131059:EHJ131081 ERF131059:ERF131081 FBB131059:FBB131081 FKX131059:FKX131081 FUT131059:FUT131081 GEP131059:GEP131081 GOL131059:GOL131081 GYH131059:GYH131081 HID131059:HID131081 HRZ131059:HRZ131081 IBV131059:IBV131081 ILR131059:ILR131081 IVN131059:IVN131081 JFJ131059:JFJ131081 JPF131059:JPF131081 JZB131059:JZB131081 KIX131059:KIX131081 KST131059:KST131081 LCP131059:LCP131081 LML131059:LML131081 LWH131059:LWH131081 MGD131059:MGD131081 MPZ131059:MPZ131081 MZV131059:MZV131081 NJR131059:NJR131081 NTN131059:NTN131081 ODJ131059:ODJ131081 ONF131059:ONF131081 OXB131059:OXB131081 PGX131059:PGX131081 PQT131059:PQT131081 QAP131059:QAP131081 QKL131059:QKL131081 QUH131059:QUH131081 RED131059:RED131081 RNZ131059:RNZ131081 RXV131059:RXV131081 SHR131059:SHR131081 SRN131059:SRN131081 TBJ131059:TBJ131081 TLF131059:TLF131081 TVB131059:TVB131081 UEX131059:UEX131081 UOT131059:UOT131081 UYP131059:UYP131081 VIL131059:VIL131081 VSH131059:VSH131081 WCD131059:WCD131081 WLZ131059:WLZ131081 WVV131059:WVV131081 N196595:N196617 JJ196595:JJ196617 TF196595:TF196617 ADB196595:ADB196617 AMX196595:AMX196617 AWT196595:AWT196617 BGP196595:BGP196617 BQL196595:BQL196617 CAH196595:CAH196617 CKD196595:CKD196617 CTZ196595:CTZ196617 DDV196595:DDV196617 DNR196595:DNR196617 DXN196595:DXN196617 EHJ196595:EHJ196617 ERF196595:ERF196617 FBB196595:FBB196617 FKX196595:FKX196617 FUT196595:FUT196617 GEP196595:GEP196617 GOL196595:GOL196617 GYH196595:GYH196617 HID196595:HID196617 HRZ196595:HRZ196617 IBV196595:IBV196617 ILR196595:ILR196617 IVN196595:IVN196617 JFJ196595:JFJ196617 JPF196595:JPF196617 JZB196595:JZB196617 KIX196595:KIX196617 KST196595:KST196617 LCP196595:LCP196617 LML196595:LML196617 LWH196595:LWH196617 MGD196595:MGD196617 MPZ196595:MPZ196617 MZV196595:MZV196617 NJR196595:NJR196617 NTN196595:NTN196617 ODJ196595:ODJ196617 ONF196595:ONF196617 OXB196595:OXB196617 PGX196595:PGX196617 PQT196595:PQT196617 QAP196595:QAP196617 QKL196595:QKL196617 QUH196595:QUH196617 RED196595:RED196617 RNZ196595:RNZ196617 RXV196595:RXV196617 SHR196595:SHR196617 SRN196595:SRN196617 TBJ196595:TBJ196617 TLF196595:TLF196617 TVB196595:TVB196617 UEX196595:UEX196617 UOT196595:UOT196617 UYP196595:UYP196617 VIL196595:VIL196617 VSH196595:VSH196617 WCD196595:WCD196617 WLZ196595:WLZ196617 WVV196595:WVV196617 N262131:N262153 JJ262131:JJ262153 TF262131:TF262153 ADB262131:ADB262153 AMX262131:AMX262153 AWT262131:AWT262153 BGP262131:BGP262153 BQL262131:BQL262153 CAH262131:CAH262153 CKD262131:CKD262153 CTZ262131:CTZ262153 DDV262131:DDV262153 DNR262131:DNR262153 DXN262131:DXN262153 EHJ262131:EHJ262153 ERF262131:ERF262153 FBB262131:FBB262153 FKX262131:FKX262153 FUT262131:FUT262153 GEP262131:GEP262153 GOL262131:GOL262153 GYH262131:GYH262153 HID262131:HID262153 HRZ262131:HRZ262153 IBV262131:IBV262153 ILR262131:ILR262153 IVN262131:IVN262153 JFJ262131:JFJ262153 JPF262131:JPF262153 JZB262131:JZB262153 KIX262131:KIX262153 KST262131:KST262153 LCP262131:LCP262153 LML262131:LML262153 LWH262131:LWH262153 MGD262131:MGD262153 MPZ262131:MPZ262153 MZV262131:MZV262153 NJR262131:NJR262153 NTN262131:NTN262153 ODJ262131:ODJ262153 ONF262131:ONF262153 OXB262131:OXB262153 PGX262131:PGX262153 PQT262131:PQT262153 QAP262131:QAP262153 QKL262131:QKL262153 QUH262131:QUH262153 RED262131:RED262153 RNZ262131:RNZ262153 RXV262131:RXV262153 SHR262131:SHR262153 SRN262131:SRN262153 TBJ262131:TBJ262153 TLF262131:TLF262153 TVB262131:TVB262153 UEX262131:UEX262153 UOT262131:UOT262153 UYP262131:UYP262153 VIL262131:VIL262153 VSH262131:VSH262153 WCD262131:WCD262153 WLZ262131:WLZ262153 WVV262131:WVV262153 N327667:N327689 JJ327667:JJ327689 TF327667:TF327689 ADB327667:ADB327689 AMX327667:AMX327689 AWT327667:AWT327689 BGP327667:BGP327689 BQL327667:BQL327689 CAH327667:CAH327689 CKD327667:CKD327689 CTZ327667:CTZ327689 DDV327667:DDV327689 DNR327667:DNR327689 DXN327667:DXN327689 EHJ327667:EHJ327689 ERF327667:ERF327689 FBB327667:FBB327689 FKX327667:FKX327689 FUT327667:FUT327689 GEP327667:GEP327689 GOL327667:GOL327689 GYH327667:GYH327689 HID327667:HID327689 HRZ327667:HRZ327689 IBV327667:IBV327689 ILR327667:ILR327689 IVN327667:IVN327689 JFJ327667:JFJ327689 JPF327667:JPF327689 JZB327667:JZB327689 KIX327667:KIX327689 KST327667:KST327689 LCP327667:LCP327689 LML327667:LML327689 LWH327667:LWH327689 MGD327667:MGD327689 MPZ327667:MPZ327689 MZV327667:MZV327689 NJR327667:NJR327689 NTN327667:NTN327689 ODJ327667:ODJ327689 ONF327667:ONF327689 OXB327667:OXB327689 PGX327667:PGX327689 PQT327667:PQT327689 QAP327667:QAP327689 QKL327667:QKL327689 QUH327667:QUH327689 RED327667:RED327689 RNZ327667:RNZ327689 RXV327667:RXV327689 SHR327667:SHR327689 SRN327667:SRN327689 TBJ327667:TBJ327689 TLF327667:TLF327689 TVB327667:TVB327689 UEX327667:UEX327689 UOT327667:UOT327689 UYP327667:UYP327689 VIL327667:VIL327689 VSH327667:VSH327689 WCD327667:WCD327689 WLZ327667:WLZ327689 WVV327667:WVV327689 N393203:N393225 JJ393203:JJ393225 TF393203:TF393225 ADB393203:ADB393225 AMX393203:AMX393225 AWT393203:AWT393225 BGP393203:BGP393225 BQL393203:BQL393225 CAH393203:CAH393225 CKD393203:CKD393225 CTZ393203:CTZ393225 DDV393203:DDV393225 DNR393203:DNR393225 DXN393203:DXN393225 EHJ393203:EHJ393225 ERF393203:ERF393225 FBB393203:FBB393225 FKX393203:FKX393225 FUT393203:FUT393225 GEP393203:GEP393225 GOL393203:GOL393225 GYH393203:GYH393225 HID393203:HID393225 HRZ393203:HRZ393225 IBV393203:IBV393225 ILR393203:ILR393225 IVN393203:IVN393225 JFJ393203:JFJ393225 JPF393203:JPF393225 JZB393203:JZB393225 KIX393203:KIX393225 KST393203:KST393225 LCP393203:LCP393225 LML393203:LML393225 LWH393203:LWH393225 MGD393203:MGD393225 MPZ393203:MPZ393225 MZV393203:MZV393225 NJR393203:NJR393225 NTN393203:NTN393225 ODJ393203:ODJ393225 ONF393203:ONF393225 OXB393203:OXB393225 PGX393203:PGX393225 PQT393203:PQT393225 QAP393203:QAP393225 QKL393203:QKL393225 QUH393203:QUH393225 RED393203:RED393225 RNZ393203:RNZ393225 RXV393203:RXV393225 SHR393203:SHR393225 SRN393203:SRN393225 TBJ393203:TBJ393225 TLF393203:TLF393225 TVB393203:TVB393225 UEX393203:UEX393225 UOT393203:UOT393225 UYP393203:UYP393225 VIL393203:VIL393225 VSH393203:VSH393225 WCD393203:WCD393225 WLZ393203:WLZ393225 WVV393203:WVV393225 N458739:N458761 JJ458739:JJ458761 TF458739:TF458761 ADB458739:ADB458761 AMX458739:AMX458761 AWT458739:AWT458761 BGP458739:BGP458761 BQL458739:BQL458761 CAH458739:CAH458761 CKD458739:CKD458761 CTZ458739:CTZ458761 DDV458739:DDV458761 DNR458739:DNR458761 DXN458739:DXN458761 EHJ458739:EHJ458761 ERF458739:ERF458761 FBB458739:FBB458761 FKX458739:FKX458761 FUT458739:FUT458761 GEP458739:GEP458761 GOL458739:GOL458761 GYH458739:GYH458761 HID458739:HID458761 HRZ458739:HRZ458761 IBV458739:IBV458761 ILR458739:ILR458761 IVN458739:IVN458761 JFJ458739:JFJ458761 JPF458739:JPF458761 JZB458739:JZB458761 KIX458739:KIX458761 KST458739:KST458761 LCP458739:LCP458761 LML458739:LML458761 LWH458739:LWH458761 MGD458739:MGD458761 MPZ458739:MPZ458761 MZV458739:MZV458761 NJR458739:NJR458761 NTN458739:NTN458761 ODJ458739:ODJ458761 ONF458739:ONF458761 OXB458739:OXB458761 PGX458739:PGX458761 PQT458739:PQT458761 QAP458739:QAP458761 QKL458739:QKL458761 QUH458739:QUH458761 RED458739:RED458761 RNZ458739:RNZ458761 RXV458739:RXV458761 SHR458739:SHR458761 SRN458739:SRN458761 TBJ458739:TBJ458761 TLF458739:TLF458761 TVB458739:TVB458761 UEX458739:UEX458761 UOT458739:UOT458761 UYP458739:UYP458761 VIL458739:VIL458761 VSH458739:VSH458761 WCD458739:WCD458761 WLZ458739:WLZ458761 WVV458739:WVV458761 N524275:N524297 JJ524275:JJ524297 TF524275:TF524297 ADB524275:ADB524297 AMX524275:AMX524297 AWT524275:AWT524297 BGP524275:BGP524297 BQL524275:BQL524297 CAH524275:CAH524297 CKD524275:CKD524297 CTZ524275:CTZ524297 DDV524275:DDV524297 DNR524275:DNR524297 DXN524275:DXN524297 EHJ524275:EHJ524297 ERF524275:ERF524297 FBB524275:FBB524297 FKX524275:FKX524297 FUT524275:FUT524297 GEP524275:GEP524297 GOL524275:GOL524297 GYH524275:GYH524297 HID524275:HID524297 HRZ524275:HRZ524297 IBV524275:IBV524297 ILR524275:ILR524297 IVN524275:IVN524297 JFJ524275:JFJ524297 JPF524275:JPF524297 JZB524275:JZB524297 KIX524275:KIX524297 KST524275:KST524297 LCP524275:LCP524297 LML524275:LML524297 LWH524275:LWH524297 MGD524275:MGD524297 MPZ524275:MPZ524297 MZV524275:MZV524297 NJR524275:NJR524297 NTN524275:NTN524297 ODJ524275:ODJ524297 ONF524275:ONF524297 OXB524275:OXB524297 PGX524275:PGX524297 PQT524275:PQT524297 QAP524275:QAP524297 QKL524275:QKL524297 QUH524275:QUH524297 RED524275:RED524297 RNZ524275:RNZ524297 RXV524275:RXV524297 SHR524275:SHR524297 SRN524275:SRN524297 TBJ524275:TBJ524297 TLF524275:TLF524297 TVB524275:TVB524297 UEX524275:UEX524297 UOT524275:UOT524297 UYP524275:UYP524297 VIL524275:VIL524297 VSH524275:VSH524297 WCD524275:WCD524297 WLZ524275:WLZ524297 WVV524275:WVV524297 N589811:N589833 JJ589811:JJ589833 TF589811:TF589833 ADB589811:ADB589833 AMX589811:AMX589833 AWT589811:AWT589833 BGP589811:BGP589833 BQL589811:BQL589833 CAH589811:CAH589833 CKD589811:CKD589833 CTZ589811:CTZ589833 DDV589811:DDV589833 DNR589811:DNR589833 DXN589811:DXN589833 EHJ589811:EHJ589833 ERF589811:ERF589833 FBB589811:FBB589833 FKX589811:FKX589833 FUT589811:FUT589833 GEP589811:GEP589833 GOL589811:GOL589833 GYH589811:GYH589833 HID589811:HID589833 HRZ589811:HRZ589833 IBV589811:IBV589833 ILR589811:ILR589833 IVN589811:IVN589833 JFJ589811:JFJ589833 JPF589811:JPF589833 JZB589811:JZB589833 KIX589811:KIX589833 KST589811:KST589833 LCP589811:LCP589833 LML589811:LML589833 LWH589811:LWH589833 MGD589811:MGD589833 MPZ589811:MPZ589833 MZV589811:MZV589833 NJR589811:NJR589833 NTN589811:NTN589833 ODJ589811:ODJ589833 ONF589811:ONF589833 OXB589811:OXB589833 PGX589811:PGX589833 PQT589811:PQT589833 QAP589811:QAP589833 QKL589811:QKL589833 QUH589811:QUH589833 RED589811:RED589833 RNZ589811:RNZ589833 RXV589811:RXV589833 SHR589811:SHR589833 SRN589811:SRN589833 TBJ589811:TBJ589833 TLF589811:TLF589833 TVB589811:TVB589833 UEX589811:UEX589833 UOT589811:UOT589833 UYP589811:UYP589833 VIL589811:VIL589833 VSH589811:VSH589833 WCD589811:WCD589833 WLZ589811:WLZ589833 WVV589811:WVV589833 N655347:N655369 JJ655347:JJ655369 TF655347:TF655369 ADB655347:ADB655369 AMX655347:AMX655369 AWT655347:AWT655369 BGP655347:BGP655369 BQL655347:BQL655369 CAH655347:CAH655369 CKD655347:CKD655369 CTZ655347:CTZ655369 DDV655347:DDV655369 DNR655347:DNR655369 DXN655347:DXN655369 EHJ655347:EHJ655369 ERF655347:ERF655369 FBB655347:FBB655369 FKX655347:FKX655369 FUT655347:FUT655369 GEP655347:GEP655369 GOL655347:GOL655369 GYH655347:GYH655369 HID655347:HID655369 HRZ655347:HRZ655369 IBV655347:IBV655369 ILR655347:ILR655369 IVN655347:IVN655369 JFJ655347:JFJ655369 JPF655347:JPF655369 JZB655347:JZB655369 KIX655347:KIX655369 KST655347:KST655369 LCP655347:LCP655369 LML655347:LML655369 LWH655347:LWH655369 MGD655347:MGD655369 MPZ655347:MPZ655369 MZV655347:MZV655369 NJR655347:NJR655369 NTN655347:NTN655369 ODJ655347:ODJ655369 ONF655347:ONF655369 OXB655347:OXB655369 PGX655347:PGX655369 PQT655347:PQT655369 QAP655347:QAP655369 QKL655347:QKL655369 QUH655347:QUH655369 RED655347:RED655369 RNZ655347:RNZ655369 RXV655347:RXV655369 SHR655347:SHR655369 SRN655347:SRN655369 TBJ655347:TBJ655369 TLF655347:TLF655369 TVB655347:TVB655369 UEX655347:UEX655369 UOT655347:UOT655369 UYP655347:UYP655369 VIL655347:VIL655369 VSH655347:VSH655369 WCD655347:WCD655369 WLZ655347:WLZ655369 WVV655347:WVV655369 N720883:N720905 JJ720883:JJ720905 TF720883:TF720905 ADB720883:ADB720905 AMX720883:AMX720905 AWT720883:AWT720905 BGP720883:BGP720905 BQL720883:BQL720905 CAH720883:CAH720905 CKD720883:CKD720905 CTZ720883:CTZ720905 DDV720883:DDV720905 DNR720883:DNR720905 DXN720883:DXN720905 EHJ720883:EHJ720905 ERF720883:ERF720905 FBB720883:FBB720905 FKX720883:FKX720905 FUT720883:FUT720905 GEP720883:GEP720905 GOL720883:GOL720905 GYH720883:GYH720905 HID720883:HID720905 HRZ720883:HRZ720905 IBV720883:IBV720905 ILR720883:ILR720905 IVN720883:IVN720905 JFJ720883:JFJ720905 JPF720883:JPF720905 JZB720883:JZB720905 KIX720883:KIX720905 KST720883:KST720905 LCP720883:LCP720905 LML720883:LML720905 LWH720883:LWH720905 MGD720883:MGD720905 MPZ720883:MPZ720905 MZV720883:MZV720905 NJR720883:NJR720905 NTN720883:NTN720905 ODJ720883:ODJ720905 ONF720883:ONF720905 OXB720883:OXB720905 PGX720883:PGX720905 PQT720883:PQT720905 QAP720883:QAP720905 QKL720883:QKL720905 QUH720883:QUH720905 RED720883:RED720905 RNZ720883:RNZ720905 RXV720883:RXV720905 SHR720883:SHR720905 SRN720883:SRN720905 TBJ720883:TBJ720905 TLF720883:TLF720905 TVB720883:TVB720905 UEX720883:UEX720905 UOT720883:UOT720905 UYP720883:UYP720905 VIL720883:VIL720905 VSH720883:VSH720905 WCD720883:WCD720905 WLZ720883:WLZ720905 WVV720883:WVV720905 N786419:N786441 JJ786419:JJ786441 TF786419:TF786441 ADB786419:ADB786441 AMX786419:AMX786441 AWT786419:AWT786441 BGP786419:BGP786441 BQL786419:BQL786441 CAH786419:CAH786441 CKD786419:CKD786441 CTZ786419:CTZ786441 DDV786419:DDV786441 DNR786419:DNR786441 DXN786419:DXN786441 EHJ786419:EHJ786441 ERF786419:ERF786441 FBB786419:FBB786441 FKX786419:FKX786441 FUT786419:FUT786441 GEP786419:GEP786441 GOL786419:GOL786441 GYH786419:GYH786441 HID786419:HID786441 HRZ786419:HRZ786441 IBV786419:IBV786441 ILR786419:ILR786441 IVN786419:IVN786441 JFJ786419:JFJ786441 JPF786419:JPF786441 JZB786419:JZB786441 KIX786419:KIX786441 KST786419:KST786441 LCP786419:LCP786441 LML786419:LML786441 LWH786419:LWH786441 MGD786419:MGD786441 MPZ786419:MPZ786441 MZV786419:MZV786441 NJR786419:NJR786441 NTN786419:NTN786441 ODJ786419:ODJ786441 ONF786419:ONF786441 OXB786419:OXB786441 PGX786419:PGX786441 PQT786419:PQT786441 QAP786419:QAP786441 QKL786419:QKL786441 QUH786419:QUH786441 RED786419:RED786441 RNZ786419:RNZ786441 RXV786419:RXV786441 SHR786419:SHR786441 SRN786419:SRN786441 TBJ786419:TBJ786441 TLF786419:TLF786441 TVB786419:TVB786441 UEX786419:UEX786441 UOT786419:UOT786441 UYP786419:UYP786441 VIL786419:VIL786441 VSH786419:VSH786441 WCD786419:WCD786441 WLZ786419:WLZ786441 WVV786419:WVV786441 N851955:N851977 JJ851955:JJ851977 TF851955:TF851977 ADB851955:ADB851977 AMX851955:AMX851977 AWT851955:AWT851977 BGP851955:BGP851977 BQL851955:BQL851977 CAH851955:CAH851977 CKD851955:CKD851977 CTZ851955:CTZ851977 DDV851955:DDV851977 DNR851955:DNR851977 DXN851955:DXN851977 EHJ851955:EHJ851977 ERF851955:ERF851977 FBB851955:FBB851977 FKX851955:FKX851977 FUT851955:FUT851977 GEP851955:GEP851977 GOL851955:GOL851977 GYH851955:GYH851977 HID851955:HID851977 HRZ851955:HRZ851977 IBV851955:IBV851977 ILR851955:ILR851977 IVN851955:IVN851977 JFJ851955:JFJ851977 JPF851955:JPF851977 JZB851955:JZB851977 KIX851955:KIX851977 KST851955:KST851977 LCP851955:LCP851977 LML851955:LML851977 LWH851955:LWH851977 MGD851955:MGD851977 MPZ851955:MPZ851977 MZV851955:MZV851977 NJR851955:NJR851977 NTN851955:NTN851977 ODJ851955:ODJ851977 ONF851955:ONF851977 OXB851955:OXB851977 PGX851955:PGX851977 PQT851955:PQT851977 QAP851955:QAP851977 QKL851955:QKL851977 QUH851955:QUH851977 RED851955:RED851977 RNZ851955:RNZ851977 RXV851955:RXV851977 SHR851955:SHR851977 SRN851955:SRN851977 TBJ851955:TBJ851977 TLF851955:TLF851977 TVB851955:TVB851977 UEX851955:UEX851977 UOT851955:UOT851977 UYP851955:UYP851977 VIL851955:VIL851977 VSH851955:VSH851977 WCD851955:WCD851977 WLZ851955:WLZ851977 WVV851955:WVV851977 N917491:N917513 JJ917491:JJ917513 TF917491:TF917513 ADB917491:ADB917513 AMX917491:AMX917513 AWT917491:AWT917513 BGP917491:BGP917513 BQL917491:BQL917513 CAH917491:CAH917513 CKD917491:CKD917513 CTZ917491:CTZ917513 DDV917491:DDV917513 DNR917491:DNR917513 DXN917491:DXN917513 EHJ917491:EHJ917513 ERF917491:ERF917513 FBB917491:FBB917513 FKX917491:FKX917513 FUT917491:FUT917513 GEP917491:GEP917513 GOL917491:GOL917513 GYH917491:GYH917513 HID917491:HID917513 HRZ917491:HRZ917513 IBV917491:IBV917513 ILR917491:ILR917513 IVN917491:IVN917513 JFJ917491:JFJ917513 JPF917491:JPF917513 JZB917491:JZB917513 KIX917491:KIX917513 KST917491:KST917513 LCP917491:LCP917513 LML917491:LML917513 LWH917491:LWH917513 MGD917491:MGD917513 MPZ917491:MPZ917513 MZV917491:MZV917513 NJR917491:NJR917513 NTN917491:NTN917513 ODJ917491:ODJ917513 ONF917491:ONF917513 OXB917491:OXB917513 PGX917491:PGX917513 PQT917491:PQT917513 QAP917491:QAP917513 QKL917491:QKL917513 QUH917491:QUH917513 RED917491:RED917513 RNZ917491:RNZ917513 RXV917491:RXV917513 SHR917491:SHR917513 SRN917491:SRN917513 TBJ917491:TBJ917513 TLF917491:TLF917513 TVB917491:TVB917513 UEX917491:UEX917513 UOT917491:UOT917513 UYP917491:UYP917513 VIL917491:VIL917513 VSH917491:VSH917513 WCD917491:WCD917513 WLZ917491:WLZ917513 WVV917491:WVV917513 N983027:N983049 JJ983027:JJ983049 TF983027:TF983049 ADB983027:ADB983049 AMX983027:AMX983049 AWT983027:AWT983049 BGP983027:BGP983049 BQL983027:BQL983049 CAH983027:CAH983049 CKD983027:CKD983049 CTZ983027:CTZ983049 DDV983027:DDV983049 DNR983027:DNR983049 DXN983027:DXN983049 EHJ983027:EHJ983049 ERF983027:ERF983049 FBB983027:FBB983049 FKX983027:FKX983049 FUT983027:FUT983049 GEP983027:GEP983049 GOL983027:GOL983049 GYH983027:GYH983049 HID983027:HID983049 HRZ983027:HRZ983049 IBV983027:IBV983049 ILR983027:ILR983049 IVN983027:IVN983049 JFJ983027:JFJ983049 JPF983027:JPF983049 JZB983027:JZB983049 KIX983027:KIX983049 KST983027:KST983049 LCP983027:LCP983049 LML983027:LML983049 LWH983027:LWH983049 MGD983027:MGD983049 MPZ983027:MPZ983049 MZV983027:MZV983049 NJR983027:NJR983049 NTN983027:NTN983049 ODJ983027:ODJ983049 ONF983027:ONF983049 OXB983027:OXB983049 PGX983027:PGX983049 PQT983027:PQT983049 QAP983027:QAP983049 QKL983027:QKL983049 QUH983027:QUH983049 RED983027:RED983049 RNZ983027:RNZ983049 RXV983027:RXV983049 SHR983027:SHR983049 SRN983027:SRN983049 TBJ983027:TBJ983049 TLF983027:TLF983049 TVB983027:TVB983049 UEX983027:UEX983049 UOT983027:UOT983049 UYP983027:UYP983049 VIL983027:VIL983049 VSH983027:VSH983049 WCD983027:WCD983049 WLZ983027:WLZ983049 F65523:J65545 F131059:J131081 F196595:J196617 F262131:J262153 F327667:J327689 F393203:J393225 F458739:J458761 F524275:J524297 F589811:J589833 F655347:J655369 F720883:J720905 F786419:J786441 F851955:J851977 F917491:J917513 F983027:J983049" xr:uid="{4570020C-069C-4226-9EE1-078DAB42C84A}">
      <formula1>0</formula1>
    </dataValidation>
    <dataValidation type="decimal" operator="greaterThanOrEqual" allowBlank="1" showInputMessage="1" showErrorMessage="1" errorTitle="Negatief bedrag" error="Gelieve een positieve waarde in te geven" sqref="C17:C40 C50:C73" xr:uid="{C71CA08F-53D2-477D-A148-606AB1840A6C}">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B13F9955-C5D1-40CE-A80B-4E78DDC79F1A}">
            <xm:f>TITELBLAD!$F$16="ex-ante"</xm:f>
            <x14:dxf>
              <fill>
                <patternFill patternType="lightUp"/>
              </fill>
            </x14:dxf>
          </x14:cfRule>
          <xm:sqref>A47:J76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532E-8DC4-4063-A997-64A40902B99C}">
  <dimension ref="A1:N76"/>
  <sheetViews>
    <sheetView topLeftCell="B1" zoomScale="80" zoomScaleNormal="80" workbookViewId="0">
      <selection activeCell="H11" sqref="H11"/>
    </sheetView>
  </sheetViews>
  <sheetFormatPr defaultColWidth="9.140625" defaultRowHeight="12.75" x14ac:dyDescent="0.2"/>
  <cols>
    <col min="1" max="1" width="47.5703125" style="166" customWidth="1"/>
    <col min="2" max="2" width="29.5703125" style="166" customWidth="1"/>
    <col min="3" max="7" width="31" style="166" customWidth="1"/>
    <col min="8" max="9" width="31" style="956" customWidth="1"/>
    <col min="10" max="17" width="31" style="166" customWidth="1"/>
    <col min="18" max="18" width="8.85546875" style="166" customWidth="1"/>
    <col min="19" max="45" width="9.140625" style="166" customWidth="1"/>
    <col min="46" max="259" width="9.140625" style="166"/>
    <col min="260" max="260" width="47.5703125" style="166" customWidth="1"/>
    <col min="261" max="261" width="29.5703125" style="166" customWidth="1"/>
    <col min="262" max="273" width="31" style="166" customWidth="1"/>
    <col min="274" max="274" width="8.85546875" style="166" customWidth="1"/>
    <col min="275" max="515" width="9.140625" style="166"/>
    <col min="516" max="516" width="47.5703125" style="166" customWidth="1"/>
    <col min="517" max="517" width="29.5703125" style="166" customWidth="1"/>
    <col min="518" max="529" width="31" style="166" customWidth="1"/>
    <col min="530" max="530" width="8.85546875" style="166" customWidth="1"/>
    <col min="531" max="771" width="9.140625" style="166"/>
    <col min="772" max="772" width="47.5703125" style="166" customWidth="1"/>
    <col min="773" max="773" width="29.5703125" style="166" customWidth="1"/>
    <col min="774" max="785" width="31" style="166" customWidth="1"/>
    <col min="786" max="786" width="8.85546875" style="166" customWidth="1"/>
    <col min="787" max="1027" width="9.140625" style="166"/>
    <col min="1028" max="1028" width="47.5703125" style="166" customWidth="1"/>
    <col min="1029" max="1029" width="29.5703125" style="166" customWidth="1"/>
    <col min="1030" max="1041" width="31" style="166" customWidth="1"/>
    <col min="1042" max="1042" width="8.85546875" style="166" customWidth="1"/>
    <col min="1043" max="1283" width="9.140625" style="166"/>
    <col min="1284" max="1284" width="47.5703125" style="166" customWidth="1"/>
    <col min="1285" max="1285" width="29.5703125" style="166" customWidth="1"/>
    <col min="1286" max="1297" width="31" style="166" customWidth="1"/>
    <col min="1298" max="1298" width="8.85546875" style="166" customWidth="1"/>
    <col min="1299" max="1539" width="9.140625" style="166"/>
    <col min="1540" max="1540" width="47.5703125" style="166" customWidth="1"/>
    <col min="1541" max="1541" width="29.5703125" style="166" customWidth="1"/>
    <col min="1542" max="1553" width="31" style="166" customWidth="1"/>
    <col min="1554" max="1554" width="8.85546875" style="166" customWidth="1"/>
    <col min="1555" max="1795" width="9.140625" style="166"/>
    <col min="1796" max="1796" width="47.5703125" style="166" customWidth="1"/>
    <col min="1797" max="1797" width="29.5703125" style="166" customWidth="1"/>
    <col min="1798" max="1809" width="31" style="166" customWidth="1"/>
    <col min="1810" max="1810" width="8.85546875" style="166" customWidth="1"/>
    <col min="1811" max="2051" width="9.140625" style="166"/>
    <col min="2052" max="2052" width="47.5703125" style="166" customWidth="1"/>
    <col min="2053" max="2053" width="29.5703125" style="166" customWidth="1"/>
    <col min="2054" max="2065" width="31" style="166" customWidth="1"/>
    <col min="2066" max="2066" width="8.85546875" style="166" customWidth="1"/>
    <col min="2067" max="2307" width="9.140625" style="166"/>
    <col min="2308" max="2308" width="47.5703125" style="166" customWidth="1"/>
    <col min="2309" max="2309" width="29.5703125" style="166" customWidth="1"/>
    <col min="2310" max="2321" width="31" style="166" customWidth="1"/>
    <col min="2322" max="2322" width="8.85546875" style="166" customWidth="1"/>
    <col min="2323" max="2563" width="9.140625" style="166"/>
    <col min="2564" max="2564" width="47.5703125" style="166" customWidth="1"/>
    <col min="2565" max="2565" width="29.5703125" style="166" customWidth="1"/>
    <col min="2566" max="2577" width="31" style="166" customWidth="1"/>
    <col min="2578" max="2578" width="8.85546875" style="166" customWidth="1"/>
    <col min="2579" max="2819" width="9.140625" style="166"/>
    <col min="2820" max="2820" width="47.5703125" style="166" customWidth="1"/>
    <col min="2821" max="2821" width="29.5703125" style="166" customWidth="1"/>
    <col min="2822" max="2833" width="31" style="166" customWidth="1"/>
    <col min="2834" max="2834" width="8.85546875" style="166" customWidth="1"/>
    <col min="2835" max="3075" width="9.140625" style="166"/>
    <col min="3076" max="3076" width="47.5703125" style="166" customWidth="1"/>
    <col min="3077" max="3077" width="29.5703125" style="166" customWidth="1"/>
    <col min="3078" max="3089" width="31" style="166" customWidth="1"/>
    <col min="3090" max="3090" width="8.85546875" style="166" customWidth="1"/>
    <col min="3091" max="3331" width="9.140625" style="166"/>
    <col min="3332" max="3332" width="47.5703125" style="166" customWidth="1"/>
    <col min="3333" max="3333" width="29.5703125" style="166" customWidth="1"/>
    <col min="3334" max="3345" width="31" style="166" customWidth="1"/>
    <col min="3346" max="3346" width="8.85546875" style="166" customWidth="1"/>
    <col min="3347" max="3587" width="9.140625" style="166"/>
    <col min="3588" max="3588" width="47.5703125" style="166" customWidth="1"/>
    <col min="3589" max="3589" width="29.5703125" style="166" customWidth="1"/>
    <col min="3590" max="3601" width="31" style="166" customWidth="1"/>
    <col min="3602" max="3602" width="8.85546875" style="166" customWidth="1"/>
    <col min="3603" max="3843" width="9.140625" style="166"/>
    <col min="3844" max="3844" width="47.5703125" style="166" customWidth="1"/>
    <col min="3845" max="3845" width="29.5703125" style="166" customWidth="1"/>
    <col min="3846" max="3857" width="31" style="166" customWidth="1"/>
    <col min="3858" max="3858" width="8.85546875" style="166" customWidth="1"/>
    <col min="3859" max="4099" width="9.140625" style="166"/>
    <col min="4100" max="4100" width="47.5703125" style="166" customWidth="1"/>
    <col min="4101" max="4101" width="29.5703125" style="166" customWidth="1"/>
    <col min="4102" max="4113" width="31" style="166" customWidth="1"/>
    <col min="4114" max="4114" width="8.85546875" style="166" customWidth="1"/>
    <col min="4115" max="4355" width="9.140625" style="166"/>
    <col min="4356" max="4356" width="47.5703125" style="166" customWidth="1"/>
    <col min="4357" max="4357" width="29.5703125" style="166" customWidth="1"/>
    <col min="4358" max="4369" width="31" style="166" customWidth="1"/>
    <col min="4370" max="4370" width="8.85546875" style="166" customWidth="1"/>
    <col min="4371" max="4611" width="9.140625" style="166"/>
    <col min="4612" max="4612" width="47.5703125" style="166" customWidth="1"/>
    <col min="4613" max="4613" width="29.5703125" style="166" customWidth="1"/>
    <col min="4614" max="4625" width="31" style="166" customWidth="1"/>
    <col min="4626" max="4626" width="8.85546875" style="166" customWidth="1"/>
    <col min="4627" max="4867" width="9.140625" style="166"/>
    <col min="4868" max="4868" width="47.5703125" style="166" customWidth="1"/>
    <col min="4869" max="4869" width="29.5703125" style="166" customWidth="1"/>
    <col min="4870" max="4881" width="31" style="166" customWidth="1"/>
    <col min="4882" max="4882" width="8.85546875" style="166" customWidth="1"/>
    <col min="4883" max="5123" width="9.140625" style="166"/>
    <col min="5124" max="5124" width="47.5703125" style="166" customWidth="1"/>
    <col min="5125" max="5125" width="29.5703125" style="166" customWidth="1"/>
    <col min="5126" max="5137" width="31" style="166" customWidth="1"/>
    <col min="5138" max="5138" width="8.85546875" style="166" customWidth="1"/>
    <col min="5139" max="5379" width="9.140625" style="166"/>
    <col min="5380" max="5380" width="47.5703125" style="166" customWidth="1"/>
    <col min="5381" max="5381" width="29.5703125" style="166" customWidth="1"/>
    <col min="5382" max="5393" width="31" style="166" customWidth="1"/>
    <col min="5394" max="5394" width="8.85546875" style="166" customWidth="1"/>
    <col min="5395" max="5635" width="9.140625" style="166"/>
    <col min="5636" max="5636" width="47.5703125" style="166" customWidth="1"/>
    <col min="5637" max="5637" width="29.5703125" style="166" customWidth="1"/>
    <col min="5638" max="5649" width="31" style="166" customWidth="1"/>
    <col min="5650" max="5650" width="8.85546875" style="166" customWidth="1"/>
    <col min="5651" max="5891" width="9.140625" style="166"/>
    <col min="5892" max="5892" width="47.5703125" style="166" customWidth="1"/>
    <col min="5893" max="5893" width="29.5703125" style="166" customWidth="1"/>
    <col min="5894" max="5905" width="31" style="166" customWidth="1"/>
    <col min="5906" max="5906" width="8.85546875" style="166" customWidth="1"/>
    <col min="5907" max="6147" width="9.140625" style="166"/>
    <col min="6148" max="6148" width="47.5703125" style="166" customWidth="1"/>
    <col min="6149" max="6149" width="29.5703125" style="166" customWidth="1"/>
    <col min="6150" max="6161" width="31" style="166" customWidth="1"/>
    <col min="6162" max="6162" width="8.85546875" style="166" customWidth="1"/>
    <col min="6163" max="6403" width="9.140625" style="166"/>
    <col min="6404" max="6404" width="47.5703125" style="166" customWidth="1"/>
    <col min="6405" max="6405" width="29.5703125" style="166" customWidth="1"/>
    <col min="6406" max="6417" width="31" style="166" customWidth="1"/>
    <col min="6418" max="6418" width="8.85546875" style="166" customWidth="1"/>
    <col min="6419" max="6659" width="9.140625" style="166"/>
    <col min="6660" max="6660" width="47.5703125" style="166" customWidth="1"/>
    <col min="6661" max="6661" width="29.5703125" style="166" customWidth="1"/>
    <col min="6662" max="6673" width="31" style="166" customWidth="1"/>
    <col min="6674" max="6674" width="8.85546875" style="166" customWidth="1"/>
    <col min="6675" max="6915" width="9.140625" style="166"/>
    <col min="6916" max="6916" width="47.5703125" style="166" customWidth="1"/>
    <col min="6917" max="6917" width="29.5703125" style="166" customWidth="1"/>
    <col min="6918" max="6929" width="31" style="166" customWidth="1"/>
    <col min="6930" max="6930" width="8.85546875" style="166" customWidth="1"/>
    <col min="6931" max="7171" width="9.140625" style="166"/>
    <col min="7172" max="7172" width="47.5703125" style="166" customWidth="1"/>
    <col min="7173" max="7173" width="29.5703125" style="166" customWidth="1"/>
    <col min="7174" max="7185" width="31" style="166" customWidth="1"/>
    <col min="7186" max="7186" width="8.85546875" style="166" customWidth="1"/>
    <col min="7187" max="7427" width="9.140625" style="166"/>
    <col min="7428" max="7428" width="47.5703125" style="166" customWidth="1"/>
    <col min="7429" max="7429" width="29.5703125" style="166" customWidth="1"/>
    <col min="7430" max="7441" width="31" style="166" customWidth="1"/>
    <col min="7442" max="7442" width="8.85546875" style="166" customWidth="1"/>
    <col min="7443" max="7683" width="9.140625" style="166"/>
    <col min="7684" max="7684" width="47.5703125" style="166" customWidth="1"/>
    <col min="7685" max="7685" width="29.5703125" style="166" customWidth="1"/>
    <col min="7686" max="7697" width="31" style="166" customWidth="1"/>
    <col min="7698" max="7698" width="8.85546875" style="166" customWidth="1"/>
    <col min="7699" max="7939" width="9.140625" style="166"/>
    <col min="7940" max="7940" width="47.5703125" style="166" customWidth="1"/>
    <col min="7941" max="7941" width="29.5703125" style="166" customWidth="1"/>
    <col min="7942" max="7953" width="31" style="166" customWidth="1"/>
    <col min="7954" max="7954" width="8.85546875" style="166" customWidth="1"/>
    <col min="7955" max="8195" width="9.140625" style="166"/>
    <col min="8196" max="8196" width="47.5703125" style="166" customWidth="1"/>
    <col min="8197" max="8197" width="29.5703125" style="166" customWidth="1"/>
    <col min="8198" max="8209" width="31" style="166" customWidth="1"/>
    <col min="8210" max="8210" width="8.85546875" style="166" customWidth="1"/>
    <col min="8211" max="8451" width="9.140625" style="166"/>
    <col min="8452" max="8452" width="47.5703125" style="166" customWidth="1"/>
    <col min="8453" max="8453" width="29.5703125" style="166" customWidth="1"/>
    <col min="8454" max="8465" width="31" style="166" customWidth="1"/>
    <col min="8466" max="8466" width="8.85546875" style="166" customWidth="1"/>
    <col min="8467" max="8707" width="9.140625" style="166"/>
    <col min="8708" max="8708" width="47.5703125" style="166" customWidth="1"/>
    <col min="8709" max="8709" width="29.5703125" style="166" customWidth="1"/>
    <col min="8710" max="8721" width="31" style="166" customWidth="1"/>
    <col min="8722" max="8722" width="8.85546875" style="166" customWidth="1"/>
    <col min="8723" max="8963" width="9.140625" style="166"/>
    <col min="8964" max="8964" width="47.5703125" style="166" customWidth="1"/>
    <col min="8965" max="8965" width="29.5703125" style="166" customWidth="1"/>
    <col min="8966" max="8977" width="31" style="166" customWidth="1"/>
    <col min="8978" max="8978" width="8.85546875" style="166" customWidth="1"/>
    <col min="8979" max="9219" width="9.140625" style="166"/>
    <col min="9220" max="9220" width="47.5703125" style="166" customWidth="1"/>
    <col min="9221" max="9221" width="29.5703125" style="166" customWidth="1"/>
    <col min="9222" max="9233" width="31" style="166" customWidth="1"/>
    <col min="9234" max="9234" width="8.85546875" style="166" customWidth="1"/>
    <col min="9235" max="9475" width="9.140625" style="166"/>
    <col min="9476" max="9476" width="47.5703125" style="166" customWidth="1"/>
    <col min="9477" max="9477" width="29.5703125" style="166" customWidth="1"/>
    <col min="9478" max="9489" width="31" style="166" customWidth="1"/>
    <col min="9490" max="9490" width="8.85546875" style="166" customWidth="1"/>
    <col min="9491" max="9731" width="9.140625" style="166"/>
    <col min="9732" max="9732" width="47.5703125" style="166" customWidth="1"/>
    <col min="9733" max="9733" width="29.5703125" style="166" customWidth="1"/>
    <col min="9734" max="9745" width="31" style="166" customWidth="1"/>
    <col min="9746" max="9746" width="8.85546875" style="166" customWidth="1"/>
    <col min="9747" max="9987" width="9.140625" style="166"/>
    <col min="9988" max="9988" width="47.5703125" style="166" customWidth="1"/>
    <col min="9989" max="9989" width="29.5703125" style="166" customWidth="1"/>
    <col min="9990" max="10001" width="31" style="166" customWidth="1"/>
    <col min="10002" max="10002" width="8.85546875" style="166" customWidth="1"/>
    <col min="10003" max="10243" width="9.140625" style="166"/>
    <col min="10244" max="10244" width="47.5703125" style="166" customWidth="1"/>
    <col min="10245" max="10245" width="29.5703125" style="166" customWidth="1"/>
    <col min="10246" max="10257" width="31" style="166" customWidth="1"/>
    <col min="10258" max="10258" width="8.85546875" style="166" customWidth="1"/>
    <col min="10259" max="10499" width="9.140625" style="166"/>
    <col min="10500" max="10500" width="47.5703125" style="166" customWidth="1"/>
    <col min="10501" max="10501" width="29.5703125" style="166" customWidth="1"/>
    <col min="10502" max="10513" width="31" style="166" customWidth="1"/>
    <col min="10514" max="10514" width="8.85546875" style="166" customWidth="1"/>
    <col min="10515" max="10755" width="9.140625" style="166"/>
    <col min="10756" max="10756" width="47.5703125" style="166" customWidth="1"/>
    <col min="10757" max="10757" width="29.5703125" style="166" customWidth="1"/>
    <col min="10758" max="10769" width="31" style="166" customWidth="1"/>
    <col min="10770" max="10770" width="8.85546875" style="166" customWidth="1"/>
    <col min="10771" max="11011" width="9.140625" style="166"/>
    <col min="11012" max="11012" width="47.5703125" style="166" customWidth="1"/>
    <col min="11013" max="11013" width="29.5703125" style="166" customWidth="1"/>
    <col min="11014" max="11025" width="31" style="166" customWidth="1"/>
    <col min="11026" max="11026" width="8.85546875" style="166" customWidth="1"/>
    <col min="11027" max="11267" width="9.140625" style="166"/>
    <col min="11268" max="11268" width="47.5703125" style="166" customWidth="1"/>
    <col min="11269" max="11269" width="29.5703125" style="166" customWidth="1"/>
    <col min="11270" max="11281" width="31" style="166" customWidth="1"/>
    <col min="11282" max="11282" width="8.85546875" style="166" customWidth="1"/>
    <col min="11283" max="11523" width="9.140625" style="166"/>
    <col min="11524" max="11524" width="47.5703125" style="166" customWidth="1"/>
    <col min="11525" max="11525" width="29.5703125" style="166" customWidth="1"/>
    <col min="11526" max="11537" width="31" style="166" customWidth="1"/>
    <col min="11538" max="11538" width="8.85546875" style="166" customWidth="1"/>
    <col min="11539" max="11779" width="9.140625" style="166"/>
    <col min="11780" max="11780" width="47.5703125" style="166" customWidth="1"/>
    <col min="11781" max="11781" width="29.5703125" style="166" customWidth="1"/>
    <col min="11782" max="11793" width="31" style="166" customWidth="1"/>
    <col min="11794" max="11794" width="8.85546875" style="166" customWidth="1"/>
    <col min="11795" max="12035" width="9.140625" style="166"/>
    <col min="12036" max="12036" width="47.5703125" style="166" customWidth="1"/>
    <col min="12037" max="12037" width="29.5703125" style="166" customWidth="1"/>
    <col min="12038" max="12049" width="31" style="166" customWidth="1"/>
    <col min="12050" max="12050" width="8.85546875" style="166" customWidth="1"/>
    <col min="12051" max="12291" width="9.140625" style="166"/>
    <col min="12292" max="12292" width="47.5703125" style="166" customWidth="1"/>
    <col min="12293" max="12293" width="29.5703125" style="166" customWidth="1"/>
    <col min="12294" max="12305" width="31" style="166" customWidth="1"/>
    <col min="12306" max="12306" width="8.85546875" style="166" customWidth="1"/>
    <col min="12307" max="12547" width="9.140625" style="166"/>
    <col min="12548" max="12548" width="47.5703125" style="166" customWidth="1"/>
    <col min="12549" max="12549" width="29.5703125" style="166" customWidth="1"/>
    <col min="12550" max="12561" width="31" style="166" customWidth="1"/>
    <col min="12562" max="12562" width="8.85546875" style="166" customWidth="1"/>
    <col min="12563" max="12803" width="9.140625" style="166"/>
    <col min="12804" max="12804" width="47.5703125" style="166" customWidth="1"/>
    <col min="12805" max="12805" width="29.5703125" style="166" customWidth="1"/>
    <col min="12806" max="12817" width="31" style="166" customWidth="1"/>
    <col min="12818" max="12818" width="8.85546875" style="166" customWidth="1"/>
    <col min="12819" max="13059" width="9.140625" style="166"/>
    <col min="13060" max="13060" width="47.5703125" style="166" customWidth="1"/>
    <col min="13061" max="13061" width="29.5703125" style="166" customWidth="1"/>
    <col min="13062" max="13073" width="31" style="166" customWidth="1"/>
    <col min="13074" max="13074" width="8.85546875" style="166" customWidth="1"/>
    <col min="13075" max="13315" width="9.140625" style="166"/>
    <col min="13316" max="13316" width="47.5703125" style="166" customWidth="1"/>
    <col min="13317" max="13317" width="29.5703125" style="166" customWidth="1"/>
    <col min="13318" max="13329" width="31" style="166" customWidth="1"/>
    <col min="13330" max="13330" width="8.85546875" style="166" customWidth="1"/>
    <col min="13331" max="13571" width="9.140625" style="166"/>
    <col min="13572" max="13572" width="47.5703125" style="166" customWidth="1"/>
    <col min="13573" max="13573" width="29.5703125" style="166" customWidth="1"/>
    <col min="13574" max="13585" width="31" style="166" customWidth="1"/>
    <col min="13586" max="13586" width="8.85546875" style="166" customWidth="1"/>
    <col min="13587" max="13827" width="9.140625" style="166"/>
    <col min="13828" max="13828" width="47.5703125" style="166" customWidth="1"/>
    <col min="13829" max="13829" width="29.5703125" style="166" customWidth="1"/>
    <col min="13830" max="13841" width="31" style="166" customWidth="1"/>
    <col min="13842" max="13842" width="8.85546875" style="166" customWidth="1"/>
    <col min="13843" max="14083" width="9.140625" style="166"/>
    <col min="14084" max="14084" width="47.5703125" style="166" customWidth="1"/>
    <col min="14085" max="14085" width="29.5703125" style="166" customWidth="1"/>
    <col min="14086" max="14097" width="31" style="166" customWidth="1"/>
    <col min="14098" max="14098" width="8.85546875" style="166" customWidth="1"/>
    <col min="14099" max="14339" width="9.140625" style="166"/>
    <col min="14340" max="14340" width="47.5703125" style="166" customWidth="1"/>
    <col min="14341" max="14341" width="29.5703125" style="166" customWidth="1"/>
    <col min="14342" max="14353" width="31" style="166" customWidth="1"/>
    <col min="14354" max="14354" width="8.85546875" style="166" customWidth="1"/>
    <col min="14355" max="14595" width="9.140625" style="166"/>
    <col min="14596" max="14596" width="47.5703125" style="166" customWidth="1"/>
    <col min="14597" max="14597" width="29.5703125" style="166" customWidth="1"/>
    <col min="14598" max="14609" width="31" style="166" customWidth="1"/>
    <col min="14610" max="14610" width="8.85546875" style="166" customWidth="1"/>
    <col min="14611" max="14851" width="9.140625" style="166"/>
    <col min="14852" max="14852" width="47.5703125" style="166" customWidth="1"/>
    <col min="14853" max="14853" width="29.5703125" style="166" customWidth="1"/>
    <col min="14854" max="14865" width="31" style="166" customWidth="1"/>
    <col min="14866" max="14866" width="8.85546875" style="166" customWidth="1"/>
    <col min="14867" max="15107" width="9.140625" style="166"/>
    <col min="15108" max="15108" width="47.5703125" style="166" customWidth="1"/>
    <col min="15109" max="15109" width="29.5703125" style="166" customWidth="1"/>
    <col min="15110" max="15121" width="31" style="166" customWidth="1"/>
    <col min="15122" max="15122" width="8.85546875" style="166" customWidth="1"/>
    <col min="15123" max="15363" width="9.140625" style="166"/>
    <col min="15364" max="15364" width="47.5703125" style="166" customWidth="1"/>
    <col min="15365" max="15365" width="29.5703125" style="166" customWidth="1"/>
    <col min="15366" max="15377" width="31" style="166" customWidth="1"/>
    <col min="15378" max="15378" width="8.85546875" style="166" customWidth="1"/>
    <col min="15379" max="15619" width="9.140625" style="166"/>
    <col min="15620" max="15620" width="47.5703125" style="166" customWidth="1"/>
    <col min="15621" max="15621" width="29.5703125" style="166" customWidth="1"/>
    <col min="15622" max="15633" width="31" style="166" customWidth="1"/>
    <col min="15634" max="15634" width="8.85546875" style="166" customWidth="1"/>
    <col min="15635" max="15875" width="9.140625" style="166"/>
    <col min="15876" max="15876" width="47.5703125" style="166" customWidth="1"/>
    <col min="15877" max="15877" width="29.5703125" style="166" customWidth="1"/>
    <col min="15878" max="15889" width="31" style="166" customWidth="1"/>
    <col min="15890" max="15890" width="8.85546875" style="166" customWidth="1"/>
    <col min="15891" max="16131" width="9.140625" style="166"/>
    <col min="16132" max="16132" width="47.5703125" style="166" customWidth="1"/>
    <col min="16133" max="16133" width="29.5703125" style="166" customWidth="1"/>
    <col min="16134" max="16145" width="31" style="166" customWidth="1"/>
    <col min="16146" max="16146" width="8.85546875" style="166" customWidth="1"/>
    <col min="16147" max="16384" width="9.140625" style="166"/>
  </cols>
  <sheetData>
    <row r="1" spans="1:14" ht="20.100000000000001" customHeight="1" thickBot="1" x14ac:dyDescent="0.25">
      <c r="A1" s="1208" t="s">
        <v>430</v>
      </c>
      <c r="B1" s="1209"/>
      <c r="C1" s="1209"/>
      <c r="D1" s="1209"/>
      <c r="E1" s="1209"/>
      <c r="F1" s="1209"/>
      <c r="G1" s="1210"/>
      <c r="H1" s="986"/>
      <c r="I1" s="986"/>
      <c r="J1" s="291"/>
      <c r="K1" s="203" t="str">
        <f>+TITELBLAD!C10</f>
        <v>gas</v>
      </c>
      <c r="L1" s="291"/>
      <c r="M1" s="291"/>
      <c r="N1" s="291"/>
    </row>
    <row r="2" spans="1:14" x14ac:dyDescent="0.2">
      <c r="J2" s="291"/>
      <c r="K2" s="291"/>
      <c r="L2" s="291"/>
      <c r="M2" s="291"/>
      <c r="N2" s="291"/>
    </row>
    <row r="3" spans="1:14" x14ac:dyDescent="0.2">
      <c r="B3" s="291"/>
      <c r="C3" s="884" t="s">
        <v>300</v>
      </c>
      <c r="D3" s="884" t="s">
        <v>301</v>
      </c>
      <c r="J3" s="291"/>
      <c r="K3" s="291"/>
      <c r="L3" s="291"/>
      <c r="M3" s="291"/>
      <c r="N3" s="291"/>
    </row>
    <row r="4" spans="1:14" x14ac:dyDescent="0.2">
      <c r="A4" s="353" t="s">
        <v>433</v>
      </c>
      <c r="B4" s="895">
        <f>+TITELBLAD!E16</f>
        <v>2022</v>
      </c>
      <c r="C4" s="896">
        <f>-G42</f>
        <v>0</v>
      </c>
      <c r="D4" s="896">
        <f>-G75</f>
        <v>0</v>
      </c>
      <c r="E4" s="897"/>
      <c r="J4" s="291"/>
      <c r="K4" s="291"/>
      <c r="L4" s="291"/>
      <c r="M4" s="291"/>
      <c r="N4" s="291"/>
    </row>
    <row r="5" spans="1:14" x14ac:dyDescent="0.2">
      <c r="D5" s="897"/>
      <c r="E5" s="897"/>
      <c r="J5" s="291"/>
      <c r="K5" s="291"/>
      <c r="L5" s="291"/>
      <c r="M5" s="291"/>
      <c r="N5" s="291"/>
    </row>
    <row r="6" spans="1:14" x14ac:dyDescent="0.2">
      <c r="J6" s="291"/>
      <c r="K6" s="291"/>
      <c r="L6" s="291"/>
      <c r="M6" s="291"/>
      <c r="N6" s="291"/>
    </row>
    <row r="7" spans="1:14" x14ac:dyDescent="0.2">
      <c r="J7" s="291"/>
      <c r="K7" s="291"/>
      <c r="L7" s="291"/>
      <c r="M7" s="291"/>
      <c r="N7" s="291"/>
    </row>
    <row r="8" spans="1:14" x14ac:dyDescent="0.2">
      <c r="A8" s="353" t="s">
        <v>299</v>
      </c>
      <c r="J8" s="291"/>
      <c r="K8" s="291"/>
      <c r="L8" s="291"/>
      <c r="M8" s="291"/>
      <c r="N8" s="291"/>
    </row>
    <row r="9" spans="1:14" x14ac:dyDescent="0.2">
      <c r="A9" s="216" t="s">
        <v>263</v>
      </c>
      <c r="J9" s="291"/>
      <c r="K9" s="291"/>
      <c r="L9" s="291"/>
      <c r="M9" s="291"/>
      <c r="N9" s="291"/>
    </row>
    <row r="10" spans="1:14" x14ac:dyDescent="0.2">
      <c r="A10" s="898" t="s">
        <v>264</v>
      </c>
      <c r="J10" s="291"/>
      <c r="K10" s="291"/>
      <c r="L10" s="291"/>
      <c r="M10" s="291"/>
      <c r="N10" s="291"/>
    </row>
    <row r="11" spans="1:14" x14ac:dyDescent="0.2">
      <c r="A11" s="898" t="s">
        <v>265</v>
      </c>
      <c r="H11" s="956" t="s">
        <v>469</v>
      </c>
      <c r="J11" s="291"/>
      <c r="K11" s="291"/>
      <c r="L11" s="291"/>
      <c r="M11" s="291"/>
      <c r="N11" s="291"/>
    </row>
    <row r="12" spans="1:14" x14ac:dyDescent="0.2">
      <c r="A12" s="898"/>
      <c r="J12" s="291"/>
      <c r="K12" s="291"/>
      <c r="L12" s="291"/>
      <c r="M12" s="291"/>
      <c r="N12" s="291"/>
    </row>
    <row r="13" spans="1:14" ht="13.5" thickBot="1" x14ac:dyDescent="0.25">
      <c r="A13" s="898"/>
    </row>
    <row r="14" spans="1:14" ht="18" customHeight="1" thickBot="1" x14ac:dyDescent="0.25">
      <c r="A14" s="1215" t="str">
        <f>"BUDGET "&amp;B4</f>
        <v>BUDGET 2022</v>
      </c>
      <c r="B14" s="1216"/>
      <c r="C14" s="1216"/>
      <c r="D14" s="1216"/>
      <c r="E14" s="1216"/>
      <c r="F14" s="1216"/>
      <c r="G14" s="1216"/>
      <c r="H14" s="1216"/>
      <c r="I14" s="1216"/>
      <c r="J14" s="1217"/>
    </row>
    <row r="15" spans="1:14" ht="58.5" customHeight="1" x14ac:dyDescent="0.2">
      <c r="A15" s="899" t="s">
        <v>266</v>
      </c>
      <c r="B15" s="900" t="s">
        <v>297</v>
      </c>
      <c r="C15" s="901" t="str">
        <f>"Oorspronkelijke meerwaarde op basis van iRAB voor activa einde boekjaar "&amp;B4-1</f>
        <v>Oorspronkelijke meerwaarde op basis van iRAB voor activa einde boekjaar 2021</v>
      </c>
      <c r="D15" s="901" t="str">
        <f>"Gecumuleerde afschrijvingen activa einde boekjaar "&amp; B4-1</f>
        <v>Gecumuleerde afschrijvingen activa einde boekjaar 2021</v>
      </c>
      <c r="E15" s="901" t="str">
        <f>"Nettoboekwaarde meerwaarde op basis van iRAB einde boekjaar "&amp; B4-1</f>
        <v>Nettoboekwaarde meerwaarde op basis van iRAB einde boekjaar 2021</v>
      </c>
      <c r="F15" s="901" t="str">
        <f>"Transfers boekjaar "&amp;B4</f>
        <v>Transfers boekjaar 2022</v>
      </c>
      <c r="G15" s="901" t="str">
        <f>"Afschrijvingen boekjaar "&amp;B4</f>
        <v>Afschrijvingen boekjaar 2022</v>
      </c>
      <c r="H15" s="987" t="str">
        <f>"Desinvesteringen boekjaar "&amp;B4&amp;" n.a.v. verkoop"</f>
        <v>Desinvesteringen boekjaar 2022 n.a.v. verkoop</v>
      </c>
      <c r="I15" s="987" t="str">
        <f>"Desinvesteringen boekjaar "&amp;B4&amp;" n.a.v. structuurwijziging"</f>
        <v>Desinvesteringen boekjaar 2022 n.a.v. structuurwijziging</v>
      </c>
      <c r="J15" s="901" t="str">
        <f>"Nettoboekwaarde meerwaarde op basis van iRAB einde boekjaar "&amp;B4</f>
        <v>Nettoboekwaarde meerwaarde op basis van iRAB einde boekjaar 2022</v>
      </c>
    </row>
    <row r="16" spans="1:14" ht="13.5" thickBot="1" x14ac:dyDescent="0.25">
      <c r="A16" s="902"/>
      <c r="B16" s="903"/>
      <c r="C16" s="904" t="s">
        <v>4</v>
      </c>
      <c r="D16" s="904" t="s">
        <v>8</v>
      </c>
      <c r="E16" s="904"/>
      <c r="F16" s="904" t="s">
        <v>4</v>
      </c>
      <c r="G16" s="904" t="s">
        <v>8</v>
      </c>
      <c r="H16" s="988" t="s">
        <v>8</v>
      </c>
      <c r="I16" s="988" t="s">
        <v>8</v>
      </c>
      <c r="J16" s="905"/>
    </row>
    <row r="17" spans="1:10" x14ac:dyDescent="0.2">
      <c r="A17" s="906" t="s">
        <v>267</v>
      </c>
      <c r="B17" s="1212">
        <v>0.02</v>
      </c>
      <c r="C17" s="611">
        <v>0</v>
      </c>
      <c r="D17" s="611">
        <v>0</v>
      </c>
      <c r="E17" s="907">
        <f t="shared" ref="E17:E36" si="0">+C17+D17</f>
        <v>0</v>
      </c>
      <c r="F17" s="611">
        <v>0</v>
      </c>
      <c r="G17" s="611">
        <v>0</v>
      </c>
      <c r="H17" s="989">
        <v>0</v>
      </c>
      <c r="I17" s="989">
        <v>0</v>
      </c>
      <c r="J17" s="908">
        <f>+SUM(E17:I17)</f>
        <v>0</v>
      </c>
    </row>
    <row r="18" spans="1:10" x14ac:dyDescent="0.2">
      <c r="A18" s="909" t="s">
        <v>268</v>
      </c>
      <c r="B18" s="1213"/>
      <c r="C18" s="612">
        <v>0</v>
      </c>
      <c r="D18" s="612">
        <v>0</v>
      </c>
      <c r="E18" s="910">
        <f t="shared" si="0"/>
        <v>0</v>
      </c>
      <c r="F18" s="612">
        <v>0</v>
      </c>
      <c r="G18" s="612">
        <v>0</v>
      </c>
      <c r="H18" s="990">
        <v>0</v>
      </c>
      <c r="I18" s="990">
        <v>0</v>
      </c>
      <c r="J18" s="911">
        <f t="shared" ref="J18:J40" si="1">+SUM(E18:I18)</f>
        <v>0</v>
      </c>
    </row>
    <row r="19" spans="1:10" x14ac:dyDescent="0.2">
      <c r="A19" s="909" t="s">
        <v>269</v>
      </c>
      <c r="B19" s="1213"/>
      <c r="C19" s="612">
        <v>0</v>
      </c>
      <c r="D19" s="612">
        <v>0</v>
      </c>
      <c r="E19" s="910">
        <f t="shared" si="0"/>
        <v>0</v>
      </c>
      <c r="F19" s="612">
        <v>0</v>
      </c>
      <c r="G19" s="612">
        <v>0</v>
      </c>
      <c r="H19" s="990">
        <v>0</v>
      </c>
      <c r="I19" s="990">
        <v>0</v>
      </c>
      <c r="J19" s="911">
        <f t="shared" si="1"/>
        <v>0</v>
      </c>
    </row>
    <row r="20" spans="1:10" x14ac:dyDescent="0.2">
      <c r="A20" s="909" t="s">
        <v>302</v>
      </c>
      <c r="B20" s="1213"/>
      <c r="C20" s="612">
        <v>0</v>
      </c>
      <c r="D20" s="612">
        <v>0</v>
      </c>
      <c r="E20" s="910">
        <f t="shared" si="0"/>
        <v>0</v>
      </c>
      <c r="F20" s="612">
        <v>0</v>
      </c>
      <c r="G20" s="612">
        <v>0</v>
      </c>
      <c r="H20" s="990">
        <v>0</v>
      </c>
      <c r="I20" s="990">
        <v>0</v>
      </c>
      <c r="J20" s="911">
        <f t="shared" si="1"/>
        <v>0</v>
      </c>
    </row>
    <row r="21" spans="1:10" x14ac:dyDescent="0.2">
      <c r="A21" s="909" t="s">
        <v>303</v>
      </c>
      <c r="B21" s="1213"/>
      <c r="C21" s="612">
        <v>0</v>
      </c>
      <c r="D21" s="612">
        <v>0</v>
      </c>
      <c r="E21" s="910">
        <f t="shared" si="0"/>
        <v>0</v>
      </c>
      <c r="F21" s="612">
        <v>0</v>
      </c>
      <c r="G21" s="612">
        <v>0</v>
      </c>
      <c r="H21" s="990">
        <v>0</v>
      </c>
      <c r="I21" s="990">
        <v>0</v>
      </c>
      <c r="J21" s="911">
        <f t="shared" si="1"/>
        <v>0</v>
      </c>
    </row>
    <row r="22" spans="1:10" x14ac:dyDescent="0.2">
      <c r="A22" s="909" t="s">
        <v>304</v>
      </c>
      <c r="B22" s="1213"/>
      <c r="C22" s="612">
        <v>0</v>
      </c>
      <c r="D22" s="612">
        <v>0</v>
      </c>
      <c r="E22" s="910">
        <f t="shared" si="0"/>
        <v>0</v>
      </c>
      <c r="F22" s="612">
        <v>0</v>
      </c>
      <c r="G22" s="612">
        <v>0</v>
      </c>
      <c r="H22" s="990">
        <v>0</v>
      </c>
      <c r="I22" s="990">
        <v>0</v>
      </c>
      <c r="J22" s="911">
        <f t="shared" si="1"/>
        <v>0</v>
      </c>
    </row>
    <row r="23" spans="1:10" x14ac:dyDescent="0.2">
      <c r="A23" s="909" t="s">
        <v>305</v>
      </c>
      <c r="B23" s="1213"/>
      <c r="C23" s="612">
        <v>0</v>
      </c>
      <c r="D23" s="612">
        <v>0</v>
      </c>
      <c r="E23" s="910">
        <f t="shared" si="0"/>
        <v>0</v>
      </c>
      <c r="F23" s="612">
        <v>0</v>
      </c>
      <c r="G23" s="612">
        <v>0</v>
      </c>
      <c r="H23" s="990">
        <v>0</v>
      </c>
      <c r="I23" s="990">
        <v>0</v>
      </c>
      <c r="J23" s="911">
        <f t="shared" si="1"/>
        <v>0</v>
      </c>
    </row>
    <row r="24" spans="1:10" x14ac:dyDescent="0.2">
      <c r="A24" s="909" t="s">
        <v>276</v>
      </c>
      <c r="B24" s="1213"/>
      <c r="C24" s="612">
        <v>0</v>
      </c>
      <c r="D24" s="612">
        <v>0</v>
      </c>
      <c r="E24" s="910">
        <f>+C24+D24</f>
        <v>0</v>
      </c>
      <c r="F24" s="612">
        <v>0</v>
      </c>
      <c r="G24" s="612">
        <v>0</v>
      </c>
      <c r="H24" s="990">
        <v>0</v>
      </c>
      <c r="I24" s="990">
        <v>0</v>
      </c>
      <c r="J24" s="911">
        <f t="shared" si="1"/>
        <v>0</v>
      </c>
    </row>
    <row r="25" spans="1:10" x14ac:dyDescent="0.2">
      <c r="A25" s="909" t="s">
        <v>306</v>
      </c>
      <c r="B25" s="1213"/>
      <c r="C25" s="612">
        <v>0</v>
      </c>
      <c r="D25" s="612">
        <v>0</v>
      </c>
      <c r="E25" s="910">
        <f t="shared" si="0"/>
        <v>0</v>
      </c>
      <c r="F25" s="612">
        <v>0</v>
      </c>
      <c r="G25" s="612">
        <v>0</v>
      </c>
      <c r="H25" s="990">
        <v>0</v>
      </c>
      <c r="I25" s="990">
        <v>0</v>
      </c>
      <c r="J25" s="911">
        <f t="shared" si="1"/>
        <v>0</v>
      </c>
    </row>
    <row r="26" spans="1:10" x14ac:dyDescent="0.2">
      <c r="A26" s="909" t="s">
        <v>307</v>
      </c>
      <c r="B26" s="1213"/>
      <c r="C26" s="612">
        <v>0</v>
      </c>
      <c r="D26" s="612">
        <v>0</v>
      </c>
      <c r="E26" s="910">
        <f t="shared" si="0"/>
        <v>0</v>
      </c>
      <c r="F26" s="612">
        <v>0</v>
      </c>
      <c r="G26" s="612">
        <v>0</v>
      </c>
      <c r="H26" s="990">
        <v>0</v>
      </c>
      <c r="I26" s="990">
        <v>0</v>
      </c>
      <c r="J26" s="911">
        <f t="shared" si="1"/>
        <v>0</v>
      </c>
    </row>
    <row r="27" spans="1:10" x14ac:dyDescent="0.2">
      <c r="A27" s="909" t="s">
        <v>308</v>
      </c>
      <c r="B27" s="1213"/>
      <c r="C27" s="612">
        <v>0</v>
      </c>
      <c r="D27" s="612">
        <v>0</v>
      </c>
      <c r="E27" s="910">
        <f t="shared" si="0"/>
        <v>0</v>
      </c>
      <c r="F27" s="612">
        <v>0</v>
      </c>
      <c r="G27" s="612">
        <v>0</v>
      </c>
      <c r="H27" s="990">
        <v>0</v>
      </c>
      <c r="I27" s="990">
        <v>0</v>
      </c>
      <c r="J27" s="911">
        <f t="shared" si="1"/>
        <v>0</v>
      </c>
    </row>
    <row r="28" spans="1:10" x14ac:dyDescent="0.2">
      <c r="A28" s="909" t="s">
        <v>309</v>
      </c>
      <c r="B28" s="1213"/>
      <c r="C28" s="612">
        <v>0</v>
      </c>
      <c r="D28" s="612">
        <v>0</v>
      </c>
      <c r="E28" s="910">
        <f t="shared" si="0"/>
        <v>0</v>
      </c>
      <c r="F28" s="612">
        <v>0</v>
      </c>
      <c r="G28" s="612">
        <v>0</v>
      </c>
      <c r="H28" s="990">
        <v>0</v>
      </c>
      <c r="I28" s="990">
        <v>0</v>
      </c>
      <c r="J28" s="911">
        <f t="shared" si="1"/>
        <v>0</v>
      </c>
    </row>
    <row r="29" spans="1:10" x14ac:dyDescent="0.2">
      <c r="A29" s="909" t="s">
        <v>281</v>
      </c>
      <c r="B29" s="1213"/>
      <c r="C29" s="612">
        <v>0</v>
      </c>
      <c r="D29" s="612">
        <v>0</v>
      </c>
      <c r="E29" s="910">
        <f t="shared" si="0"/>
        <v>0</v>
      </c>
      <c r="F29" s="612">
        <v>0</v>
      </c>
      <c r="G29" s="612">
        <v>0</v>
      </c>
      <c r="H29" s="990">
        <v>0</v>
      </c>
      <c r="I29" s="990">
        <v>0</v>
      </c>
      <c r="J29" s="911">
        <f t="shared" si="1"/>
        <v>0</v>
      </c>
    </row>
    <row r="30" spans="1:10" x14ac:dyDescent="0.2">
      <c r="A30" s="909" t="s">
        <v>298</v>
      </c>
      <c r="B30" s="1213"/>
      <c r="C30" s="612">
        <v>0</v>
      </c>
      <c r="D30" s="612">
        <v>0</v>
      </c>
      <c r="E30" s="910">
        <f t="shared" si="0"/>
        <v>0</v>
      </c>
      <c r="F30" s="612">
        <v>0</v>
      </c>
      <c r="G30" s="612">
        <v>0</v>
      </c>
      <c r="H30" s="990">
        <v>0</v>
      </c>
      <c r="I30" s="990">
        <v>0</v>
      </c>
      <c r="J30" s="911">
        <f t="shared" si="1"/>
        <v>0</v>
      </c>
    </row>
    <row r="31" spans="1:10" x14ac:dyDescent="0.2">
      <c r="A31" s="909" t="s">
        <v>282</v>
      </c>
      <c r="B31" s="1213"/>
      <c r="C31" s="612">
        <v>0</v>
      </c>
      <c r="D31" s="612">
        <v>0</v>
      </c>
      <c r="E31" s="910">
        <f t="shared" si="0"/>
        <v>0</v>
      </c>
      <c r="F31" s="612">
        <v>0</v>
      </c>
      <c r="G31" s="612">
        <v>0</v>
      </c>
      <c r="H31" s="990">
        <v>0</v>
      </c>
      <c r="I31" s="990">
        <v>0</v>
      </c>
      <c r="J31" s="911">
        <f t="shared" si="1"/>
        <v>0</v>
      </c>
    </row>
    <row r="32" spans="1:10" x14ac:dyDescent="0.2">
      <c r="A32" s="909" t="s">
        <v>283</v>
      </c>
      <c r="B32" s="1213"/>
      <c r="C32" s="612">
        <v>0</v>
      </c>
      <c r="D32" s="612">
        <v>0</v>
      </c>
      <c r="E32" s="910">
        <f t="shared" si="0"/>
        <v>0</v>
      </c>
      <c r="F32" s="612">
        <v>0</v>
      </c>
      <c r="G32" s="612">
        <v>0</v>
      </c>
      <c r="H32" s="990">
        <v>0</v>
      </c>
      <c r="I32" s="990">
        <v>0</v>
      </c>
      <c r="J32" s="911">
        <f t="shared" si="1"/>
        <v>0</v>
      </c>
    </row>
    <row r="33" spans="1:10" x14ac:dyDescent="0.2">
      <c r="A33" s="909" t="s">
        <v>284</v>
      </c>
      <c r="B33" s="1213"/>
      <c r="C33" s="612">
        <v>0</v>
      </c>
      <c r="D33" s="612">
        <v>0</v>
      </c>
      <c r="E33" s="910">
        <f t="shared" si="0"/>
        <v>0</v>
      </c>
      <c r="F33" s="612">
        <v>0</v>
      </c>
      <c r="G33" s="612">
        <v>0</v>
      </c>
      <c r="H33" s="990">
        <v>0</v>
      </c>
      <c r="I33" s="990">
        <v>0</v>
      </c>
      <c r="J33" s="911">
        <f t="shared" si="1"/>
        <v>0</v>
      </c>
    </row>
    <row r="34" spans="1:10" x14ac:dyDescent="0.2">
      <c r="A34" s="909" t="s">
        <v>310</v>
      </c>
      <c r="B34" s="1213"/>
      <c r="C34" s="612">
        <v>0</v>
      </c>
      <c r="D34" s="612">
        <v>0</v>
      </c>
      <c r="E34" s="910">
        <f t="shared" si="0"/>
        <v>0</v>
      </c>
      <c r="F34" s="612">
        <v>0</v>
      </c>
      <c r="G34" s="612">
        <v>0</v>
      </c>
      <c r="H34" s="990">
        <v>0</v>
      </c>
      <c r="I34" s="990">
        <v>0</v>
      </c>
      <c r="J34" s="911">
        <f t="shared" si="1"/>
        <v>0</v>
      </c>
    </row>
    <row r="35" spans="1:10" x14ac:dyDescent="0.2">
      <c r="A35" s="909" t="s">
        <v>286</v>
      </c>
      <c r="B35" s="1213"/>
      <c r="C35" s="612">
        <v>0</v>
      </c>
      <c r="D35" s="612">
        <v>0</v>
      </c>
      <c r="E35" s="910">
        <f t="shared" si="0"/>
        <v>0</v>
      </c>
      <c r="F35" s="612">
        <v>0</v>
      </c>
      <c r="G35" s="612">
        <v>0</v>
      </c>
      <c r="H35" s="990">
        <v>0</v>
      </c>
      <c r="I35" s="990">
        <v>0</v>
      </c>
      <c r="J35" s="911">
        <f t="shared" si="1"/>
        <v>0</v>
      </c>
    </row>
    <row r="36" spans="1:10" x14ac:dyDescent="0.2">
      <c r="A36" s="909" t="s">
        <v>287</v>
      </c>
      <c r="B36" s="1213"/>
      <c r="C36" s="612">
        <v>0</v>
      </c>
      <c r="D36" s="612">
        <v>0</v>
      </c>
      <c r="E36" s="910">
        <f t="shared" si="0"/>
        <v>0</v>
      </c>
      <c r="F36" s="612">
        <v>0</v>
      </c>
      <c r="G36" s="612">
        <v>0</v>
      </c>
      <c r="H36" s="990">
        <v>0</v>
      </c>
      <c r="I36" s="990">
        <v>0</v>
      </c>
      <c r="J36" s="911">
        <f t="shared" si="1"/>
        <v>0</v>
      </c>
    </row>
    <row r="37" spans="1:10" x14ac:dyDescent="0.2">
      <c r="A37" s="928" t="s">
        <v>288</v>
      </c>
      <c r="B37" s="1213"/>
      <c r="C37" s="616">
        <v>0</v>
      </c>
      <c r="D37" s="616">
        <v>0</v>
      </c>
      <c r="E37" s="929">
        <f>+C37+D37</f>
        <v>0</v>
      </c>
      <c r="F37" s="616">
        <v>0</v>
      </c>
      <c r="G37" s="616">
        <v>0</v>
      </c>
      <c r="H37" s="997">
        <v>0</v>
      </c>
      <c r="I37" s="997">
        <v>0</v>
      </c>
      <c r="J37" s="930">
        <f t="shared" si="1"/>
        <v>0</v>
      </c>
    </row>
    <row r="38" spans="1:10" x14ac:dyDescent="0.2">
      <c r="A38" s="909" t="s">
        <v>290</v>
      </c>
      <c r="B38" s="1213"/>
      <c r="C38" s="616">
        <v>0</v>
      </c>
      <c r="D38" s="616">
        <v>0</v>
      </c>
      <c r="E38" s="929">
        <f>+C38+D38</f>
        <v>0</v>
      </c>
      <c r="F38" s="616">
        <v>0</v>
      </c>
      <c r="G38" s="616">
        <v>0</v>
      </c>
      <c r="H38" s="997">
        <v>0</v>
      </c>
      <c r="I38" s="997">
        <v>0</v>
      </c>
      <c r="J38" s="930">
        <f t="shared" si="1"/>
        <v>0</v>
      </c>
    </row>
    <row r="39" spans="1:10" x14ac:dyDescent="0.2">
      <c r="A39" s="928" t="s">
        <v>293</v>
      </c>
      <c r="B39" s="1213"/>
      <c r="C39" s="616">
        <v>0</v>
      </c>
      <c r="D39" s="616">
        <v>0</v>
      </c>
      <c r="E39" s="929">
        <f>+C39+D39</f>
        <v>0</v>
      </c>
      <c r="F39" s="616">
        <v>0</v>
      </c>
      <c r="G39" s="616">
        <v>0</v>
      </c>
      <c r="H39" s="997">
        <v>0</v>
      </c>
      <c r="I39" s="997">
        <v>0</v>
      </c>
      <c r="J39" s="930">
        <f t="shared" si="1"/>
        <v>0</v>
      </c>
    </row>
    <row r="40" spans="1:10" ht="13.5" thickBot="1" x14ac:dyDescent="0.25">
      <c r="A40" s="931" t="s">
        <v>295</v>
      </c>
      <c r="B40" s="1214"/>
      <c r="C40" s="617">
        <v>0</v>
      </c>
      <c r="D40" s="617">
        <v>0</v>
      </c>
      <c r="E40" s="932">
        <f>+C40+D40</f>
        <v>0</v>
      </c>
      <c r="F40" s="617">
        <v>0</v>
      </c>
      <c r="G40" s="617">
        <v>0</v>
      </c>
      <c r="H40" s="998">
        <v>0</v>
      </c>
      <c r="I40" s="998">
        <v>0</v>
      </c>
      <c r="J40" s="933">
        <f t="shared" si="1"/>
        <v>0</v>
      </c>
    </row>
    <row r="41" spans="1:10" x14ac:dyDescent="0.2">
      <c r="A41" s="915"/>
      <c r="B41" s="916"/>
      <c r="C41" s="934"/>
      <c r="D41" s="934"/>
      <c r="E41" s="934"/>
      <c r="F41" s="934"/>
      <c r="G41" s="934"/>
      <c r="H41" s="999"/>
      <c r="I41" s="999"/>
      <c r="J41" s="934"/>
    </row>
    <row r="42" spans="1:10" x14ac:dyDescent="0.2">
      <c r="A42" s="915" t="s">
        <v>296</v>
      </c>
      <c r="B42" s="916"/>
      <c r="C42" s="918">
        <f t="shared" ref="C42:J42" si="2">SUM(C17:C40)</f>
        <v>0</v>
      </c>
      <c r="D42" s="918">
        <f t="shared" si="2"/>
        <v>0</v>
      </c>
      <c r="E42" s="918">
        <f t="shared" si="2"/>
        <v>0</v>
      </c>
      <c r="F42" s="918">
        <f t="shared" ref="F42" si="3">SUM(F17:F40)</f>
        <v>0</v>
      </c>
      <c r="G42" s="918">
        <f t="shared" si="2"/>
        <v>0</v>
      </c>
      <c r="H42" s="993">
        <f t="shared" si="2"/>
        <v>0</v>
      </c>
      <c r="I42" s="993">
        <f t="shared" ref="I42" si="4">SUM(I17:I40)</f>
        <v>0</v>
      </c>
      <c r="J42" s="918">
        <f t="shared" si="2"/>
        <v>0</v>
      </c>
    </row>
    <row r="43" spans="1:10" ht="13.5" thickBot="1" x14ac:dyDescent="0.25">
      <c r="A43" s="919"/>
      <c r="B43" s="920"/>
      <c r="C43" s="921"/>
      <c r="D43" s="921"/>
      <c r="E43" s="921"/>
      <c r="F43" s="921"/>
      <c r="G43" s="921"/>
      <c r="H43" s="994"/>
      <c r="I43" s="994"/>
      <c r="J43" s="922"/>
    </row>
    <row r="46" spans="1:10" ht="13.5" thickBot="1" x14ac:dyDescent="0.25"/>
    <row r="47" spans="1:10" ht="18" customHeight="1" thickBot="1" x14ac:dyDescent="0.25">
      <c r="A47" s="1215" t="str">
        <f>"REALITEIT "&amp;B4</f>
        <v>REALITEIT 2022</v>
      </c>
      <c r="B47" s="1216"/>
      <c r="C47" s="1216"/>
      <c r="D47" s="1216"/>
      <c r="E47" s="1216"/>
      <c r="F47" s="1216"/>
      <c r="G47" s="1216"/>
      <c r="H47" s="1216"/>
      <c r="I47" s="1216"/>
      <c r="J47" s="1217"/>
    </row>
    <row r="48" spans="1:10" ht="58.5" customHeight="1" x14ac:dyDescent="0.2">
      <c r="A48" s="899" t="s">
        <v>266</v>
      </c>
      <c r="B48" s="900" t="s">
        <v>297</v>
      </c>
      <c r="C48" s="901" t="str">
        <f>"Oorspronkelijke meerwaarde op basis van iRAB voor activa einde boekjaar "&amp;B4-1</f>
        <v>Oorspronkelijke meerwaarde op basis van iRAB voor activa einde boekjaar 2021</v>
      </c>
      <c r="D48" s="901" t="str">
        <f>"Gecumuleerde afschrijvingen activa einde boekjaar "&amp; B4-1</f>
        <v>Gecumuleerde afschrijvingen activa einde boekjaar 2021</v>
      </c>
      <c r="E48" s="901" t="str">
        <f>"Nettoboekwaarde meerwaarde op basis van iRAB einde boekjaar "&amp; B4-1</f>
        <v>Nettoboekwaarde meerwaarde op basis van iRAB einde boekjaar 2021</v>
      </c>
      <c r="F48" s="901" t="str">
        <f>"Transfers boekjaar "&amp;B4</f>
        <v>Transfers boekjaar 2022</v>
      </c>
      <c r="G48" s="901" t="str">
        <f>"Afschrijvingen boekjaar "&amp;B4</f>
        <v>Afschrijvingen boekjaar 2022</v>
      </c>
      <c r="H48" s="987" t="str">
        <f>"Desinvesteringen boekjaar "&amp;B4&amp;" n.a.v. verkoop"</f>
        <v>Desinvesteringen boekjaar 2022 n.a.v. verkoop</v>
      </c>
      <c r="I48" s="987" t="str">
        <f>"Desinvesteringen boekjaar "&amp;B4&amp;" n.a.v. structuurwijziging"</f>
        <v>Desinvesteringen boekjaar 2022 n.a.v. structuurwijziging</v>
      </c>
      <c r="J48" s="901" t="str">
        <f>"Nettoboekwaarde meerwaarde op basis van iRAB einde boekjaar "&amp;B4</f>
        <v>Nettoboekwaarde meerwaarde op basis van iRAB einde boekjaar 2022</v>
      </c>
    </row>
    <row r="49" spans="1:10" ht="13.5" thickBot="1" x14ac:dyDescent="0.25">
      <c r="A49" s="902"/>
      <c r="B49" s="903"/>
      <c r="C49" s="904" t="s">
        <v>4</v>
      </c>
      <c r="D49" s="904" t="s">
        <v>8</v>
      </c>
      <c r="E49" s="904"/>
      <c r="F49" s="904" t="s">
        <v>4</v>
      </c>
      <c r="G49" s="904" t="s">
        <v>8</v>
      </c>
      <c r="H49" s="988" t="s">
        <v>8</v>
      </c>
      <c r="I49" s="988" t="s">
        <v>8</v>
      </c>
      <c r="J49" s="905"/>
    </row>
    <row r="50" spans="1:10" x14ac:dyDescent="0.2">
      <c r="A50" s="906" t="s">
        <v>267</v>
      </c>
      <c r="B50" s="1212">
        <v>0.02</v>
      </c>
      <c r="C50" s="611">
        <v>0</v>
      </c>
      <c r="D50" s="611">
        <v>0</v>
      </c>
      <c r="E50" s="907">
        <f t="shared" ref="E50:E56" si="5">+C50+D50</f>
        <v>0</v>
      </c>
      <c r="F50" s="611">
        <v>0</v>
      </c>
      <c r="G50" s="611">
        <v>0</v>
      </c>
      <c r="H50" s="989">
        <v>0</v>
      </c>
      <c r="I50" s="989">
        <v>0</v>
      </c>
      <c r="J50" s="908">
        <f>+SUM(E50:I50)</f>
        <v>0</v>
      </c>
    </row>
    <row r="51" spans="1:10" x14ac:dyDescent="0.2">
      <c r="A51" s="909" t="s">
        <v>268</v>
      </c>
      <c r="B51" s="1213"/>
      <c r="C51" s="612">
        <v>0</v>
      </c>
      <c r="D51" s="612">
        <v>0</v>
      </c>
      <c r="E51" s="910">
        <f t="shared" si="5"/>
        <v>0</v>
      </c>
      <c r="F51" s="612">
        <v>0</v>
      </c>
      <c r="G51" s="612">
        <v>0</v>
      </c>
      <c r="H51" s="990">
        <v>0</v>
      </c>
      <c r="I51" s="990">
        <v>0</v>
      </c>
      <c r="J51" s="911">
        <f t="shared" ref="J51:J73" si="6">+SUM(E51:I51)</f>
        <v>0</v>
      </c>
    </row>
    <row r="52" spans="1:10" x14ac:dyDescent="0.2">
      <c r="A52" s="909" t="s">
        <v>269</v>
      </c>
      <c r="B52" s="1213"/>
      <c r="C52" s="612">
        <v>0</v>
      </c>
      <c r="D52" s="612">
        <v>0</v>
      </c>
      <c r="E52" s="910">
        <f t="shared" si="5"/>
        <v>0</v>
      </c>
      <c r="F52" s="612">
        <v>0</v>
      </c>
      <c r="G52" s="612">
        <v>0</v>
      </c>
      <c r="H52" s="990">
        <v>0</v>
      </c>
      <c r="I52" s="990">
        <v>0</v>
      </c>
      <c r="J52" s="911">
        <f t="shared" si="6"/>
        <v>0</v>
      </c>
    </row>
    <row r="53" spans="1:10" x14ac:dyDescent="0.2">
      <c r="A53" s="909" t="s">
        <v>302</v>
      </c>
      <c r="B53" s="1213"/>
      <c r="C53" s="612">
        <v>0</v>
      </c>
      <c r="D53" s="612">
        <v>0</v>
      </c>
      <c r="E53" s="910">
        <f t="shared" si="5"/>
        <v>0</v>
      </c>
      <c r="F53" s="612">
        <v>0</v>
      </c>
      <c r="G53" s="612">
        <v>0</v>
      </c>
      <c r="H53" s="990">
        <v>0</v>
      </c>
      <c r="I53" s="990">
        <v>0</v>
      </c>
      <c r="J53" s="911">
        <f t="shared" si="6"/>
        <v>0</v>
      </c>
    </row>
    <row r="54" spans="1:10" x14ac:dyDescent="0.2">
      <c r="A54" s="909" t="s">
        <v>303</v>
      </c>
      <c r="B54" s="1213"/>
      <c r="C54" s="612">
        <v>0</v>
      </c>
      <c r="D54" s="612">
        <v>0</v>
      </c>
      <c r="E54" s="910">
        <f t="shared" si="5"/>
        <v>0</v>
      </c>
      <c r="F54" s="612">
        <v>0</v>
      </c>
      <c r="G54" s="612">
        <v>0</v>
      </c>
      <c r="H54" s="990">
        <v>0</v>
      </c>
      <c r="I54" s="990">
        <v>0</v>
      </c>
      <c r="J54" s="911">
        <f t="shared" si="6"/>
        <v>0</v>
      </c>
    </row>
    <row r="55" spans="1:10" x14ac:dyDescent="0.2">
      <c r="A55" s="909" t="s">
        <v>304</v>
      </c>
      <c r="B55" s="1213"/>
      <c r="C55" s="612">
        <v>0</v>
      </c>
      <c r="D55" s="612">
        <v>0</v>
      </c>
      <c r="E55" s="910">
        <f t="shared" si="5"/>
        <v>0</v>
      </c>
      <c r="F55" s="612">
        <v>0</v>
      </c>
      <c r="G55" s="612">
        <v>0</v>
      </c>
      <c r="H55" s="990">
        <v>0</v>
      </c>
      <c r="I55" s="990">
        <v>0</v>
      </c>
      <c r="J55" s="911">
        <f t="shared" si="6"/>
        <v>0</v>
      </c>
    </row>
    <row r="56" spans="1:10" x14ac:dyDescent="0.2">
      <c r="A56" s="909" t="s">
        <v>305</v>
      </c>
      <c r="B56" s="1213"/>
      <c r="C56" s="612">
        <v>0</v>
      </c>
      <c r="D56" s="612">
        <v>0</v>
      </c>
      <c r="E56" s="910">
        <f t="shared" si="5"/>
        <v>0</v>
      </c>
      <c r="F56" s="612">
        <v>0</v>
      </c>
      <c r="G56" s="612">
        <v>0</v>
      </c>
      <c r="H56" s="990">
        <v>0</v>
      </c>
      <c r="I56" s="990">
        <v>0</v>
      </c>
      <c r="J56" s="911">
        <f t="shared" si="6"/>
        <v>0</v>
      </c>
    </row>
    <row r="57" spans="1:10" x14ac:dyDescent="0.2">
      <c r="A57" s="909" t="s">
        <v>276</v>
      </c>
      <c r="B57" s="1213"/>
      <c r="C57" s="612">
        <v>0</v>
      </c>
      <c r="D57" s="612">
        <v>0</v>
      </c>
      <c r="E57" s="910">
        <f>+C57+D57</f>
        <v>0</v>
      </c>
      <c r="F57" s="612">
        <v>0</v>
      </c>
      <c r="G57" s="612">
        <v>0</v>
      </c>
      <c r="H57" s="990">
        <v>0</v>
      </c>
      <c r="I57" s="990">
        <v>0</v>
      </c>
      <c r="J57" s="911">
        <f t="shared" si="6"/>
        <v>0</v>
      </c>
    </row>
    <row r="58" spans="1:10" x14ac:dyDescent="0.2">
      <c r="A58" s="909" t="s">
        <v>306</v>
      </c>
      <c r="B58" s="1213"/>
      <c r="C58" s="612">
        <v>0</v>
      </c>
      <c r="D58" s="612">
        <v>0</v>
      </c>
      <c r="E58" s="910">
        <f t="shared" ref="E58:E69" si="7">+C58+D58</f>
        <v>0</v>
      </c>
      <c r="F58" s="612">
        <v>0</v>
      </c>
      <c r="G58" s="612">
        <v>0</v>
      </c>
      <c r="H58" s="990">
        <v>0</v>
      </c>
      <c r="I58" s="990">
        <v>0</v>
      </c>
      <c r="J58" s="911">
        <f t="shared" si="6"/>
        <v>0</v>
      </c>
    </row>
    <row r="59" spans="1:10" x14ac:dyDescent="0.2">
      <c r="A59" s="909" t="s">
        <v>307</v>
      </c>
      <c r="B59" s="1213"/>
      <c r="C59" s="612">
        <v>0</v>
      </c>
      <c r="D59" s="612">
        <v>0</v>
      </c>
      <c r="E59" s="910">
        <f t="shared" si="7"/>
        <v>0</v>
      </c>
      <c r="F59" s="612">
        <v>0</v>
      </c>
      <c r="G59" s="612">
        <v>0</v>
      </c>
      <c r="H59" s="990">
        <v>0</v>
      </c>
      <c r="I59" s="990">
        <v>0</v>
      </c>
      <c r="J59" s="911">
        <f t="shared" si="6"/>
        <v>0</v>
      </c>
    </row>
    <row r="60" spans="1:10" x14ac:dyDescent="0.2">
      <c r="A60" s="909" t="s">
        <v>308</v>
      </c>
      <c r="B60" s="1213"/>
      <c r="C60" s="612">
        <v>0</v>
      </c>
      <c r="D60" s="612">
        <v>0</v>
      </c>
      <c r="E60" s="910">
        <f t="shared" si="7"/>
        <v>0</v>
      </c>
      <c r="F60" s="612">
        <v>0</v>
      </c>
      <c r="G60" s="612">
        <v>0</v>
      </c>
      <c r="H60" s="990">
        <v>0</v>
      </c>
      <c r="I60" s="990">
        <v>0</v>
      </c>
      <c r="J60" s="911">
        <f t="shared" si="6"/>
        <v>0</v>
      </c>
    </row>
    <row r="61" spans="1:10" x14ac:dyDescent="0.2">
      <c r="A61" s="909" t="s">
        <v>309</v>
      </c>
      <c r="B61" s="1213"/>
      <c r="C61" s="612">
        <v>0</v>
      </c>
      <c r="D61" s="612">
        <v>0</v>
      </c>
      <c r="E61" s="910">
        <f t="shared" si="7"/>
        <v>0</v>
      </c>
      <c r="F61" s="612">
        <v>0</v>
      </c>
      <c r="G61" s="612">
        <v>0</v>
      </c>
      <c r="H61" s="990">
        <v>0</v>
      </c>
      <c r="I61" s="990">
        <v>0</v>
      </c>
      <c r="J61" s="911">
        <f t="shared" si="6"/>
        <v>0</v>
      </c>
    </row>
    <row r="62" spans="1:10" x14ac:dyDescent="0.2">
      <c r="A62" s="909" t="s">
        <v>281</v>
      </c>
      <c r="B62" s="1213"/>
      <c r="C62" s="612">
        <v>0</v>
      </c>
      <c r="D62" s="612">
        <v>0</v>
      </c>
      <c r="E62" s="910">
        <f t="shared" si="7"/>
        <v>0</v>
      </c>
      <c r="F62" s="612">
        <v>0</v>
      </c>
      <c r="G62" s="612">
        <v>0</v>
      </c>
      <c r="H62" s="990">
        <v>0</v>
      </c>
      <c r="I62" s="990">
        <v>0</v>
      </c>
      <c r="J62" s="911">
        <f t="shared" si="6"/>
        <v>0</v>
      </c>
    </row>
    <row r="63" spans="1:10" x14ac:dyDescent="0.2">
      <c r="A63" s="909" t="s">
        <v>298</v>
      </c>
      <c r="B63" s="1213"/>
      <c r="C63" s="612">
        <v>0</v>
      </c>
      <c r="D63" s="612">
        <v>0</v>
      </c>
      <c r="E63" s="910">
        <f t="shared" si="7"/>
        <v>0</v>
      </c>
      <c r="F63" s="612">
        <v>0</v>
      </c>
      <c r="G63" s="612">
        <v>0</v>
      </c>
      <c r="H63" s="990">
        <v>0</v>
      </c>
      <c r="I63" s="990">
        <v>0</v>
      </c>
      <c r="J63" s="911">
        <f t="shared" si="6"/>
        <v>0</v>
      </c>
    </row>
    <row r="64" spans="1:10" x14ac:dyDescent="0.2">
      <c r="A64" s="909" t="s">
        <v>282</v>
      </c>
      <c r="B64" s="1213"/>
      <c r="C64" s="612">
        <v>0</v>
      </c>
      <c r="D64" s="612">
        <v>0</v>
      </c>
      <c r="E64" s="910">
        <f t="shared" si="7"/>
        <v>0</v>
      </c>
      <c r="F64" s="612">
        <v>0</v>
      </c>
      <c r="G64" s="612">
        <v>0</v>
      </c>
      <c r="H64" s="990">
        <v>0</v>
      </c>
      <c r="I64" s="990">
        <v>0</v>
      </c>
      <c r="J64" s="911">
        <f t="shared" si="6"/>
        <v>0</v>
      </c>
    </row>
    <row r="65" spans="1:10" x14ac:dyDescent="0.2">
      <c r="A65" s="909" t="s">
        <v>283</v>
      </c>
      <c r="B65" s="1213"/>
      <c r="C65" s="612">
        <v>0</v>
      </c>
      <c r="D65" s="612">
        <v>0</v>
      </c>
      <c r="E65" s="910">
        <f t="shared" si="7"/>
        <v>0</v>
      </c>
      <c r="F65" s="612">
        <v>0</v>
      </c>
      <c r="G65" s="612">
        <v>0</v>
      </c>
      <c r="H65" s="990">
        <v>0</v>
      </c>
      <c r="I65" s="990">
        <v>0</v>
      </c>
      <c r="J65" s="911">
        <f t="shared" si="6"/>
        <v>0</v>
      </c>
    </row>
    <row r="66" spans="1:10" x14ac:dyDescent="0.2">
      <c r="A66" s="909" t="s">
        <v>284</v>
      </c>
      <c r="B66" s="1213"/>
      <c r="C66" s="612">
        <v>0</v>
      </c>
      <c r="D66" s="612">
        <v>0</v>
      </c>
      <c r="E66" s="910">
        <f t="shared" si="7"/>
        <v>0</v>
      </c>
      <c r="F66" s="612">
        <v>0</v>
      </c>
      <c r="G66" s="612">
        <v>0</v>
      </c>
      <c r="H66" s="990">
        <v>0</v>
      </c>
      <c r="I66" s="990">
        <v>0</v>
      </c>
      <c r="J66" s="911">
        <f t="shared" si="6"/>
        <v>0</v>
      </c>
    </row>
    <row r="67" spans="1:10" x14ac:dyDescent="0.2">
      <c r="A67" s="909" t="s">
        <v>310</v>
      </c>
      <c r="B67" s="1213"/>
      <c r="C67" s="612">
        <v>0</v>
      </c>
      <c r="D67" s="612">
        <v>0</v>
      </c>
      <c r="E67" s="910">
        <f t="shared" si="7"/>
        <v>0</v>
      </c>
      <c r="F67" s="612">
        <v>0</v>
      </c>
      <c r="G67" s="612">
        <v>0</v>
      </c>
      <c r="H67" s="990">
        <v>0</v>
      </c>
      <c r="I67" s="990">
        <v>0</v>
      </c>
      <c r="J67" s="911">
        <f t="shared" si="6"/>
        <v>0</v>
      </c>
    </row>
    <row r="68" spans="1:10" x14ac:dyDescent="0.2">
      <c r="A68" s="909" t="s">
        <v>286</v>
      </c>
      <c r="B68" s="1213"/>
      <c r="C68" s="612">
        <v>0</v>
      </c>
      <c r="D68" s="612">
        <v>0</v>
      </c>
      <c r="E68" s="910">
        <f t="shared" si="7"/>
        <v>0</v>
      </c>
      <c r="F68" s="612">
        <v>0</v>
      </c>
      <c r="G68" s="612">
        <v>0</v>
      </c>
      <c r="H68" s="990">
        <v>0</v>
      </c>
      <c r="I68" s="990">
        <v>0</v>
      </c>
      <c r="J68" s="911">
        <f t="shared" si="6"/>
        <v>0</v>
      </c>
    </row>
    <row r="69" spans="1:10" x14ac:dyDescent="0.2">
      <c r="A69" s="909" t="s">
        <v>287</v>
      </c>
      <c r="B69" s="1213"/>
      <c r="C69" s="612">
        <v>0</v>
      </c>
      <c r="D69" s="612">
        <v>0</v>
      </c>
      <c r="E69" s="910">
        <f t="shared" si="7"/>
        <v>0</v>
      </c>
      <c r="F69" s="612">
        <v>0</v>
      </c>
      <c r="G69" s="612">
        <v>0</v>
      </c>
      <c r="H69" s="990">
        <v>0</v>
      </c>
      <c r="I69" s="990">
        <v>0</v>
      </c>
      <c r="J69" s="911">
        <f t="shared" si="6"/>
        <v>0</v>
      </c>
    </row>
    <row r="70" spans="1:10" x14ac:dyDescent="0.2">
      <c r="A70" s="928" t="s">
        <v>288</v>
      </c>
      <c r="B70" s="1213"/>
      <c r="C70" s="616">
        <v>0</v>
      </c>
      <c r="D70" s="616">
        <v>0</v>
      </c>
      <c r="E70" s="929">
        <f>+C70+D70</f>
        <v>0</v>
      </c>
      <c r="F70" s="616">
        <v>0</v>
      </c>
      <c r="G70" s="616">
        <v>0</v>
      </c>
      <c r="H70" s="997">
        <v>0</v>
      </c>
      <c r="I70" s="997">
        <v>0</v>
      </c>
      <c r="J70" s="930">
        <f t="shared" si="6"/>
        <v>0</v>
      </c>
    </row>
    <row r="71" spans="1:10" x14ac:dyDescent="0.2">
      <c r="A71" s="909" t="s">
        <v>290</v>
      </c>
      <c r="B71" s="1213"/>
      <c r="C71" s="616">
        <v>0</v>
      </c>
      <c r="D71" s="616">
        <v>0</v>
      </c>
      <c r="E71" s="929">
        <f>+C71+D71</f>
        <v>0</v>
      </c>
      <c r="F71" s="616">
        <v>0</v>
      </c>
      <c r="G71" s="616">
        <v>0</v>
      </c>
      <c r="H71" s="997">
        <v>0</v>
      </c>
      <c r="I71" s="997">
        <v>0</v>
      </c>
      <c r="J71" s="930">
        <f t="shared" si="6"/>
        <v>0</v>
      </c>
    </row>
    <row r="72" spans="1:10" x14ac:dyDescent="0.2">
      <c r="A72" s="928" t="s">
        <v>293</v>
      </c>
      <c r="B72" s="1213"/>
      <c r="C72" s="616">
        <v>0</v>
      </c>
      <c r="D72" s="616">
        <v>0</v>
      </c>
      <c r="E72" s="929">
        <f>+C72+D72</f>
        <v>0</v>
      </c>
      <c r="F72" s="616">
        <v>0</v>
      </c>
      <c r="G72" s="616">
        <v>0</v>
      </c>
      <c r="H72" s="997">
        <v>0</v>
      </c>
      <c r="I72" s="997">
        <v>0</v>
      </c>
      <c r="J72" s="930">
        <f t="shared" si="6"/>
        <v>0</v>
      </c>
    </row>
    <row r="73" spans="1:10" ht="13.5" thickBot="1" x14ac:dyDescent="0.25">
      <c r="A73" s="931" t="s">
        <v>295</v>
      </c>
      <c r="B73" s="1214"/>
      <c r="C73" s="617">
        <v>0</v>
      </c>
      <c r="D73" s="617">
        <v>0</v>
      </c>
      <c r="E73" s="932">
        <f>+C73+D73</f>
        <v>0</v>
      </c>
      <c r="F73" s="617">
        <v>0</v>
      </c>
      <c r="G73" s="617">
        <v>0</v>
      </c>
      <c r="H73" s="998">
        <v>0</v>
      </c>
      <c r="I73" s="998">
        <v>0</v>
      </c>
      <c r="J73" s="933">
        <f t="shared" si="6"/>
        <v>0</v>
      </c>
    </row>
    <row r="74" spans="1:10" x14ac:dyDescent="0.2">
      <c r="A74" s="915"/>
      <c r="B74" s="916"/>
      <c r="C74" s="934"/>
      <c r="D74" s="934"/>
      <c r="E74" s="934"/>
      <c r="F74" s="934"/>
      <c r="G74" s="934"/>
      <c r="H74" s="999"/>
      <c r="I74" s="999"/>
      <c r="J74" s="934"/>
    </row>
    <row r="75" spans="1:10" x14ac:dyDescent="0.2">
      <c r="A75" s="915" t="s">
        <v>296</v>
      </c>
      <c r="B75" s="916"/>
      <c r="C75" s="918">
        <f t="shared" ref="C75:J75" si="8">SUM(C50:C73)</f>
        <v>0</v>
      </c>
      <c r="D75" s="918">
        <f t="shared" si="8"/>
        <v>0</v>
      </c>
      <c r="E75" s="918">
        <f t="shared" si="8"/>
        <v>0</v>
      </c>
      <c r="F75" s="918">
        <f t="shared" ref="F75" si="9">SUM(F50:F73)</f>
        <v>0</v>
      </c>
      <c r="G75" s="918">
        <f t="shared" si="8"/>
        <v>0</v>
      </c>
      <c r="H75" s="993">
        <f t="shared" si="8"/>
        <v>0</v>
      </c>
      <c r="I75" s="993">
        <f t="shared" ref="I75" si="10">SUM(I50:I73)</f>
        <v>0</v>
      </c>
      <c r="J75" s="918">
        <f t="shared" si="8"/>
        <v>0</v>
      </c>
    </row>
    <row r="76" spans="1:10" ht="13.5" thickBot="1" x14ac:dyDescent="0.25">
      <c r="A76" s="919"/>
      <c r="B76" s="920"/>
      <c r="C76" s="921"/>
      <c r="D76" s="921"/>
      <c r="E76" s="921"/>
      <c r="F76" s="921"/>
      <c r="G76" s="921"/>
      <c r="H76" s="994"/>
      <c r="I76" s="994"/>
      <c r="J76" s="922"/>
    </row>
  </sheetData>
  <sheetProtection algorithmName="SHA-512" hashValue="z4Gzag3GOVBiFAGGygPniziIWL+k6MfBOyMbS+CP+UZgDtpj5rmKTMB6klqo7ZULj4qvZnkEY3GYJBldwR8g7g==" saltValue="WmgvgbM/DVGmqG1kdnWgGw==" spinCount="100000" sheet="1" objects="1" scenarios="1"/>
  <mergeCells count="5">
    <mergeCell ref="A1:G1"/>
    <mergeCell ref="A14:J14"/>
    <mergeCell ref="B17:B40"/>
    <mergeCell ref="A47:J47"/>
    <mergeCell ref="B50:B73"/>
  </mergeCells>
  <conditionalFormatting sqref="A1:XFD1048576">
    <cfRule type="expression" dxfId="2" priority="2">
      <formula>$K$1="elektriciteit"</formula>
    </cfRule>
  </conditionalFormatting>
  <dataValidations count="3">
    <dataValidation type="decimal" operator="greaterThanOrEqual" allowBlank="1" showInputMessage="1" showErrorMessage="1" errorTitle="Negatief bedrag" error="Gelieve een positieve waarde in te geven" sqref="C17:C40 C50:C73" xr:uid="{A02E0725-4398-4B81-9F27-765B7E3D8AB3}">
      <formula1>0</formula1>
    </dataValidation>
    <dataValidation type="decimal" operator="greaterThanOrEqual" allowBlank="1" showInputMessage="1" showErrorMessage="1" errorTitle="Negatieve waarde" error="Gelieve positieve waarde in te geven" sqref="JE65523:JF65545 TA65523:TB65545 ACW65523:ACX65545 AMS65523:AMT65545 AWO65523:AWP65545 BGK65523:BGL65545 BQG65523:BQH65545 CAC65523:CAD65545 CJY65523:CJZ65545 CTU65523:CTV65545 DDQ65523:DDR65545 DNM65523:DNN65545 DXI65523:DXJ65545 EHE65523:EHF65545 ERA65523:ERB65545 FAW65523:FAX65545 FKS65523:FKT65545 FUO65523:FUP65545 GEK65523:GEL65545 GOG65523:GOH65545 GYC65523:GYD65545 HHY65523:HHZ65545 HRU65523:HRV65545 IBQ65523:IBR65545 ILM65523:ILN65545 IVI65523:IVJ65545 JFE65523:JFF65545 JPA65523:JPB65545 JYW65523:JYX65545 KIS65523:KIT65545 KSO65523:KSP65545 LCK65523:LCL65545 LMG65523:LMH65545 LWC65523:LWD65545 MFY65523:MFZ65545 MPU65523:MPV65545 MZQ65523:MZR65545 NJM65523:NJN65545 NTI65523:NTJ65545 ODE65523:ODF65545 ONA65523:ONB65545 OWW65523:OWX65545 PGS65523:PGT65545 PQO65523:PQP65545 QAK65523:QAL65545 QKG65523:QKH65545 QUC65523:QUD65545 RDY65523:RDZ65545 RNU65523:RNV65545 RXQ65523:RXR65545 SHM65523:SHN65545 SRI65523:SRJ65545 TBE65523:TBF65545 TLA65523:TLB65545 TUW65523:TUX65545 UES65523:UET65545 UOO65523:UOP65545 UYK65523:UYL65545 VIG65523:VIH65545 VSC65523:VSD65545 WBY65523:WBZ65545 WLU65523:WLV65545 WVQ65523:WVR65545 JE131059:JF131081 TA131059:TB131081 ACW131059:ACX131081 AMS131059:AMT131081 AWO131059:AWP131081 BGK131059:BGL131081 BQG131059:BQH131081 CAC131059:CAD131081 CJY131059:CJZ131081 CTU131059:CTV131081 DDQ131059:DDR131081 DNM131059:DNN131081 DXI131059:DXJ131081 EHE131059:EHF131081 ERA131059:ERB131081 FAW131059:FAX131081 FKS131059:FKT131081 FUO131059:FUP131081 GEK131059:GEL131081 GOG131059:GOH131081 GYC131059:GYD131081 HHY131059:HHZ131081 HRU131059:HRV131081 IBQ131059:IBR131081 ILM131059:ILN131081 IVI131059:IVJ131081 JFE131059:JFF131081 JPA131059:JPB131081 JYW131059:JYX131081 KIS131059:KIT131081 KSO131059:KSP131081 LCK131059:LCL131081 LMG131059:LMH131081 LWC131059:LWD131081 MFY131059:MFZ131081 MPU131059:MPV131081 MZQ131059:MZR131081 NJM131059:NJN131081 NTI131059:NTJ131081 ODE131059:ODF131081 ONA131059:ONB131081 OWW131059:OWX131081 PGS131059:PGT131081 PQO131059:PQP131081 QAK131059:QAL131081 QKG131059:QKH131081 QUC131059:QUD131081 RDY131059:RDZ131081 RNU131059:RNV131081 RXQ131059:RXR131081 SHM131059:SHN131081 SRI131059:SRJ131081 TBE131059:TBF131081 TLA131059:TLB131081 TUW131059:TUX131081 UES131059:UET131081 UOO131059:UOP131081 UYK131059:UYL131081 VIG131059:VIH131081 VSC131059:VSD131081 WBY131059:WBZ131081 WLU131059:WLV131081 WVQ131059:WVR131081 JE196595:JF196617 TA196595:TB196617 ACW196595:ACX196617 AMS196595:AMT196617 AWO196595:AWP196617 BGK196595:BGL196617 BQG196595:BQH196617 CAC196595:CAD196617 CJY196595:CJZ196617 CTU196595:CTV196617 DDQ196595:DDR196617 DNM196595:DNN196617 DXI196595:DXJ196617 EHE196595:EHF196617 ERA196595:ERB196617 FAW196595:FAX196617 FKS196595:FKT196617 FUO196595:FUP196617 GEK196595:GEL196617 GOG196595:GOH196617 GYC196595:GYD196617 HHY196595:HHZ196617 HRU196595:HRV196617 IBQ196595:IBR196617 ILM196595:ILN196617 IVI196595:IVJ196617 JFE196595:JFF196617 JPA196595:JPB196617 JYW196595:JYX196617 KIS196595:KIT196617 KSO196595:KSP196617 LCK196595:LCL196617 LMG196595:LMH196617 LWC196595:LWD196617 MFY196595:MFZ196617 MPU196595:MPV196617 MZQ196595:MZR196617 NJM196595:NJN196617 NTI196595:NTJ196617 ODE196595:ODF196617 ONA196595:ONB196617 OWW196595:OWX196617 PGS196595:PGT196617 PQO196595:PQP196617 QAK196595:QAL196617 QKG196595:QKH196617 QUC196595:QUD196617 RDY196595:RDZ196617 RNU196595:RNV196617 RXQ196595:RXR196617 SHM196595:SHN196617 SRI196595:SRJ196617 TBE196595:TBF196617 TLA196595:TLB196617 TUW196595:TUX196617 UES196595:UET196617 UOO196595:UOP196617 UYK196595:UYL196617 VIG196595:VIH196617 VSC196595:VSD196617 WBY196595:WBZ196617 WLU196595:WLV196617 WVQ196595:WVR196617 JE262131:JF262153 TA262131:TB262153 ACW262131:ACX262153 AMS262131:AMT262153 AWO262131:AWP262153 BGK262131:BGL262153 BQG262131:BQH262153 CAC262131:CAD262153 CJY262131:CJZ262153 CTU262131:CTV262153 DDQ262131:DDR262153 DNM262131:DNN262153 DXI262131:DXJ262153 EHE262131:EHF262153 ERA262131:ERB262153 FAW262131:FAX262153 FKS262131:FKT262153 FUO262131:FUP262153 GEK262131:GEL262153 GOG262131:GOH262153 GYC262131:GYD262153 HHY262131:HHZ262153 HRU262131:HRV262153 IBQ262131:IBR262153 ILM262131:ILN262153 IVI262131:IVJ262153 JFE262131:JFF262153 JPA262131:JPB262153 JYW262131:JYX262153 KIS262131:KIT262153 KSO262131:KSP262153 LCK262131:LCL262153 LMG262131:LMH262153 LWC262131:LWD262153 MFY262131:MFZ262153 MPU262131:MPV262153 MZQ262131:MZR262153 NJM262131:NJN262153 NTI262131:NTJ262153 ODE262131:ODF262153 ONA262131:ONB262153 OWW262131:OWX262153 PGS262131:PGT262153 PQO262131:PQP262153 QAK262131:QAL262153 QKG262131:QKH262153 QUC262131:QUD262153 RDY262131:RDZ262153 RNU262131:RNV262153 RXQ262131:RXR262153 SHM262131:SHN262153 SRI262131:SRJ262153 TBE262131:TBF262153 TLA262131:TLB262153 TUW262131:TUX262153 UES262131:UET262153 UOO262131:UOP262153 UYK262131:UYL262153 VIG262131:VIH262153 VSC262131:VSD262153 WBY262131:WBZ262153 WLU262131:WLV262153 WVQ262131:WVR262153 JE327667:JF327689 TA327667:TB327689 ACW327667:ACX327689 AMS327667:AMT327689 AWO327667:AWP327689 BGK327667:BGL327689 BQG327667:BQH327689 CAC327667:CAD327689 CJY327667:CJZ327689 CTU327667:CTV327689 DDQ327667:DDR327689 DNM327667:DNN327689 DXI327667:DXJ327689 EHE327667:EHF327689 ERA327667:ERB327689 FAW327667:FAX327689 FKS327667:FKT327689 FUO327667:FUP327689 GEK327667:GEL327689 GOG327667:GOH327689 GYC327667:GYD327689 HHY327667:HHZ327689 HRU327667:HRV327689 IBQ327667:IBR327689 ILM327667:ILN327689 IVI327667:IVJ327689 JFE327667:JFF327689 JPA327667:JPB327689 JYW327667:JYX327689 KIS327667:KIT327689 KSO327667:KSP327689 LCK327667:LCL327689 LMG327667:LMH327689 LWC327667:LWD327689 MFY327667:MFZ327689 MPU327667:MPV327689 MZQ327667:MZR327689 NJM327667:NJN327689 NTI327667:NTJ327689 ODE327667:ODF327689 ONA327667:ONB327689 OWW327667:OWX327689 PGS327667:PGT327689 PQO327667:PQP327689 QAK327667:QAL327689 QKG327667:QKH327689 QUC327667:QUD327689 RDY327667:RDZ327689 RNU327667:RNV327689 RXQ327667:RXR327689 SHM327667:SHN327689 SRI327667:SRJ327689 TBE327667:TBF327689 TLA327667:TLB327689 TUW327667:TUX327689 UES327667:UET327689 UOO327667:UOP327689 UYK327667:UYL327689 VIG327667:VIH327689 VSC327667:VSD327689 WBY327667:WBZ327689 WLU327667:WLV327689 WVQ327667:WVR327689 JE393203:JF393225 TA393203:TB393225 ACW393203:ACX393225 AMS393203:AMT393225 AWO393203:AWP393225 BGK393203:BGL393225 BQG393203:BQH393225 CAC393203:CAD393225 CJY393203:CJZ393225 CTU393203:CTV393225 DDQ393203:DDR393225 DNM393203:DNN393225 DXI393203:DXJ393225 EHE393203:EHF393225 ERA393203:ERB393225 FAW393203:FAX393225 FKS393203:FKT393225 FUO393203:FUP393225 GEK393203:GEL393225 GOG393203:GOH393225 GYC393203:GYD393225 HHY393203:HHZ393225 HRU393203:HRV393225 IBQ393203:IBR393225 ILM393203:ILN393225 IVI393203:IVJ393225 JFE393203:JFF393225 JPA393203:JPB393225 JYW393203:JYX393225 KIS393203:KIT393225 KSO393203:KSP393225 LCK393203:LCL393225 LMG393203:LMH393225 LWC393203:LWD393225 MFY393203:MFZ393225 MPU393203:MPV393225 MZQ393203:MZR393225 NJM393203:NJN393225 NTI393203:NTJ393225 ODE393203:ODF393225 ONA393203:ONB393225 OWW393203:OWX393225 PGS393203:PGT393225 PQO393203:PQP393225 QAK393203:QAL393225 QKG393203:QKH393225 QUC393203:QUD393225 RDY393203:RDZ393225 RNU393203:RNV393225 RXQ393203:RXR393225 SHM393203:SHN393225 SRI393203:SRJ393225 TBE393203:TBF393225 TLA393203:TLB393225 TUW393203:TUX393225 UES393203:UET393225 UOO393203:UOP393225 UYK393203:UYL393225 VIG393203:VIH393225 VSC393203:VSD393225 WBY393203:WBZ393225 WLU393203:WLV393225 WVQ393203:WVR393225 JE458739:JF458761 TA458739:TB458761 ACW458739:ACX458761 AMS458739:AMT458761 AWO458739:AWP458761 BGK458739:BGL458761 BQG458739:BQH458761 CAC458739:CAD458761 CJY458739:CJZ458761 CTU458739:CTV458761 DDQ458739:DDR458761 DNM458739:DNN458761 DXI458739:DXJ458761 EHE458739:EHF458761 ERA458739:ERB458761 FAW458739:FAX458761 FKS458739:FKT458761 FUO458739:FUP458761 GEK458739:GEL458761 GOG458739:GOH458761 GYC458739:GYD458761 HHY458739:HHZ458761 HRU458739:HRV458761 IBQ458739:IBR458761 ILM458739:ILN458761 IVI458739:IVJ458761 JFE458739:JFF458761 JPA458739:JPB458761 JYW458739:JYX458761 KIS458739:KIT458761 KSO458739:KSP458761 LCK458739:LCL458761 LMG458739:LMH458761 LWC458739:LWD458761 MFY458739:MFZ458761 MPU458739:MPV458761 MZQ458739:MZR458761 NJM458739:NJN458761 NTI458739:NTJ458761 ODE458739:ODF458761 ONA458739:ONB458761 OWW458739:OWX458761 PGS458739:PGT458761 PQO458739:PQP458761 QAK458739:QAL458761 QKG458739:QKH458761 QUC458739:QUD458761 RDY458739:RDZ458761 RNU458739:RNV458761 RXQ458739:RXR458761 SHM458739:SHN458761 SRI458739:SRJ458761 TBE458739:TBF458761 TLA458739:TLB458761 TUW458739:TUX458761 UES458739:UET458761 UOO458739:UOP458761 UYK458739:UYL458761 VIG458739:VIH458761 VSC458739:VSD458761 WBY458739:WBZ458761 WLU458739:WLV458761 WVQ458739:WVR458761 JE524275:JF524297 TA524275:TB524297 ACW524275:ACX524297 AMS524275:AMT524297 AWO524275:AWP524297 BGK524275:BGL524297 BQG524275:BQH524297 CAC524275:CAD524297 CJY524275:CJZ524297 CTU524275:CTV524297 DDQ524275:DDR524297 DNM524275:DNN524297 DXI524275:DXJ524297 EHE524275:EHF524297 ERA524275:ERB524297 FAW524275:FAX524297 FKS524275:FKT524297 FUO524275:FUP524297 GEK524275:GEL524297 GOG524275:GOH524297 GYC524275:GYD524297 HHY524275:HHZ524297 HRU524275:HRV524297 IBQ524275:IBR524297 ILM524275:ILN524297 IVI524275:IVJ524297 JFE524275:JFF524297 JPA524275:JPB524297 JYW524275:JYX524297 KIS524275:KIT524297 KSO524275:KSP524297 LCK524275:LCL524297 LMG524275:LMH524297 LWC524275:LWD524297 MFY524275:MFZ524297 MPU524275:MPV524297 MZQ524275:MZR524297 NJM524275:NJN524297 NTI524275:NTJ524297 ODE524275:ODF524297 ONA524275:ONB524297 OWW524275:OWX524297 PGS524275:PGT524297 PQO524275:PQP524297 QAK524275:QAL524297 QKG524275:QKH524297 QUC524275:QUD524297 RDY524275:RDZ524297 RNU524275:RNV524297 RXQ524275:RXR524297 SHM524275:SHN524297 SRI524275:SRJ524297 TBE524275:TBF524297 TLA524275:TLB524297 TUW524275:TUX524297 UES524275:UET524297 UOO524275:UOP524297 UYK524275:UYL524297 VIG524275:VIH524297 VSC524275:VSD524297 WBY524275:WBZ524297 WLU524275:WLV524297 WVQ524275:WVR524297 JE589811:JF589833 TA589811:TB589833 ACW589811:ACX589833 AMS589811:AMT589833 AWO589811:AWP589833 BGK589811:BGL589833 BQG589811:BQH589833 CAC589811:CAD589833 CJY589811:CJZ589833 CTU589811:CTV589833 DDQ589811:DDR589833 DNM589811:DNN589833 DXI589811:DXJ589833 EHE589811:EHF589833 ERA589811:ERB589833 FAW589811:FAX589833 FKS589811:FKT589833 FUO589811:FUP589833 GEK589811:GEL589833 GOG589811:GOH589833 GYC589811:GYD589833 HHY589811:HHZ589833 HRU589811:HRV589833 IBQ589811:IBR589833 ILM589811:ILN589833 IVI589811:IVJ589833 JFE589811:JFF589833 JPA589811:JPB589833 JYW589811:JYX589833 KIS589811:KIT589833 KSO589811:KSP589833 LCK589811:LCL589833 LMG589811:LMH589833 LWC589811:LWD589833 MFY589811:MFZ589833 MPU589811:MPV589833 MZQ589811:MZR589833 NJM589811:NJN589833 NTI589811:NTJ589833 ODE589811:ODF589833 ONA589811:ONB589833 OWW589811:OWX589833 PGS589811:PGT589833 PQO589811:PQP589833 QAK589811:QAL589833 QKG589811:QKH589833 QUC589811:QUD589833 RDY589811:RDZ589833 RNU589811:RNV589833 RXQ589811:RXR589833 SHM589811:SHN589833 SRI589811:SRJ589833 TBE589811:TBF589833 TLA589811:TLB589833 TUW589811:TUX589833 UES589811:UET589833 UOO589811:UOP589833 UYK589811:UYL589833 VIG589811:VIH589833 VSC589811:VSD589833 WBY589811:WBZ589833 WLU589811:WLV589833 WVQ589811:WVR589833 JE655347:JF655369 TA655347:TB655369 ACW655347:ACX655369 AMS655347:AMT655369 AWO655347:AWP655369 BGK655347:BGL655369 BQG655347:BQH655369 CAC655347:CAD655369 CJY655347:CJZ655369 CTU655347:CTV655369 DDQ655347:DDR655369 DNM655347:DNN655369 DXI655347:DXJ655369 EHE655347:EHF655369 ERA655347:ERB655369 FAW655347:FAX655369 FKS655347:FKT655369 FUO655347:FUP655369 GEK655347:GEL655369 GOG655347:GOH655369 GYC655347:GYD655369 HHY655347:HHZ655369 HRU655347:HRV655369 IBQ655347:IBR655369 ILM655347:ILN655369 IVI655347:IVJ655369 JFE655347:JFF655369 JPA655347:JPB655369 JYW655347:JYX655369 KIS655347:KIT655369 KSO655347:KSP655369 LCK655347:LCL655369 LMG655347:LMH655369 LWC655347:LWD655369 MFY655347:MFZ655369 MPU655347:MPV655369 MZQ655347:MZR655369 NJM655347:NJN655369 NTI655347:NTJ655369 ODE655347:ODF655369 ONA655347:ONB655369 OWW655347:OWX655369 PGS655347:PGT655369 PQO655347:PQP655369 QAK655347:QAL655369 QKG655347:QKH655369 QUC655347:QUD655369 RDY655347:RDZ655369 RNU655347:RNV655369 RXQ655347:RXR655369 SHM655347:SHN655369 SRI655347:SRJ655369 TBE655347:TBF655369 TLA655347:TLB655369 TUW655347:TUX655369 UES655347:UET655369 UOO655347:UOP655369 UYK655347:UYL655369 VIG655347:VIH655369 VSC655347:VSD655369 WBY655347:WBZ655369 WLU655347:WLV655369 WVQ655347:WVR655369 JE720883:JF720905 TA720883:TB720905 ACW720883:ACX720905 AMS720883:AMT720905 AWO720883:AWP720905 BGK720883:BGL720905 BQG720883:BQH720905 CAC720883:CAD720905 CJY720883:CJZ720905 CTU720883:CTV720905 DDQ720883:DDR720905 DNM720883:DNN720905 DXI720883:DXJ720905 EHE720883:EHF720905 ERA720883:ERB720905 FAW720883:FAX720905 FKS720883:FKT720905 FUO720883:FUP720905 GEK720883:GEL720905 GOG720883:GOH720905 GYC720883:GYD720905 HHY720883:HHZ720905 HRU720883:HRV720905 IBQ720883:IBR720905 ILM720883:ILN720905 IVI720883:IVJ720905 JFE720883:JFF720905 JPA720883:JPB720905 JYW720883:JYX720905 KIS720883:KIT720905 KSO720883:KSP720905 LCK720883:LCL720905 LMG720883:LMH720905 LWC720883:LWD720905 MFY720883:MFZ720905 MPU720883:MPV720905 MZQ720883:MZR720905 NJM720883:NJN720905 NTI720883:NTJ720905 ODE720883:ODF720905 ONA720883:ONB720905 OWW720883:OWX720905 PGS720883:PGT720905 PQO720883:PQP720905 QAK720883:QAL720905 QKG720883:QKH720905 QUC720883:QUD720905 RDY720883:RDZ720905 RNU720883:RNV720905 RXQ720883:RXR720905 SHM720883:SHN720905 SRI720883:SRJ720905 TBE720883:TBF720905 TLA720883:TLB720905 TUW720883:TUX720905 UES720883:UET720905 UOO720883:UOP720905 UYK720883:UYL720905 VIG720883:VIH720905 VSC720883:VSD720905 WBY720883:WBZ720905 WLU720883:WLV720905 WVQ720883:WVR720905 JE786419:JF786441 TA786419:TB786441 ACW786419:ACX786441 AMS786419:AMT786441 AWO786419:AWP786441 BGK786419:BGL786441 BQG786419:BQH786441 CAC786419:CAD786441 CJY786419:CJZ786441 CTU786419:CTV786441 DDQ786419:DDR786441 DNM786419:DNN786441 DXI786419:DXJ786441 EHE786419:EHF786441 ERA786419:ERB786441 FAW786419:FAX786441 FKS786419:FKT786441 FUO786419:FUP786441 GEK786419:GEL786441 GOG786419:GOH786441 GYC786419:GYD786441 HHY786419:HHZ786441 HRU786419:HRV786441 IBQ786419:IBR786441 ILM786419:ILN786441 IVI786419:IVJ786441 JFE786419:JFF786441 JPA786419:JPB786441 JYW786419:JYX786441 KIS786419:KIT786441 KSO786419:KSP786441 LCK786419:LCL786441 LMG786419:LMH786441 LWC786419:LWD786441 MFY786419:MFZ786441 MPU786419:MPV786441 MZQ786419:MZR786441 NJM786419:NJN786441 NTI786419:NTJ786441 ODE786419:ODF786441 ONA786419:ONB786441 OWW786419:OWX786441 PGS786419:PGT786441 PQO786419:PQP786441 QAK786419:QAL786441 QKG786419:QKH786441 QUC786419:QUD786441 RDY786419:RDZ786441 RNU786419:RNV786441 RXQ786419:RXR786441 SHM786419:SHN786441 SRI786419:SRJ786441 TBE786419:TBF786441 TLA786419:TLB786441 TUW786419:TUX786441 UES786419:UET786441 UOO786419:UOP786441 UYK786419:UYL786441 VIG786419:VIH786441 VSC786419:VSD786441 WBY786419:WBZ786441 WLU786419:WLV786441 WVQ786419:WVR786441 JE851955:JF851977 TA851955:TB851977 ACW851955:ACX851977 AMS851955:AMT851977 AWO851955:AWP851977 BGK851955:BGL851977 BQG851955:BQH851977 CAC851955:CAD851977 CJY851955:CJZ851977 CTU851955:CTV851977 DDQ851955:DDR851977 DNM851955:DNN851977 DXI851955:DXJ851977 EHE851955:EHF851977 ERA851955:ERB851977 FAW851955:FAX851977 FKS851955:FKT851977 FUO851955:FUP851977 GEK851955:GEL851977 GOG851955:GOH851977 GYC851955:GYD851977 HHY851955:HHZ851977 HRU851955:HRV851977 IBQ851955:IBR851977 ILM851955:ILN851977 IVI851955:IVJ851977 JFE851955:JFF851977 JPA851955:JPB851977 JYW851955:JYX851977 KIS851955:KIT851977 KSO851955:KSP851977 LCK851955:LCL851977 LMG851955:LMH851977 LWC851955:LWD851977 MFY851955:MFZ851977 MPU851955:MPV851977 MZQ851955:MZR851977 NJM851955:NJN851977 NTI851955:NTJ851977 ODE851955:ODF851977 ONA851955:ONB851977 OWW851955:OWX851977 PGS851955:PGT851977 PQO851955:PQP851977 QAK851955:QAL851977 QKG851955:QKH851977 QUC851955:QUD851977 RDY851955:RDZ851977 RNU851955:RNV851977 RXQ851955:RXR851977 SHM851955:SHN851977 SRI851955:SRJ851977 TBE851955:TBF851977 TLA851955:TLB851977 TUW851955:TUX851977 UES851955:UET851977 UOO851955:UOP851977 UYK851955:UYL851977 VIG851955:VIH851977 VSC851955:VSD851977 WBY851955:WBZ851977 WLU851955:WLV851977 WVQ851955:WVR851977 JE917491:JF917513 TA917491:TB917513 ACW917491:ACX917513 AMS917491:AMT917513 AWO917491:AWP917513 BGK917491:BGL917513 BQG917491:BQH917513 CAC917491:CAD917513 CJY917491:CJZ917513 CTU917491:CTV917513 DDQ917491:DDR917513 DNM917491:DNN917513 DXI917491:DXJ917513 EHE917491:EHF917513 ERA917491:ERB917513 FAW917491:FAX917513 FKS917491:FKT917513 FUO917491:FUP917513 GEK917491:GEL917513 GOG917491:GOH917513 GYC917491:GYD917513 HHY917491:HHZ917513 HRU917491:HRV917513 IBQ917491:IBR917513 ILM917491:ILN917513 IVI917491:IVJ917513 JFE917491:JFF917513 JPA917491:JPB917513 JYW917491:JYX917513 KIS917491:KIT917513 KSO917491:KSP917513 LCK917491:LCL917513 LMG917491:LMH917513 LWC917491:LWD917513 MFY917491:MFZ917513 MPU917491:MPV917513 MZQ917491:MZR917513 NJM917491:NJN917513 NTI917491:NTJ917513 ODE917491:ODF917513 ONA917491:ONB917513 OWW917491:OWX917513 PGS917491:PGT917513 PQO917491:PQP917513 QAK917491:QAL917513 QKG917491:QKH917513 QUC917491:QUD917513 RDY917491:RDZ917513 RNU917491:RNV917513 RXQ917491:RXR917513 SHM917491:SHN917513 SRI917491:SRJ917513 TBE917491:TBF917513 TLA917491:TLB917513 TUW917491:TUX917513 UES917491:UET917513 UOO917491:UOP917513 UYK917491:UYL917513 VIG917491:VIH917513 VSC917491:VSD917513 WBY917491:WBZ917513 WLU917491:WLV917513 WVQ917491:WVR917513 WVV983027:WVV983049 JE983027:JF983049 TA983027:TB983049 ACW983027:ACX983049 AMS983027:AMT983049 AWO983027:AWP983049 BGK983027:BGL983049 BQG983027:BQH983049 CAC983027:CAD983049 CJY983027:CJZ983049 CTU983027:CTV983049 DDQ983027:DDR983049 DNM983027:DNN983049 DXI983027:DXJ983049 EHE983027:EHF983049 ERA983027:ERB983049 FAW983027:FAX983049 FKS983027:FKT983049 FUO983027:FUP983049 GEK983027:GEL983049 GOG983027:GOH983049 GYC983027:GYD983049 HHY983027:HHZ983049 HRU983027:HRV983049 IBQ983027:IBR983049 ILM983027:ILN983049 IVI983027:IVJ983049 JFE983027:JFF983049 JPA983027:JPB983049 JYW983027:JYX983049 KIS983027:KIT983049 KSO983027:KSP983049 LCK983027:LCL983049 LMG983027:LMH983049 LWC983027:LWD983049 MFY983027:MFZ983049 MPU983027:MPV983049 MZQ983027:MZR983049 NJM983027:NJN983049 NTI983027:NTJ983049 ODE983027:ODF983049 ONA983027:ONB983049 OWW983027:OWX983049 PGS983027:PGT983049 PQO983027:PQP983049 QAK983027:QAL983049 QKG983027:QKH983049 QUC983027:QUD983049 RDY983027:RDZ983049 RNU983027:RNV983049 RXQ983027:RXR983049 SHM983027:SHN983049 SRI983027:SRJ983049 TBE983027:TBF983049 TLA983027:TLB983049 TUW983027:TUX983049 UES983027:UET983049 UOO983027:UOP983049 UYK983027:UYL983049 VIG983027:VIH983049 VSC983027:VSD983049 WBY983027:WBZ983049 WLU983027:WLV983049 WVQ983027:WVR983049 C65523:C65545 JB65523:JB65545 SX65523:SX65545 ACT65523:ACT65545 AMP65523:AMP65545 AWL65523:AWL65545 BGH65523:BGH65545 BQD65523:BQD65545 BZZ65523:BZZ65545 CJV65523:CJV65545 CTR65523:CTR65545 DDN65523:DDN65545 DNJ65523:DNJ65545 DXF65523:DXF65545 EHB65523:EHB65545 EQX65523:EQX65545 FAT65523:FAT65545 FKP65523:FKP65545 FUL65523:FUL65545 GEH65523:GEH65545 GOD65523:GOD65545 GXZ65523:GXZ65545 HHV65523:HHV65545 HRR65523:HRR65545 IBN65523:IBN65545 ILJ65523:ILJ65545 IVF65523:IVF65545 JFB65523:JFB65545 JOX65523:JOX65545 JYT65523:JYT65545 KIP65523:KIP65545 KSL65523:KSL65545 LCH65523:LCH65545 LMD65523:LMD65545 LVZ65523:LVZ65545 MFV65523:MFV65545 MPR65523:MPR65545 MZN65523:MZN65545 NJJ65523:NJJ65545 NTF65523:NTF65545 ODB65523:ODB65545 OMX65523:OMX65545 OWT65523:OWT65545 PGP65523:PGP65545 PQL65523:PQL65545 QAH65523:QAH65545 QKD65523:QKD65545 QTZ65523:QTZ65545 RDV65523:RDV65545 RNR65523:RNR65545 RXN65523:RXN65545 SHJ65523:SHJ65545 SRF65523:SRF65545 TBB65523:TBB65545 TKX65523:TKX65545 TUT65523:TUT65545 UEP65523:UEP65545 UOL65523:UOL65545 UYH65523:UYH65545 VID65523:VID65545 VRZ65523:VRZ65545 WBV65523:WBV65545 WLR65523:WLR65545 WVN65523:WVN65545 C131059:C131081 JB131059:JB131081 SX131059:SX131081 ACT131059:ACT131081 AMP131059:AMP131081 AWL131059:AWL131081 BGH131059:BGH131081 BQD131059:BQD131081 BZZ131059:BZZ131081 CJV131059:CJV131081 CTR131059:CTR131081 DDN131059:DDN131081 DNJ131059:DNJ131081 DXF131059:DXF131081 EHB131059:EHB131081 EQX131059:EQX131081 FAT131059:FAT131081 FKP131059:FKP131081 FUL131059:FUL131081 GEH131059:GEH131081 GOD131059:GOD131081 GXZ131059:GXZ131081 HHV131059:HHV131081 HRR131059:HRR131081 IBN131059:IBN131081 ILJ131059:ILJ131081 IVF131059:IVF131081 JFB131059:JFB131081 JOX131059:JOX131081 JYT131059:JYT131081 KIP131059:KIP131081 KSL131059:KSL131081 LCH131059:LCH131081 LMD131059:LMD131081 LVZ131059:LVZ131081 MFV131059:MFV131081 MPR131059:MPR131081 MZN131059:MZN131081 NJJ131059:NJJ131081 NTF131059:NTF131081 ODB131059:ODB131081 OMX131059:OMX131081 OWT131059:OWT131081 PGP131059:PGP131081 PQL131059:PQL131081 QAH131059:QAH131081 QKD131059:QKD131081 QTZ131059:QTZ131081 RDV131059:RDV131081 RNR131059:RNR131081 RXN131059:RXN131081 SHJ131059:SHJ131081 SRF131059:SRF131081 TBB131059:TBB131081 TKX131059:TKX131081 TUT131059:TUT131081 UEP131059:UEP131081 UOL131059:UOL131081 UYH131059:UYH131081 VID131059:VID131081 VRZ131059:VRZ131081 WBV131059:WBV131081 WLR131059:WLR131081 WVN131059:WVN131081 C196595:C196617 JB196595:JB196617 SX196595:SX196617 ACT196595:ACT196617 AMP196595:AMP196617 AWL196595:AWL196617 BGH196595:BGH196617 BQD196595:BQD196617 BZZ196595:BZZ196617 CJV196595:CJV196617 CTR196595:CTR196617 DDN196595:DDN196617 DNJ196595:DNJ196617 DXF196595:DXF196617 EHB196595:EHB196617 EQX196595:EQX196617 FAT196595:FAT196617 FKP196595:FKP196617 FUL196595:FUL196617 GEH196595:GEH196617 GOD196595:GOD196617 GXZ196595:GXZ196617 HHV196595:HHV196617 HRR196595:HRR196617 IBN196595:IBN196617 ILJ196595:ILJ196617 IVF196595:IVF196617 JFB196595:JFB196617 JOX196595:JOX196617 JYT196595:JYT196617 KIP196595:KIP196617 KSL196595:KSL196617 LCH196595:LCH196617 LMD196595:LMD196617 LVZ196595:LVZ196617 MFV196595:MFV196617 MPR196595:MPR196617 MZN196595:MZN196617 NJJ196595:NJJ196617 NTF196595:NTF196617 ODB196595:ODB196617 OMX196595:OMX196617 OWT196595:OWT196617 PGP196595:PGP196617 PQL196595:PQL196617 QAH196595:QAH196617 QKD196595:QKD196617 QTZ196595:QTZ196617 RDV196595:RDV196617 RNR196595:RNR196617 RXN196595:RXN196617 SHJ196595:SHJ196617 SRF196595:SRF196617 TBB196595:TBB196617 TKX196595:TKX196617 TUT196595:TUT196617 UEP196595:UEP196617 UOL196595:UOL196617 UYH196595:UYH196617 VID196595:VID196617 VRZ196595:VRZ196617 WBV196595:WBV196617 WLR196595:WLR196617 WVN196595:WVN196617 C262131:C262153 JB262131:JB262153 SX262131:SX262153 ACT262131:ACT262153 AMP262131:AMP262153 AWL262131:AWL262153 BGH262131:BGH262153 BQD262131:BQD262153 BZZ262131:BZZ262153 CJV262131:CJV262153 CTR262131:CTR262153 DDN262131:DDN262153 DNJ262131:DNJ262153 DXF262131:DXF262153 EHB262131:EHB262153 EQX262131:EQX262153 FAT262131:FAT262153 FKP262131:FKP262153 FUL262131:FUL262153 GEH262131:GEH262153 GOD262131:GOD262153 GXZ262131:GXZ262153 HHV262131:HHV262153 HRR262131:HRR262153 IBN262131:IBN262153 ILJ262131:ILJ262153 IVF262131:IVF262153 JFB262131:JFB262153 JOX262131:JOX262153 JYT262131:JYT262153 KIP262131:KIP262153 KSL262131:KSL262153 LCH262131:LCH262153 LMD262131:LMD262153 LVZ262131:LVZ262153 MFV262131:MFV262153 MPR262131:MPR262153 MZN262131:MZN262153 NJJ262131:NJJ262153 NTF262131:NTF262153 ODB262131:ODB262153 OMX262131:OMX262153 OWT262131:OWT262153 PGP262131:PGP262153 PQL262131:PQL262153 QAH262131:QAH262153 QKD262131:QKD262153 QTZ262131:QTZ262153 RDV262131:RDV262153 RNR262131:RNR262153 RXN262131:RXN262153 SHJ262131:SHJ262153 SRF262131:SRF262153 TBB262131:TBB262153 TKX262131:TKX262153 TUT262131:TUT262153 UEP262131:UEP262153 UOL262131:UOL262153 UYH262131:UYH262153 VID262131:VID262153 VRZ262131:VRZ262153 WBV262131:WBV262153 WLR262131:WLR262153 WVN262131:WVN262153 C327667:C327689 JB327667:JB327689 SX327667:SX327689 ACT327667:ACT327689 AMP327667:AMP327689 AWL327667:AWL327689 BGH327667:BGH327689 BQD327667:BQD327689 BZZ327667:BZZ327689 CJV327667:CJV327689 CTR327667:CTR327689 DDN327667:DDN327689 DNJ327667:DNJ327689 DXF327667:DXF327689 EHB327667:EHB327689 EQX327667:EQX327689 FAT327667:FAT327689 FKP327667:FKP327689 FUL327667:FUL327689 GEH327667:GEH327689 GOD327667:GOD327689 GXZ327667:GXZ327689 HHV327667:HHV327689 HRR327667:HRR327689 IBN327667:IBN327689 ILJ327667:ILJ327689 IVF327667:IVF327689 JFB327667:JFB327689 JOX327667:JOX327689 JYT327667:JYT327689 KIP327667:KIP327689 KSL327667:KSL327689 LCH327667:LCH327689 LMD327667:LMD327689 LVZ327667:LVZ327689 MFV327667:MFV327689 MPR327667:MPR327689 MZN327667:MZN327689 NJJ327667:NJJ327689 NTF327667:NTF327689 ODB327667:ODB327689 OMX327667:OMX327689 OWT327667:OWT327689 PGP327667:PGP327689 PQL327667:PQL327689 QAH327667:QAH327689 QKD327667:QKD327689 QTZ327667:QTZ327689 RDV327667:RDV327689 RNR327667:RNR327689 RXN327667:RXN327689 SHJ327667:SHJ327689 SRF327667:SRF327689 TBB327667:TBB327689 TKX327667:TKX327689 TUT327667:TUT327689 UEP327667:UEP327689 UOL327667:UOL327689 UYH327667:UYH327689 VID327667:VID327689 VRZ327667:VRZ327689 WBV327667:WBV327689 WLR327667:WLR327689 WVN327667:WVN327689 C393203:C393225 JB393203:JB393225 SX393203:SX393225 ACT393203:ACT393225 AMP393203:AMP393225 AWL393203:AWL393225 BGH393203:BGH393225 BQD393203:BQD393225 BZZ393203:BZZ393225 CJV393203:CJV393225 CTR393203:CTR393225 DDN393203:DDN393225 DNJ393203:DNJ393225 DXF393203:DXF393225 EHB393203:EHB393225 EQX393203:EQX393225 FAT393203:FAT393225 FKP393203:FKP393225 FUL393203:FUL393225 GEH393203:GEH393225 GOD393203:GOD393225 GXZ393203:GXZ393225 HHV393203:HHV393225 HRR393203:HRR393225 IBN393203:IBN393225 ILJ393203:ILJ393225 IVF393203:IVF393225 JFB393203:JFB393225 JOX393203:JOX393225 JYT393203:JYT393225 KIP393203:KIP393225 KSL393203:KSL393225 LCH393203:LCH393225 LMD393203:LMD393225 LVZ393203:LVZ393225 MFV393203:MFV393225 MPR393203:MPR393225 MZN393203:MZN393225 NJJ393203:NJJ393225 NTF393203:NTF393225 ODB393203:ODB393225 OMX393203:OMX393225 OWT393203:OWT393225 PGP393203:PGP393225 PQL393203:PQL393225 QAH393203:QAH393225 QKD393203:QKD393225 QTZ393203:QTZ393225 RDV393203:RDV393225 RNR393203:RNR393225 RXN393203:RXN393225 SHJ393203:SHJ393225 SRF393203:SRF393225 TBB393203:TBB393225 TKX393203:TKX393225 TUT393203:TUT393225 UEP393203:UEP393225 UOL393203:UOL393225 UYH393203:UYH393225 VID393203:VID393225 VRZ393203:VRZ393225 WBV393203:WBV393225 WLR393203:WLR393225 WVN393203:WVN393225 C458739:C458761 JB458739:JB458761 SX458739:SX458761 ACT458739:ACT458761 AMP458739:AMP458761 AWL458739:AWL458761 BGH458739:BGH458761 BQD458739:BQD458761 BZZ458739:BZZ458761 CJV458739:CJV458761 CTR458739:CTR458761 DDN458739:DDN458761 DNJ458739:DNJ458761 DXF458739:DXF458761 EHB458739:EHB458761 EQX458739:EQX458761 FAT458739:FAT458761 FKP458739:FKP458761 FUL458739:FUL458761 GEH458739:GEH458761 GOD458739:GOD458761 GXZ458739:GXZ458761 HHV458739:HHV458761 HRR458739:HRR458761 IBN458739:IBN458761 ILJ458739:ILJ458761 IVF458739:IVF458761 JFB458739:JFB458761 JOX458739:JOX458761 JYT458739:JYT458761 KIP458739:KIP458761 KSL458739:KSL458761 LCH458739:LCH458761 LMD458739:LMD458761 LVZ458739:LVZ458761 MFV458739:MFV458761 MPR458739:MPR458761 MZN458739:MZN458761 NJJ458739:NJJ458761 NTF458739:NTF458761 ODB458739:ODB458761 OMX458739:OMX458761 OWT458739:OWT458761 PGP458739:PGP458761 PQL458739:PQL458761 QAH458739:QAH458761 QKD458739:QKD458761 QTZ458739:QTZ458761 RDV458739:RDV458761 RNR458739:RNR458761 RXN458739:RXN458761 SHJ458739:SHJ458761 SRF458739:SRF458761 TBB458739:TBB458761 TKX458739:TKX458761 TUT458739:TUT458761 UEP458739:UEP458761 UOL458739:UOL458761 UYH458739:UYH458761 VID458739:VID458761 VRZ458739:VRZ458761 WBV458739:WBV458761 WLR458739:WLR458761 WVN458739:WVN458761 C524275:C524297 JB524275:JB524297 SX524275:SX524297 ACT524275:ACT524297 AMP524275:AMP524297 AWL524275:AWL524297 BGH524275:BGH524297 BQD524275:BQD524297 BZZ524275:BZZ524297 CJV524275:CJV524297 CTR524275:CTR524297 DDN524275:DDN524297 DNJ524275:DNJ524297 DXF524275:DXF524297 EHB524275:EHB524297 EQX524275:EQX524297 FAT524275:FAT524297 FKP524275:FKP524297 FUL524275:FUL524297 GEH524275:GEH524297 GOD524275:GOD524297 GXZ524275:GXZ524297 HHV524275:HHV524297 HRR524275:HRR524297 IBN524275:IBN524297 ILJ524275:ILJ524297 IVF524275:IVF524297 JFB524275:JFB524297 JOX524275:JOX524297 JYT524275:JYT524297 KIP524275:KIP524297 KSL524275:KSL524297 LCH524275:LCH524297 LMD524275:LMD524297 LVZ524275:LVZ524297 MFV524275:MFV524297 MPR524275:MPR524297 MZN524275:MZN524297 NJJ524275:NJJ524297 NTF524275:NTF524297 ODB524275:ODB524297 OMX524275:OMX524297 OWT524275:OWT524297 PGP524275:PGP524297 PQL524275:PQL524297 QAH524275:QAH524297 QKD524275:QKD524297 QTZ524275:QTZ524297 RDV524275:RDV524297 RNR524275:RNR524297 RXN524275:RXN524297 SHJ524275:SHJ524297 SRF524275:SRF524297 TBB524275:TBB524297 TKX524275:TKX524297 TUT524275:TUT524297 UEP524275:UEP524297 UOL524275:UOL524297 UYH524275:UYH524297 VID524275:VID524297 VRZ524275:VRZ524297 WBV524275:WBV524297 WLR524275:WLR524297 WVN524275:WVN524297 C589811:C589833 JB589811:JB589833 SX589811:SX589833 ACT589811:ACT589833 AMP589811:AMP589833 AWL589811:AWL589833 BGH589811:BGH589833 BQD589811:BQD589833 BZZ589811:BZZ589833 CJV589811:CJV589833 CTR589811:CTR589833 DDN589811:DDN589833 DNJ589811:DNJ589833 DXF589811:DXF589833 EHB589811:EHB589833 EQX589811:EQX589833 FAT589811:FAT589833 FKP589811:FKP589833 FUL589811:FUL589833 GEH589811:GEH589833 GOD589811:GOD589833 GXZ589811:GXZ589833 HHV589811:HHV589833 HRR589811:HRR589833 IBN589811:IBN589833 ILJ589811:ILJ589833 IVF589811:IVF589833 JFB589811:JFB589833 JOX589811:JOX589833 JYT589811:JYT589833 KIP589811:KIP589833 KSL589811:KSL589833 LCH589811:LCH589833 LMD589811:LMD589833 LVZ589811:LVZ589833 MFV589811:MFV589833 MPR589811:MPR589833 MZN589811:MZN589833 NJJ589811:NJJ589833 NTF589811:NTF589833 ODB589811:ODB589833 OMX589811:OMX589833 OWT589811:OWT589833 PGP589811:PGP589833 PQL589811:PQL589833 QAH589811:QAH589833 QKD589811:QKD589833 QTZ589811:QTZ589833 RDV589811:RDV589833 RNR589811:RNR589833 RXN589811:RXN589833 SHJ589811:SHJ589833 SRF589811:SRF589833 TBB589811:TBB589833 TKX589811:TKX589833 TUT589811:TUT589833 UEP589811:UEP589833 UOL589811:UOL589833 UYH589811:UYH589833 VID589811:VID589833 VRZ589811:VRZ589833 WBV589811:WBV589833 WLR589811:WLR589833 WVN589811:WVN589833 C655347:C655369 JB655347:JB655369 SX655347:SX655369 ACT655347:ACT655369 AMP655347:AMP655369 AWL655347:AWL655369 BGH655347:BGH655369 BQD655347:BQD655369 BZZ655347:BZZ655369 CJV655347:CJV655369 CTR655347:CTR655369 DDN655347:DDN655369 DNJ655347:DNJ655369 DXF655347:DXF655369 EHB655347:EHB655369 EQX655347:EQX655369 FAT655347:FAT655369 FKP655347:FKP655369 FUL655347:FUL655369 GEH655347:GEH655369 GOD655347:GOD655369 GXZ655347:GXZ655369 HHV655347:HHV655369 HRR655347:HRR655369 IBN655347:IBN655369 ILJ655347:ILJ655369 IVF655347:IVF655369 JFB655347:JFB655369 JOX655347:JOX655369 JYT655347:JYT655369 KIP655347:KIP655369 KSL655347:KSL655369 LCH655347:LCH655369 LMD655347:LMD655369 LVZ655347:LVZ655369 MFV655347:MFV655369 MPR655347:MPR655369 MZN655347:MZN655369 NJJ655347:NJJ655369 NTF655347:NTF655369 ODB655347:ODB655369 OMX655347:OMX655369 OWT655347:OWT655369 PGP655347:PGP655369 PQL655347:PQL655369 QAH655347:QAH655369 QKD655347:QKD655369 QTZ655347:QTZ655369 RDV655347:RDV655369 RNR655347:RNR655369 RXN655347:RXN655369 SHJ655347:SHJ655369 SRF655347:SRF655369 TBB655347:TBB655369 TKX655347:TKX655369 TUT655347:TUT655369 UEP655347:UEP655369 UOL655347:UOL655369 UYH655347:UYH655369 VID655347:VID655369 VRZ655347:VRZ655369 WBV655347:WBV655369 WLR655347:WLR655369 WVN655347:WVN655369 C720883:C720905 JB720883:JB720905 SX720883:SX720905 ACT720883:ACT720905 AMP720883:AMP720905 AWL720883:AWL720905 BGH720883:BGH720905 BQD720883:BQD720905 BZZ720883:BZZ720905 CJV720883:CJV720905 CTR720883:CTR720905 DDN720883:DDN720905 DNJ720883:DNJ720905 DXF720883:DXF720905 EHB720883:EHB720905 EQX720883:EQX720905 FAT720883:FAT720905 FKP720883:FKP720905 FUL720883:FUL720905 GEH720883:GEH720905 GOD720883:GOD720905 GXZ720883:GXZ720905 HHV720883:HHV720905 HRR720883:HRR720905 IBN720883:IBN720905 ILJ720883:ILJ720905 IVF720883:IVF720905 JFB720883:JFB720905 JOX720883:JOX720905 JYT720883:JYT720905 KIP720883:KIP720905 KSL720883:KSL720905 LCH720883:LCH720905 LMD720883:LMD720905 LVZ720883:LVZ720905 MFV720883:MFV720905 MPR720883:MPR720905 MZN720883:MZN720905 NJJ720883:NJJ720905 NTF720883:NTF720905 ODB720883:ODB720905 OMX720883:OMX720905 OWT720883:OWT720905 PGP720883:PGP720905 PQL720883:PQL720905 QAH720883:QAH720905 QKD720883:QKD720905 QTZ720883:QTZ720905 RDV720883:RDV720905 RNR720883:RNR720905 RXN720883:RXN720905 SHJ720883:SHJ720905 SRF720883:SRF720905 TBB720883:TBB720905 TKX720883:TKX720905 TUT720883:TUT720905 UEP720883:UEP720905 UOL720883:UOL720905 UYH720883:UYH720905 VID720883:VID720905 VRZ720883:VRZ720905 WBV720883:WBV720905 WLR720883:WLR720905 WVN720883:WVN720905 C786419:C786441 JB786419:JB786441 SX786419:SX786441 ACT786419:ACT786441 AMP786419:AMP786441 AWL786419:AWL786441 BGH786419:BGH786441 BQD786419:BQD786441 BZZ786419:BZZ786441 CJV786419:CJV786441 CTR786419:CTR786441 DDN786419:DDN786441 DNJ786419:DNJ786441 DXF786419:DXF786441 EHB786419:EHB786441 EQX786419:EQX786441 FAT786419:FAT786441 FKP786419:FKP786441 FUL786419:FUL786441 GEH786419:GEH786441 GOD786419:GOD786441 GXZ786419:GXZ786441 HHV786419:HHV786441 HRR786419:HRR786441 IBN786419:IBN786441 ILJ786419:ILJ786441 IVF786419:IVF786441 JFB786419:JFB786441 JOX786419:JOX786441 JYT786419:JYT786441 KIP786419:KIP786441 KSL786419:KSL786441 LCH786419:LCH786441 LMD786419:LMD786441 LVZ786419:LVZ786441 MFV786419:MFV786441 MPR786419:MPR786441 MZN786419:MZN786441 NJJ786419:NJJ786441 NTF786419:NTF786441 ODB786419:ODB786441 OMX786419:OMX786441 OWT786419:OWT786441 PGP786419:PGP786441 PQL786419:PQL786441 QAH786419:QAH786441 QKD786419:QKD786441 QTZ786419:QTZ786441 RDV786419:RDV786441 RNR786419:RNR786441 RXN786419:RXN786441 SHJ786419:SHJ786441 SRF786419:SRF786441 TBB786419:TBB786441 TKX786419:TKX786441 TUT786419:TUT786441 UEP786419:UEP786441 UOL786419:UOL786441 UYH786419:UYH786441 VID786419:VID786441 VRZ786419:VRZ786441 WBV786419:WBV786441 WLR786419:WLR786441 WVN786419:WVN786441 C851955:C851977 JB851955:JB851977 SX851955:SX851977 ACT851955:ACT851977 AMP851955:AMP851977 AWL851955:AWL851977 BGH851955:BGH851977 BQD851955:BQD851977 BZZ851955:BZZ851977 CJV851955:CJV851977 CTR851955:CTR851977 DDN851955:DDN851977 DNJ851955:DNJ851977 DXF851955:DXF851977 EHB851955:EHB851977 EQX851955:EQX851977 FAT851955:FAT851977 FKP851955:FKP851977 FUL851955:FUL851977 GEH851955:GEH851977 GOD851955:GOD851977 GXZ851955:GXZ851977 HHV851955:HHV851977 HRR851955:HRR851977 IBN851955:IBN851977 ILJ851955:ILJ851977 IVF851955:IVF851977 JFB851955:JFB851977 JOX851955:JOX851977 JYT851955:JYT851977 KIP851955:KIP851977 KSL851955:KSL851977 LCH851955:LCH851977 LMD851955:LMD851977 LVZ851955:LVZ851977 MFV851955:MFV851977 MPR851955:MPR851977 MZN851955:MZN851977 NJJ851955:NJJ851977 NTF851955:NTF851977 ODB851955:ODB851977 OMX851955:OMX851977 OWT851955:OWT851977 PGP851955:PGP851977 PQL851955:PQL851977 QAH851955:QAH851977 QKD851955:QKD851977 QTZ851955:QTZ851977 RDV851955:RDV851977 RNR851955:RNR851977 RXN851955:RXN851977 SHJ851955:SHJ851977 SRF851955:SRF851977 TBB851955:TBB851977 TKX851955:TKX851977 TUT851955:TUT851977 UEP851955:UEP851977 UOL851955:UOL851977 UYH851955:UYH851977 VID851955:VID851977 VRZ851955:VRZ851977 WBV851955:WBV851977 WLR851955:WLR851977 WVN851955:WVN851977 C917491:C917513 JB917491:JB917513 SX917491:SX917513 ACT917491:ACT917513 AMP917491:AMP917513 AWL917491:AWL917513 BGH917491:BGH917513 BQD917491:BQD917513 BZZ917491:BZZ917513 CJV917491:CJV917513 CTR917491:CTR917513 DDN917491:DDN917513 DNJ917491:DNJ917513 DXF917491:DXF917513 EHB917491:EHB917513 EQX917491:EQX917513 FAT917491:FAT917513 FKP917491:FKP917513 FUL917491:FUL917513 GEH917491:GEH917513 GOD917491:GOD917513 GXZ917491:GXZ917513 HHV917491:HHV917513 HRR917491:HRR917513 IBN917491:IBN917513 ILJ917491:ILJ917513 IVF917491:IVF917513 JFB917491:JFB917513 JOX917491:JOX917513 JYT917491:JYT917513 KIP917491:KIP917513 KSL917491:KSL917513 LCH917491:LCH917513 LMD917491:LMD917513 LVZ917491:LVZ917513 MFV917491:MFV917513 MPR917491:MPR917513 MZN917491:MZN917513 NJJ917491:NJJ917513 NTF917491:NTF917513 ODB917491:ODB917513 OMX917491:OMX917513 OWT917491:OWT917513 PGP917491:PGP917513 PQL917491:PQL917513 QAH917491:QAH917513 QKD917491:QKD917513 QTZ917491:QTZ917513 RDV917491:RDV917513 RNR917491:RNR917513 RXN917491:RXN917513 SHJ917491:SHJ917513 SRF917491:SRF917513 TBB917491:TBB917513 TKX917491:TKX917513 TUT917491:TUT917513 UEP917491:UEP917513 UOL917491:UOL917513 UYH917491:UYH917513 VID917491:VID917513 VRZ917491:VRZ917513 WBV917491:WBV917513 WLR917491:WLR917513 WVN917491:WVN917513 C983027:C983049 JB983027:JB983049 SX983027:SX983049 ACT983027:ACT983049 AMP983027:AMP983049 AWL983027:AWL983049 BGH983027:BGH983049 BQD983027:BQD983049 BZZ983027:BZZ983049 CJV983027:CJV983049 CTR983027:CTR983049 DDN983027:DDN983049 DNJ983027:DNJ983049 DXF983027:DXF983049 EHB983027:EHB983049 EQX983027:EQX983049 FAT983027:FAT983049 FKP983027:FKP983049 FUL983027:FUL983049 GEH983027:GEH983049 GOD983027:GOD983049 GXZ983027:GXZ983049 HHV983027:HHV983049 HRR983027:HRR983049 IBN983027:IBN983049 ILJ983027:ILJ983049 IVF983027:IVF983049 JFB983027:JFB983049 JOX983027:JOX983049 JYT983027:JYT983049 KIP983027:KIP983049 KSL983027:KSL983049 LCH983027:LCH983049 LMD983027:LMD983049 LVZ983027:LVZ983049 MFV983027:MFV983049 MPR983027:MPR983049 MZN983027:MZN983049 NJJ983027:NJJ983049 NTF983027:NTF983049 ODB983027:ODB983049 OMX983027:OMX983049 OWT983027:OWT983049 PGP983027:PGP983049 PQL983027:PQL983049 QAH983027:QAH983049 QKD983027:QKD983049 QTZ983027:QTZ983049 RDV983027:RDV983049 RNR983027:RNR983049 RXN983027:RXN983049 SHJ983027:SHJ983049 SRF983027:SRF983049 TBB983027:TBB983049 TKX983027:TKX983049 TUT983027:TUT983049 UEP983027:UEP983049 UOL983027:UOL983049 UYH983027:UYH983049 VID983027:VID983049 VRZ983027:VRZ983049 WBV983027:WBV983049 WLR983027:WLR983049 WVN983027:WVN983049 N65523:N65545 JJ65523:JJ65545 TF65523:TF65545 ADB65523:ADB65545 AMX65523:AMX65545 AWT65523:AWT65545 BGP65523:BGP65545 BQL65523:BQL65545 CAH65523:CAH65545 CKD65523:CKD65545 CTZ65523:CTZ65545 DDV65523:DDV65545 DNR65523:DNR65545 DXN65523:DXN65545 EHJ65523:EHJ65545 ERF65523:ERF65545 FBB65523:FBB65545 FKX65523:FKX65545 FUT65523:FUT65545 GEP65523:GEP65545 GOL65523:GOL65545 GYH65523:GYH65545 HID65523:HID65545 HRZ65523:HRZ65545 IBV65523:IBV65545 ILR65523:ILR65545 IVN65523:IVN65545 JFJ65523:JFJ65545 JPF65523:JPF65545 JZB65523:JZB65545 KIX65523:KIX65545 KST65523:KST65545 LCP65523:LCP65545 LML65523:LML65545 LWH65523:LWH65545 MGD65523:MGD65545 MPZ65523:MPZ65545 MZV65523:MZV65545 NJR65523:NJR65545 NTN65523:NTN65545 ODJ65523:ODJ65545 ONF65523:ONF65545 OXB65523:OXB65545 PGX65523:PGX65545 PQT65523:PQT65545 QAP65523:QAP65545 QKL65523:QKL65545 QUH65523:QUH65545 RED65523:RED65545 RNZ65523:RNZ65545 RXV65523:RXV65545 SHR65523:SHR65545 SRN65523:SRN65545 TBJ65523:TBJ65545 TLF65523:TLF65545 TVB65523:TVB65545 UEX65523:UEX65545 UOT65523:UOT65545 UYP65523:UYP65545 VIL65523:VIL65545 VSH65523:VSH65545 WCD65523:WCD65545 WLZ65523:WLZ65545 WVV65523:WVV65545 N131059:N131081 JJ131059:JJ131081 TF131059:TF131081 ADB131059:ADB131081 AMX131059:AMX131081 AWT131059:AWT131081 BGP131059:BGP131081 BQL131059:BQL131081 CAH131059:CAH131081 CKD131059:CKD131081 CTZ131059:CTZ131081 DDV131059:DDV131081 DNR131059:DNR131081 DXN131059:DXN131081 EHJ131059:EHJ131081 ERF131059:ERF131081 FBB131059:FBB131081 FKX131059:FKX131081 FUT131059:FUT131081 GEP131059:GEP131081 GOL131059:GOL131081 GYH131059:GYH131081 HID131059:HID131081 HRZ131059:HRZ131081 IBV131059:IBV131081 ILR131059:ILR131081 IVN131059:IVN131081 JFJ131059:JFJ131081 JPF131059:JPF131081 JZB131059:JZB131081 KIX131059:KIX131081 KST131059:KST131081 LCP131059:LCP131081 LML131059:LML131081 LWH131059:LWH131081 MGD131059:MGD131081 MPZ131059:MPZ131081 MZV131059:MZV131081 NJR131059:NJR131081 NTN131059:NTN131081 ODJ131059:ODJ131081 ONF131059:ONF131081 OXB131059:OXB131081 PGX131059:PGX131081 PQT131059:PQT131081 QAP131059:QAP131081 QKL131059:QKL131081 QUH131059:QUH131081 RED131059:RED131081 RNZ131059:RNZ131081 RXV131059:RXV131081 SHR131059:SHR131081 SRN131059:SRN131081 TBJ131059:TBJ131081 TLF131059:TLF131081 TVB131059:TVB131081 UEX131059:UEX131081 UOT131059:UOT131081 UYP131059:UYP131081 VIL131059:VIL131081 VSH131059:VSH131081 WCD131059:WCD131081 WLZ131059:WLZ131081 WVV131059:WVV131081 N196595:N196617 JJ196595:JJ196617 TF196595:TF196617 ADB196595:ADB196617 AMX196595:AMX196617 AWT196595:AWT196617 BGP196595:BGP196617 BQL196595:BQL196617 CAH196595:CAH196617 CKD196595:CKD196617 CTZ196595:CTZ196617 DDV196595:DDV196617 DNR196595:DNR196617 DXN196595:DXN196617 EHJ196595:EHJ196617 ERF196595:ERF196617 FBB196595:FBB196617 FKX196595:FKX196617 FUT196595:FUT196617 GEP196595:GEP196617 GOL196595:GOL196617 GYH196595:GYH196617 HID196595:HID196617 HRZ196595:HRZ196617 IBV196595:IBV196617 ILR196595:ILR196617 IVN196595:IVN196617 JFJ196595:JFJ196617 JPF196595:JPF196617 JZB196595:JZB196617 KIX196595:KIX196617 KST196595:KST196617 LCP196595:LCP196617 LML196595:LML196617 LWH196595:LWH196617 MGD196595:MGD196617 MPZ196595:MPZ196617 MZV196595:MZV196617 NJR196595:NJR196617 NTN196595:NTN196617 ODJ196595:ODJ196617 ONF196595:ONF196617 OXB196595:OXB196617 PGX196595:PGX196617 PQT196595:PQT196617 QAP196595:QAP196617 QKL196595:QKL196617 QUH196595:QUH196617 RED196595:RED196617 RNZ196595:RNZ196617 RXV196595:RXV196617 SHR196595:SHR196617 SRN196595:SRN196617 TBJ196595:TBJ196617 TLF196595:TLF196617 TVB196595:TVB196617 UEX196595:UEX196617 UOT196595:UOT196617 UYP196595:UYP196617 VIL196595:VIL196617 VSH196595:VSH196617 WCD196595:WCD196617 WLZ196595:WLZ196617 WVV196595:WVV196617 N262131:N262153 JJ262131:JJ262153 TF262131:TF262153 ADB262131:ADB262153 AMX262131:AMX262153 AWT262131:AWT262153 BGP262131:BGP262153 BQL262131:BQL262153 CAH262131:CAH262153 CKD262131:CKD262153 CTZ262131:CTZ262153 DDV262131:DDV262153 DNR262131:DNR262153 DXN262131:DXN262153 EHJ262131:EHJ262153 ERF262131:ERF262153 FBB262131:FBB262153 FKX262131:FKX262153 FUT262131:FUT262153 GEP262131:GEP262153 GOL262131:GOL262153 GYH262131:GYH262153 HID262131:HID262153 HRZ262131:HRZ262153 IBV262131:IBV262153 ILR262131:ILR262153 IVN262131:IVN262153 JFJ262131:JFJ262153 JPF262131:JPF262153 JZB262131:JZB262153 KIX262131:KIX262153 KST262131:KST262153 LCP262131:LCP262153 LML262131:LML262153 LWH262131:LWH262153 MGD262131:MGD262153 MPZ262131:MPZ262153 MZV262131:MZV262153 NJR262131:NJR262153 NTN262131:NTN262153 ODJ262131:ODJ262153 ONF262131:ONF262153 OXB262131:OXB262153 PGX262131:PGX262153 PQT262131:PQT262153 QAP262131:QAP262153 QKL262131:QKL262153 QUH262131:QUH262153 RED262131:RED262153 RNZ262131:RNZ262153 RXV262131:RXV262153 SHR262131:SHR262153 SRN262131:SRN262153 TBJ262131:TBJ262153 TLF262131:TLF262153 TVB262131:TVB262153 UEX262131:UEX262153 UOT262131:UOT262153 UYP262131:UYP262153 VIL262131:VIL262153 VSH262131:VSH262153 WCD262131:WCD262153 WLZ262131:WLZ262153 WVV262131:WVV262153 N327667:N327689 JJ327667:JJ327689 TF327667:TF327689 ADB327667:ADB327689 AMX327667:AMX327689 AWT327667:AWT327689 BGP327667:BGP327689 BQL327667:BQL327689 CAH327667:CAH327689 CKD327667:CKD327689 CTZ327667:CTZ327689 DDV327667:DDV327689 DNR327667:DNR327689 DXN327667:DXN327689 EHJ327667:EHJ327689 ERF327667:ERF327689 FBB327667:FBB327689 FKX327667:FKX327689 FUT327667:FUT327689 GEP327667:GEP327689 GOL327667:GOL327689 GYH327667:GYH327689 HID327667:HID327689 HRZ327667:HRZ327689 IBV327667:IBV327689 ILR327667:ILR327689 IVN327667:IVN327689 JFJ327667:JFJ327689 JPF327667:JPF327689 JZB327667:JZB327689 KIX327667:KIX327689 KST327667:KST327689 LCP327667:LCP327689 LML327667:LML327689 LWH327667:LWH327689 MGD327667:MGD327689 MPZ327667:MPZ327689 MZV327667:MZV327689 NJR327667:NJR327689 NTN327667:NTN327689 ODJ327667:ODJ327689 ONF327667:ONF327689 OXB327667:OXB327689 PGX327667:PGX327689 PQT327667:PQT327689 QAP327667:QAP327689 QKL327667:QKL327689 QUH327667:QUH327689 RED327667:RED327689 RNZ327667:RNZ327689 RXV327667:RXV327689 SHR327667:SHR327689 SRN327667:SRN327689 TBJ327667:TBJ327689 TLF327667:TLF327689 TVB327667:TVB327689 UEX327667:UEX327689 UOT327667:UOT327689 UYP327667:UYP327689 VIL327667:VIL327689 VSH327667:VSH327689 WCD327667:WCD327689 WLZ327667:WLZ327689 WVV327667:WVV327689 N393203:N393225 JJ393203:JJ393225 TF393203:TF393225 ADB393203:ADB393225 AMX393203:AMX393225 AWT393203:AWT393225 BGP393203:BGP393225 BQL393203:BQL393225 CAH393203:CAH393225 CKD393203:CKD393225 CTZ393203:CTZ393225 DDV393203:DDV393225 DNR393203:DNR393225 DXN393203:DXN393225 EHJ393203:EHJ393225 ERF393203:ERF393225 FBB393203:FBB393225 FKX393203:FKX393225 FUT393203:FUT393225 GEP393203:GEP393225 GOL393203:GOL393225 GYH393203:GYH393225 HID393203:HID393225 HRZ393203:HRZ393225 IBV393203:IBV393225 ILR393203:ILR393225 IVN393203:IVN393225 JFJ393203:JFJ393225 JPF393203:JPF393225 JZB393203:JZB393225 KIX393203:KIX393225 KST393203:KST393225 LCP393203:LCP393225 LML393203:LML393225 LWH393203:LWH393225 MGD393203:MGD393225 MPZ393203:MPZ393225 MZV393203:MZV393225 NJR393203:NJR393225 NTN393203:NTN393225 ODJ393203:ODJ393225 ONF393203:ONF393225 OXB393203:OXB393225 PGX393203:PGX393225 PQT393203:PQT393225 QAP393203:QAP393225 QKL393203:QKL393225 QUH393203:QUH393225 RED393203:RED393225 RNZ393203:RNZ393225 RXV393203:RXV393225 SHR393203:SHR393225 SRN393203:SRN393225 TBJ393203:TBJ393225 TLF393203:TLF393225 TVB393203:TVB393225 UEX393203:UEX393225 UOT393203:UOT393225 UYP393203:UYP393225 VIL393203:VIL393225 VSH393203:VSH393225 WCD393203:WCD393225 WLZ393203:WLZ393225 WVV393203:WVV393225 N458739:N458761 JJ458739:JJ458761 TF458739:TF458761 ADB458739:ADB458761 AMX458739:AMX458761 AWT458739:AWT458761 BGP458739:BGP458761 BQL458739:BQL458761 CAH458739:CAH458761 CKD458739:CKD458761 CTZ458739:CTZ458761 DDV458739:DDV458761 DNR458739:DNR458761 DXN458739:DXN458761 EHJ458739:EHJ458761 ERF458739:ERF458761 FBB458739:FBB458761 FKX458739:FKX458761 FUT458739:FUT458761 GEP458739:GEP458761 GOL458739:GOL458761 GYH458739:GYH458761 HID458739:HID458761 HRZ458739:HRZ458761 IBV458739:IBV458761 ILR458739:ILR458761 IVN458739:IVN458761 JFJ458739:JFJ458761 JPF458739:JPF458761 JZB458739:JZB458761 KIX458739:KIX458761 KST458739:KST458761 LCP458739:LCP458761 LML458739:LML458761 LWH458739:LWH458761 MGD458739:MGD458761 MPZ458739:MPZ458761 MZV458739:MZV458761 NJR458739:NJR458761 NTN458739:NTN458761 ODJ458739:ODJ458761 ONF458739:ONF458761 OXB458739:OXB458761 PGX458739:PGX458761 PQT458739:PQT458761 QAP458739:QAP458761 QKL458739:QKL458761 QUH458739:QUH458761 RED458739:RED458761 RNZ458739:RNZ458761 RXV458739:RXV458761 SHR458739:SHR458761 SRN458739:SRN458761 TBJ458739:TBJ458761 TLF458739:TLF458761 TVB458739:TVB458761 UEX458739:UEX458761 UOT458739:UOT458761 UYP458739:UYP458761 VIL458739:VIL458761 VSH458739:VSH458761 WCD458739:WCD458761 WLZ458739:WLZ458761 WVV458739:WVV458761 N524275:N524297 JJ524275:JJ524297 TF524275:TF524297 ADB524275:ADB524297 AMX524275:AMX524297 AWT524275:AWT524297 BGP524275:BGP524297 BQL524275:BQL524297 CAH524275:CAH524297 CKD524275:CKD524297 CTZ524275:CTZ524297 DDV524275:DDV524297 DNR524275:DNR524297 DXN524275:DXN524297 EHJ524275:EHJ524297 ERF524275:ERF524297 FBB524275:FBB524297 FKX524275:FKX524297 FUT524275:FUT524297 GEP524275:GEP524297 GOL524275:GOL524297 GYH524275:GYH524297 HID524275:HID524297 HRZ524275:HRZ524297 IBV524275:IBV524297 ILR524275:ILR524297 IVN524275:IVN524297 JFJ524275:JFJ524297 JPF524275:JPF524297 JZB524275:JZB524297 KIX524275:KIX524297 KST524275:KST524297 LCP524275:LCP524297 LML524275:LML524297 LWH524275:LWH524297 MGD524275:MGD524297 MPZ524275:MPZ524297 MZV524275:MZV524297 NJR524275:NJR524297 NTN524275:NTN524297 ODJ524275:ODJ524297 ONF524275:ONF524297 OXB524275:OXB524297 PGX524275:PGX524297 PQT524275:PQT524297 QAP524275:QAP524297 QKL524275:QKL524297 QUH524275:QUH524297 RED524275:RED524297 RNZ524275:RNZ524297 RXV524275:RXV524297 SHR524275:SHR524297 SRN524275:SRN524297 TBJ524275:TBJ524297 TLF524275:TLF524297 TVB524275:TVB524297 UEX524275:UEX524297 UOT524275:UOT524297 UYP524275:UYP524297 VIL524275:VIL524297 VSH524275:VSH524297 WCD524275:WCD524297 WLZ524275:WLZ524297 WVV524275:WVV524297 N589811:N589833 JJ589811:JJ589833 TF589811:TF589833 ADB589811:ADB589833 AMX589811:AMX589833 AWT589811:AWT589833 BGP589811:BGP589833 BQL589811:BQL589833 CAH589811:CAH589833 CKD589811:CKD589833 CTZ589811:CTZ589833 DDV589811:DDV589833 DNR589811:DNR589833 DXN589811:DXN589833 EHJ589811:EHJ589833 ERF589811:ERF589833 FBB589811:FBB589833 FKX589811:FKX589833 FUT589811:FUT589833 GEP589811:GEP589833 GOL589811:GOL589833 GYH589811:GYH589833 HID589811:HID589833 HRZ589811:HRZ589833 IBV589811:IBV589833 ILR589811:ILR589833 IVN589811:IVN589833 JFJ589811:JFJ589833 JPF589811:JPF589833 JZB589811:JZB589833 KIX589811:KIX589833 KST589811:KST589833 LCP589811:LCP589833 LML589811:LML589833 LWH589811:LWH589833 MGD589811:MGD589833 MPZ589811:MPZ589833 MZV589811:MZV589833 NJR589811:NJR589833 NTN589811:NTN589833 ODJ589811:ODJ589833 ONF589811:ONF589833 OXB589811:OXB589833 PGX589811:PGX589833 PQT589811:PQT589833 QAP589811:QAP589833 QKL589811:QKL589833 QUH589811:QUH589833 RED589811:RED589833 RNZ589811:RNZ589833 RXV589811:RXV589833 SHR589811:SHR589833 SRN589811:SRN589833 TBJ589811:TBJ589833 TLF589811:TLF589833 TVB589811:TVB589833 UEX589811:UEX589833 UOT589811:UOT589833 UYP589811:UYP589833 VIL589811:VIL589833 VSH589811:VSH589833 WCD589811:WCD589833 WLZ589811:WLZ589833 WVV589811:WVV589833 N655347:N655369 JJ655347:JJ655369 TF655347:TF655369 ADB655347:ADB655369 AMX655347:AMX655369 AWT655347:AWT655369 BGP655347:BGP655369 BQL655347:BQL655369 CAH655347:CAH655369 CKD655347:CKD655369 CTZ655347:CTZ655369 DDV655347:DDV655369 DNR655347:DNR655369 DXN655347:DXN655369 EHJ655347:EHJ655369 ERF655347:ERF655369 FBB655347:FBB655369 FKX655347:FKX655369 FUT655347:FUT655369 GEP655347:GEP655369 GOL655347:GOL655369 GYH655347:GYH655369 HID655347:HID655369 HRZ655347:HRZ655369 IBV655347:IBV655369 ILR655347:ILR655369 IVN655347:IVN655369 JFJ655347:JFJ655369 JPF655347:JPF655369 JZB655347:JZB655369 KIX655347:KIX655369 KST655347:KST655369 LCP655347:LCP655369 LML655347:LML655369 LWH655347:LWH655369 MGD655347:MGD655369 MPZ655347:MPZ655369 MZV655347:MZV655369 NJR655347:NJR655369 NTN655347:NTN655369 ODJ655347:ODJ655369 ONF655347:ONF655369 OXB655347:OXB655369 PGX655347:PGX655369 PQT655347:PQT655369 QAP655347:QAP655369 QKL655347:QKL655369 QUH655347:QUH655369 RED655347:RED655369 RNZ655347:RNZ655369 RXV655347:RXV655369 SHR655347:SHR655369 SRN655347:SRN655369 TBJ655347:TBJ655369 TLF655347:TLF655369 TVB655347:TVB655369 UEX655347:UEX655369 UOT655347:UOT655369 UYP655347:UYP655369 VIL655347:VIL655369 VSH655347:VSH655369 WCD655347:WCD655369 WLZ655347:WLZ655369 WVV655347:WVV655369 N720883:N720905 JJ720883:JJ720905 TF720883:TF720905 ADB720883:ADB720905 AMX720883:AMX720905 AWT720883:AWT720905 BGP720883:BGP720905 BQL720883:BQL720905 CAH720883:CAH720905 CKD720883:CKD720905 CTZ720883:CTZ720905 DDV720883:DDV720905 DNR720883:DNR720905 DXN720883:DXN720905 EHJ720883:EHJ720905 ERF720883:ERF720905 FBB720883:FBB720905 FKX720883:FKX720905 FUT720883:FUT720905 GEP720883:GEP720905 GOL720883:GOL720905 GYH720883:GYH720905 HID720883:HID720905 HRZ720883:HRZ720905 IBV720883:IBV720905 ILR720883:ILR720905 IVN720883:IVN720905 JFJ720883:JFJ720905 JPF720883:JPF720905 JZB720883:JZB720905 KIX720883:KIX720905 KST720883:KST720905 LCP720883:LCP720905 LML720883:LML720905 LWH720883:LWH720905 MGD720883:MGD720905 MPZ720883:MPZ720905 MZV720883:MZV720905 NJR720883:NJR720905 NTN720883:NTN720905 ODJ720883:ODJ720905 ONF720883:ONF720905 OXB720883:OXB720905 PGX720883:PGX720905 PQT720883:PQT720905 QAP720883:QAP720905 QKL720883:QKL720905 QUH720883:QUH720905 RED720883:RED720905 RNZ720883:RNZ720905 RXV720883:RXV720905 SHR720883:SHR720905 SRN720883:SRN720905 TBJ720883:TBJ720905 TLF720883:TLF720905 TVB720883:TVB720905 UEX720883:UEX720905 UOT720883:UOT720905 UYP720883:UYP720905 VIL720883:VIL720905 VSH720883:VSH720905 WCD720883:WCD720905 WLZ720883:WLZ720905 WVV720883:WVV720905 N786419:N786441 JJ786419:JJ786441 TF786419:TF786441 ADB786419:ADB786441 AMX786419:AMX786441 AWT786419:AWT786441 BGP786419:BGP786441 BQL786419:BQL786441 CAH786419:CAH786441 CKD786419:CKD786441 CTZ786419:CTZ786441 DDV786419:DDV786441 DNR786419:DNR786441 DXN786419:DXN786441 EHJ786419:EHJ786441 ERF786419:ERF786441 FBB786419:FBB786441 FKX786419:FKX786441 FUT786419:FUT786441 GEP786419:GEP786441 GOL786419:GOL786441 GYH786419:GYH786441 HID786419:HID786441 HRZ786419:HRZ786441 IBV786419:IBV786441 ILR786419:ILR786441 IVN786419:IVN786441 JFJ786419:JFJ786441 JPF786419:JPF786441 JZB786419:JZB786441 KIX786419:KIX786441 KST786419:KST786441 LCP786419:LCP786441 LML786419:LML786441 LWH786419:LWH786441 MGD786419:MGD786441 MPZ786419:MPZ786441 MZV786419:MZV786441 NJR786419:NJR786441 NTN786419:NTN786441 ODJ786419:ODJ786441 ONF786419:ONF786441 OXB786419:OXB786441 PGX786419:PGX786441 PQT786419:PQT786441 QAP786419:QAP786441 QKL786419:QKL786441 QUH786419:QUH786441 RED786419:RED786441 RNZ786419:RNZ786441 RXV786419:RXV786441 SHR786419:SHR786441 SRN786419:SRN786441 TBJ786419:TBJ786441 TLF786419:TLF786441 TVB786419:TVB786441 UEX786419:UEX786441 UOT786419:UOT786441 UYP786419:UYP786441 VIL786419:VIL786441 VSH786419:VSH786441 WCD786419:WCD786441 WLZ786419:WLZ786441 WVV786419:WVV786441 N851955:N851977 JJ851955:JJ851977 TF851955:TF851977 ADB851955:ADB851977 AMX851955:AMX851977 AWT851955:AWT851977 BGP851955:BGP851977 BQL851955:BQL851977 CAH851955:CAH851977 CKD851955:CKD851977 CTZ851955:CTZ851977 DDV851955:DDV851977 DNR851955:DNR851977 DXN851955:DXN851977 EHJ851955:EHJ851977 ERF851955:ERF851977 FBB851955:FBB851977 FKX851955:FKX851977 FUT851955:FUT851977 GEP851955:GEP851977 GOL851955:GOL851977 GYH851955:GYH851977 HID851955:HID851977 HRZ851955:HRZ851977 IBV851955:IBV851977 ILR851955:ILR851977 IVN851955:IVN851977 JFJ851955:JFJ851977 JPF851955:JPF851977 JZB851955:JZB851977 KIX851955:KIX851977 KST851955:KST851977 LCP851955:LCP851977 LML851955:LML851977 LWH851955:LWH851977 MGD851955:MGD851977 MPZ851955:MPZ851977 MZV851955:MZV851977 NJR851955:NJR851977 NTN851955:NTN851977 ODJ851955:ODJ851977 ONF851955:ONF851977 OXB851955:OXB851977 PGX851955:PGX851977 PQT851955:PQT851977 QAP851955:QAP851977 QKL851955:QKL851977 QUH851955:QUH851977 RED851955:RED851977 RNZ851955:RNZ851977 RXV851955:RXV851977 SHR851955:SHR851977 SRN851955:SRN851977 TBJ851955:TBJ851977 TLF851955:TLF851977 TVB851955:TVB851977 UEX851955:UEX851977 UOT851955:UOT851977 UYP851955:UYP851977 VIL851955:VIL851977 VSH851955:VSH851977 WCD851955:WCD851977 WLZ851955:WLZ851977 WVV851955:WVV851977 N917491:N917513 JJ917491:JJ917513 TF917491:TF917513 ADB917491:ADB917513 AMX917491:AMX917513 AWT917491:AWT917513 BGP917491:BGP917513 BQL917491:BQL917513 CAH917491:CAH917513 CKD917491:CKD917513 CTZ917491:CTZ917513 DDV917491:DDV917513 DNR917491:DNR917513 DXN917491:DXN917513 EHJ917491:EHJ917513 ERF917491:ERF917513 FBB917491:FBB917513 FKX917491:FKX917513 FUT917491:FUT917513 GEP917491:GEP917513 GOL917491:GOL917513 GYH917491:GYH917513 HID917491:HID917513 HRZ917491:HRZ917513 IBV917491:IBV917513 ILR917491:ILR917513 IVN917491:IVN917513 JFJ917491:JFJ917513 JPF917491:JPF917513 JZB917491:JZB917513 KIX917491:KIX917513 KST917491:KST917513 LCP917491:LCP917513 LML917491:LML917513 LWH917491:LWH917513 MGD917491:MGD917513 MPZ917491:MPZ917513 MZV917491:MZV917513 NJR917491:NJR917513 NTN917491:NTN917513 ODJ917491:ODJ917513 ONF917491:ONF917513 OXB917491:OXB917513 PGX917491:PGX917513 PQT917491:PQT917513 QAP917491:QAP917513 QKL917491:QKL917513 QUH917491:QUH917513 RED917491:RED917513 RNZ917491:RNZ917513 RXV917491:RXV917513 SHR917491:SHR917513 SRN917491:SRN917513 TBJ917491:TBJ917513 TLF917491:TLF917513 TVB917491:TVB917513 UEX917491:UEX917513 UOT917491:UOT917513 UYP917491:UYP917513 VIL917491:VIL917513 VSH917491:VSH917513 WCD917491:WCD917513 WLZ917491:WLZ917513 WVV917491:WVV917513 N983027:N983049 JJ983027:JJ983049 TF983027:TF983049 ADB983027:ADB983049 AMX983027:AMX983049 AWT983027:AWT983049 BGP983027:BGP983049 BQL983027:BQL983049 CAH983027:CAH983049 CKD983027:CKD983049 CTZ983027:CTZ983049 DDV983027:DDV983049 DNR983027:DNR983049 DXN983027:DXN983049 EHJ983027:EHJ983049 ERF983027:ERF983049 FBB983027:FBB983049 FKX983027:FKX983049 FUT983027:FUT983049 GEP983027:GEP983049 GOL983027:GOL983049 GYH983027:GYH983049 HID983027:HID983049 HRZ983027:HRZ983049 IBV983027:IBV983049 ILR983027:ILR983049 IVN983027:IVN983049 JFJ983027:JFJ983049 JPF983027:JPF983049 JZB983027:JZB983049 KIX983027:KIX983049 KST983027:KST983049 LCP983027:LCP983049 LML983027:LML983049 LWH983027:LWH983049 MGD983027:MGD983049 MPZ983027:MPZ983049 MZV983027:MZV983049 NJR983027:NJR983049 NTN983027:NTN983049 ODJ983027:ODJ983049 ONF983027:ONF983049 OXB983027:OXB983049 PGX983027:PGX983049 PQT983027:PQT983049 QAP983027:QAP983049 QKL983027:QKL983049 QUH983027:QUH983049 RED983027:RED983049 RNZ983027:RNZ983049 RXV983027:RXV983049 SHR983027:SHR983049 SRN983027:SRN983049 TBJ983027:TBJ983049 TLF983027:TLF983049 TVB983027:TVB983049 UEX983027:UEX983049 UOT983027:UOT983049 UYP983027:UYP983049 VIL983027:VIL983049 VSH983027:VSH983049 WCD983027:WCD983049 WLZ983027:WLZ983049 F65523:J65545 F131059:J131081 F196595:J196617 F262131:J262153 F327667:J327689 F393203:J393225 F458739:J458761 F524275:J524297 F589811:J589833 F655347:J655369 F720883:J720905 F786419:J786441 F851955:J851977 F917491:J917513 F983027:J983049" xr:uid="{2804758D-B9CD-4DC0-A409-B28BD152974C}">
      <formula1>0</formula1>
    </dataValidation>
    <dataValidation type="decimal" operator="lessThanOrEqual" allowBlank="1" showInputMessage="1" showErrorMessage="1" errorTitle="Positief bedrag" error="Gelieve een negatief bedrag in te geven" sqref="D65523:D65545 JC65523:JC65545 SY65523:SY65545 ACU65523:ACU65545 AMQ65523:AMQ65545 AWM65523:AWM65545 BGI65523:BGI65545 BQE65523:BQE65545 CAA65523:CAA65545 CJW65523:CJW65545 CTS65523:CTS65545 DDO65523:DDO65545 DNK65523:DNK65545 DXG65523:DXG65545 EHC65523:EHC65545 EQY65523:EQY65545 FAU65523:FAU65545 FKQ65523:FKQ65545 FUM65523:FUM65545 GEI65523:GEI65545 GOE65523:GOE65545 GYA65523:GYA65545 HHW65523:HHW65545 HRS65523:HRS65545 IBO65523:IBO65545 ILK65523:ILK65545 IVG65523:IVG65545 JFC65523:JFC65545 JOY65523:JOY65545 JYU65523:JYU65545 KIQ65523:KIQ65545 KSM65523:KSM65545 LCI65523:LCI65545 LME65523:LME65545 LWA65523:LWA65545 MFW65523:MFW65545 MPS65523:MPS65545 MZO65523:MZO65545 NJK65523:NJK65545 NTG65523:NTG65545 ODC65523:ODC65545 OMY65523:OMY65545 OWU65523:OWU65545 PGQ65523:PGQ65545 PQM65523:PQM65545 QAI65523:QAI65545 QKE65523:QKE65545 QUA65523:QUA65545 RDW65523:RDW65545 RNS65523:RNS65545 RXO65523:RXO65545 SHK65523:SHK65545 SRG65523:SRG65545 TBC65523:TBC65545 TKY65523:TKY65545 TUU65523:TUU65545 UEQ65523:UEQ65545 UOM65523:UOM65545 UYI65523:UYI65545 VIE65523:VIE65545 VSA65523:VSA65545 WBW65523:WBW65545 WLS65523:WLS65545 WVO65523:WVO65545 D131059:D131081 JC131059:JC131081 SY131059:SY131081 ACU131059:ACU131081 AMQ131059:AMQ131081 AWM131059:AWM131081 BGI131059:BGI131081 BQE131059:BQE131081 CAA131059:CAA131081 CJW131059:CJW131081 CTS131059:CTS131081 DDO131059:DDO131081 DNK131059:DNK131081 DXG131059:DXG131081 EHC131059:EHC131081 EQY131059:EQY131081 FAU131059:FAU131081 FKQ131059:FKQ131081 FUM131059:FUM131081 GEI131059:GEI131081 GOE131059:GOE131081 GYA131059:GYA131081 HHW131059:HHW131081 HRS131059:HRS131081 IBO131059:IBO131081 ILK131059:ILK131081 IVG131059:IVG131081 JFC131059:JFC131081 JOY131059:JOY131081 JYU131059:JYU131081 KIQ131059:KIQ131081 KSM131059:KSM131081 LCI131059:LCI131081 LME131059:LME131081 LWA131059:LWA131081 MFW131059:MFW131081 MPS131059:MPS131081 MZO131059:MZO131081 NJK131059:NJK131081 NTG131059:NTG131081 ODC131059:ODC131081 OMY131059:OMY131081 OWU131059:OWU131081 PGQ131059:PGQ131081 PQM131059:PQM131081 QAI131059:QAI131081 QKE131059:QKE131081 QUA131059:QUA131081 RDW131059:RDW131081 RNS131059:RNS131081 RXO131059:RXO131081 SHK131059:SHK131081 SRG131059:SRG131081 TBC131059:TBC131081 TKY131059:TKY131081 TUU131059:TUU131081 UEQ131059:UEQ131081 UOM131059:UOM131081 UYI131059:UYI131081 VIE131059:VIE131081 VSA131059:VSA131081 WBW131059:WBW131081 WLS131059:WLS131081 WVO131059:WVO131081 D196595:D196617 JC196595:JC196617 SY196595:SY196617 ACU196595:ACU196617 AMQ196595:AMQ196617 AWM196595:AWM196617 BGI196595:BGI196617 BQE196595:BQE196617 CAA196595:CAA196617 CJW196595:CJW196617 CTS196595:CTS196617 DDO196595:DDO196617 DNK196595:DNK196617 DXG196595:DXG196617 EHC196595:EHC196617 EQY196595:EQY196617 FAU196595:FAU196617 FKQ196595:FKQ196617 FUM196595:FUM196617 GEI196595:GEI196617 GOE196595:GOE196617 GYA196595:GYA196617 HHW196595:HHW196617 HRS196595:HRS196617 IBO196595:IBO196617 ILK196595:ILK196617 IVG196595:IVG196617 JFC196595:JFC196617 JOY196595:JOY196617 JYU196595:JYU196617 KIQ196595:KIQ196617 KSM196595:KSM196617 LCI196595:LCI196617 LME196595:LME196617 LWA196595:LWA196617 MFW196595:MFW196617 MPS196595:MPS196617 MZO196595:MZO196617 NJK196595:NJK196617 NTG196595:NTG196617 ODC196595:ODC196617 OMY196595:OMY196617 OWU196595:OWU196617 PGQ196595:PGQ196617 PQM196595:PQM196617 QAI196595:QAI196617 QKE196595:QKE196617 QUA196595:QUA196617 RDW196595:RDW196617 RNS196595:RNS196617 RXO196595:RXO196617 SHK196595:SHK196617 SRG196595:SRG196617 TBC196595:TBC196617 TKY196595:TKY196617 TUU196595:TUU196617 UEQ196595:UEQ196617 UOM196595:UOM196617 UYI196595:UYI196617 VIE196595:VIE196617 VSA196595:VSA196617 WBW196595:WBW196617 WLS196595:WLS196617 WVO196595:WVO196617 D262131:D262153 JC262131:JC262153 SY262131:SY262153 ACU262131:ACU262153 AMQ262131:AMQ262153 AWM262131:AWM262153 BGI262131:BGI262153 BQE262131:BQE262153 CAA262131:CAA262153 CJW262131:CJW262153 CTS262131:CTS262153 DDO262131:DDO262153 DNK262131:DNK262153 DXG262131:DXG262153 EHC262131:EHC262153 EQY262131:EQY262153 FAU262131:FAU262153 FKQ262131:FKQ262153 FUM262131:FUM262153 GEI262131:GEI262153 GOE262131:GOE262153 GYA262131:GYA262153 HHW262131:HHW262153 HRS262131:HRS262153 IBO262131:IBO262153 ILK262131:ILK262153 IVG262131:IVG262153 JFC262131:JFC262153 JOY262131:JOY262153 JYU262131:JYU262153 KIQ262131:KIQ262153 KSM262131:KSM262153 LCI262131:LCI262153 LME262131:LME262153 LWA262131:LWA262153 MFW262131:MFW262153 MPS262131:MPS262153 MZO262131:MZO262153 NJK262131:NJK262153 NTG262131:NTG262153 ODC262131:ODC262153 OMY262131:OMY262153 OWU262131:OWU262153 PGQ262131:PGQ262153 PQM262131:PQM262153 QAI262131:QAI262153 QKE262131:QKE262153 QUA262131:QUA262153 RDW262131:RDW262153 RNS262131:RNS262153 RXO262131:RXO262153 SHK262131:SHK262153 SRG262131:SRG262153 TBC262131:TBC262153 TKY262131:TKY262153 TUU262131:TUU262153 UEQ262131:UEQ262153 UOM262131:UOM262153 UYI262131:UYI262153 VIE262131:VIE262153 VSA262131:VSA262153 WBW262131:WBW262153 WLS262131:WLS262153 WVO262131:WVO262153 D327667:D327689 JC327667:JC327689 SY327667:SY327689 ACU327667:ACU327689 AMQ327667:AMQ327689 AWM327667:AWM327689 BGI327667:BGI327689 BQE327667:BQE327689 CAA327667:CAA327689 CJW327667:CJW327689 CTS327667:CTS327689 DDO327667:DDO327689 DNK327667:DNK327689 DXG327667:DXG327689 EHC327667:EHC327689 EQY327667:EQY327689 FAU327667:FAU327689 FKQ327667:FKQ327689 FUM327667:FUM327689 GEI327667:GEI327689 GOE327667:GOE327689 GYA327667:GYA327689 HHW327667:HHW327689 HRS327667:HRS327689 IBO327667:IBO327689 ILK327667:ILK327689 IVG327667:IVG327689 JFC327667:JFC327689 JOY327667:JOY327689 JYU327667:JYU327689 KIQ327667:KIQ327689 KSM327667:KSM327689 LCI327667:LCI327689 LME327667:LME327689 LWA327667:LWA327689 MFW327667:MFW327689 MPS327667:MPS327689 MZO327667:MZO327689 NJK327667:NJK327689 NTG327667:NTG327689 ODC327667:ODC327689 OMY327667:OMY327689 OWU327667:OWU327689 PGQ327667:PGQ327689 PQM327667:PQM327689 QAI327667:QAI327689 QKE327667:QKE327689 QUA327667:QUA327689 RDW327667:RDW327689 RNS327667:RNS327689 RXO327667:RXO327689 SHK327667:SHK327689 SRG327667:SRG327689 TBC327667:TBC327689 TKY327667:TKY327689 TUU327667:TUU327689 UEQ327667:UEQ327689 UOM327667:UOM327689 UYI327667:UYI327689 VIE327667:VIE327689 VSA327667:VSA327689 WBW327667:WBW327689 WLS327667:WLS327689 WVO327667:WVO327689 D393203:D393225 JC393203:JC393225 SY393203:SY393225 ACU393203:ACU393225 AMQ393203:AMQ393225 AWM393203:AWM393225 BGI393203:BGI393225 BQE393203:BQE393225 CAA393203:CAA393225 CJW393203:CJW393225 CTS393203:CTS393225 DDO393203:DDO393225 DNK393203:DNK393225 DXG393203:DXG393225 EHC393203:EHC393225 EQY393203:EQY393225 FAU393203:FAU393225 FKQ393203:FKQ393225 FUM393203:FUM393225 GEI393203:GEI393225 GOE393203:GOE393225 GYA393203:GYA393225 HHW393203:HHW393225 HRS393203:HRS393225 IBO393203:IBO393225 ILK393203:ILK393225 IVG393203:IVG393225 JFC393203:JFC393225 JOY393203:JOY393225 JYU393203:JYU393225 KIQ393203:KIQ393225 KSM393203:KSM393225 LCI393203:LCI393225 LME393203:LME393225 LWA393203:LWA393225 MFW393203:MFW393225 MPS393203:MPS393225 MZO393203:MZO393225 NJK393203:NJK393225 NTG393203:NTG393225 ODC393203:ODC393225 OMY393203:OMY393225 OWU393203:OWU393225 PGQ393203:PGQ393225 PQM393203:PQM393225 QAI393203:QAI393225 QKE393203:QKE393225 QUA393203:QUA393225 RDW393203:RDW393225 RNS393203:RNS393225 RXO393203:RXO393225 SHK393203:SHK393225 SRG393203:SRG393225 TBC393203:TBC393225 TKY393203:TKY393225 TUU393203:TUU393225 UEQ393203:UEQ393225 UOM393203:UOM393225 UYI393203:UYI393225 VIE393203:VIE393225 VSA393203:VSA393225 WBW393203:WBW393225 WLS393203:WLS393225 WVO393203:WVO393225 D458739:D458761 JC458739:JC458761 SY458739:SY458761 ACU458739:ACU458761 AMQ458739:AMQ458761 AWM458739:AWM458761 BGI458739:BGI458761 BQE458739:BQE458761 CAA458739:CAA458761 CJW458739:CJW458761 CTS458739:CTS458761 DDO458739:DDO458761 DNK458739:DNK458761 DXG458739:DXG458761 EHC458739:EHC458761 EQY458739:EQY458761 FAU458739:FAU458761 FKQ458739:FKQ458761 FUM458739:FUM458761 GEI458739:GEI458761 GOE458739:GOE458761 GYA458739:GYA458761 HHW458739:HHW458761 HRS458739:HRS458761 IBO458739:IBO458761 ILK458739:ILK458761 IVG458739:IVG458761 JFC458739:JFC458761 JOY458739:JOY458761 JYU458739:JYU458761 KIQ458739:KIQ458761 KSM458739:KSM458761 LCI458739:LCI458761 LME458739:LME458761 LWA458739:LWA458761 MFW458739:MFW458761 MPS458739:MPS458761 MZO458739:MZO458761 NJK458739:NJK458761 NTG458739:NTG458761 ODC458739:ODC458761 OMY458739:OMY458761 OWU458739:OWU458761 PGQ458739:PGQ458761 PQM458739:PQM458761 QAI458739:QAI458761 QKE458739:QKE458761 QUA458739:QUA458761 RDW458739:RDW458761 RNS458739:RNS458761 RXO458739:RXO458761 SHK458739:SHK458761 SRG458739:SRG458761 TBC458739:TBC458761 TKY458739:TKY458761 TUU458739:TUU458761 UEQ458739:UEQ458761 UOM458739:UOM458761 UYI458739:UYI458761 VIE458739:VIE458761 VSA458739:VSA458761 WBW458739:WBW458761 WLS458739:WLS458761 WVO458739:WVO458761 D524275:D524297 JC524275:JC524297 SY524275:SY524297 ACU524275:ACU524297 AMQ524275:AMQ524297 AWM524275:AWM524297 BGI524275:BGI524297 BQE524275:BQE524297 CAA524275:CAA524297 CJW524275:CJW524297 CTS524275:CTS524297 DDO524275:DDO524297 DNK524275:DNK524297 DXG524275:DXG524297 EHC524275:EHC524297 EQY524275:EQY524297 FAU524275:FAU524297 FKQ524275:FKQ524297 FUM524275:FUM524297 GEI524275:GEI524297 GOE524275:GOE524297 GYA524275:GYA524297 HHW524275:HHW524297 HRS524275:HRS524297 IBO524275:IBO524297 ILK524275:ILK524297 IVG524275:IVG524297 JFC524275:JFC524297 JOY524275:JOY524297 JYU524275:JYU524297 KIQ524275:KIQ524297 KSM524275:KSM524297 LCI524275:LCI524297 LME524275:LME524297 LWA524275:LWA524297 MFW524275:MFW524297 MPS524275:MPS524297 MZO524275:MZO524297 NJK524275:NJK524297 NTG524275:NTG524297 ODC524275:ODC524297 OMY524275:OMY524297 OWU524275:OWU524297 PGQ524275:PGQ524297 PQM524275:PQM524297 QAI524275:QAI524297 QKE524275:QKE524297 QUA524275:QUA524297 RDW524275:RDW524297 RNS524275:RNS524297 RXO524275:RXO524297 SHK524275:SHK524297 SRG524275:SRG524297 TBC524275:TBC524297 TKY524275:TKY524297 TUU524275:TUU524297 UEQ524275:UEQ524297 UOM524275:UOM524297 UYI524275:UYI524297 VIE524275:VIE524297 VSA524275:VSA524297 WBW524275:WBW524297 WLS524275:WLS524297 WVO524275:WVO524297 D589811:D589833 JC589811:JC589833 SY589811:SY589833 ACU589811:ACU589833 AMQ589811:AMQ589833 AWM589811:AWM589833 BGI589811:BGI589833 BQE589811:BQE589833 CAA589811:CAA589833 CJW589811:CJW589833 CTS589811:CTS589833 DDO589811:DDO589833 DNK589811:DNK589833 DXG589811:DXG589833 EHC589811:EHC589833 EQY589811:EQY589833 FAU589811:FAU589833 FKQ589811:FKQ589833 FUM589811:FUM589833 GEI589811:GEI589833 GOE589811:GOE589833 GYA589811:GYA589833 HHW589811:HHW589833 HRS589811:HRS589833 IBO589811:IBO589833 ILK589811:ILK589833 IVG589811:IVG589833 JFC589811:JFC589833 JOY589811:JOY589833 JYU589811:JYU589833 KIQ589811:KIQ589833 KSM589811:KSM589833 LCI589811:LCI589833 LME589811:LME589833 LWA589811:LWA589833 MFW589811:MFW589833 MPS589811:MPS589833 MZO589811:MZO589833 NJK589811:NJK589833 NTG589811:NTG589833 ODC589811:ODC589833 OMY589811:OMY589833 OWU589811:OWU589833 PGQ589811:PGQ589833 PQM589811:PQM589833 QAI589811:QAI589833 QKE589811:QKE589833 QUA589811:QUA589833 RDW589811:RDW589833 RNS589811:RNS589833 RXO589811:RXO589833 SHK589811:SHK589833 SRG589811:SRG589833 TBC589811:TBC589833 TKY589811:TKY589833 TUU589811:TUU589833 UEQ589811:UEQ589833 UOM589811:UOM589833 UYI589811:UYI589833 VIE589811:VIE589833 VSA589811:VSA589833 WBW589811:WBW589833 WLS589811:WLS589833 WVO589811:WVO589833 D655347:D655369 JC655347:JC655369 SY655347:SY655369 ACU655347:ACU655369 AMQ655347:AMQ655369 AWM655347:AWM655369 BGI655347:BGI655369 BQE655347:BQE655369 CAA655347:CAA655369 CJW655347:CJW655369 CTS655347:CTS655369 DDO655347:DDO655369 DNK655347:DNK655369 DXG655347:DXG655369 EHC655347:EHC655369 EQY655347:EQY655369 FAU655347:FAU655369 FKQ655347:FKQ655369 FUM655347:FUM655369 GEI655347:GEI655369 GOE655347:GOE655369 GYA655347:GYA655369 HHW655347:HHW655369 HRS655347:HRS655369 IBO655347:IBO655369 ILK655347:ILK655369 IVG655347:IVG655369 JFC655347:JFC655369 JOY655347:JOY655369 JYU655347:JYU655369 KIQ655347:KIQ655369 KSM655347:KSM655369 LCI655347:LCI655369 LME655347:LME655369 LWA655347:LWA655369 MFW655347:MFW655369 MPS655347:MPS655369 MZO655347:MZO655369 NJK655347:NJK655369 NTG655347:NTG655369 ODC655347:ODC655369 OMY655347:OMY655369 OWU655347:OWU655369 PGQ655347:PGQ655369 PQM655347:PQM655369 QAI655347:QAI655369 QKE655347:QKE655369 QUA655347:QUA655369 RDW655347:RDW655369 RNS655347:RNS655369 RXO655347:RXO655369 SHK655347:SHK655369 SRG655347:SRG655369 TBC655347:TBC655369 TKY655347:TKY655369 TUU655347:TUU655369 UEQ655347:UEQ655369 UOM655347:UOM655369 UYI655347:UYI655369 VIE655347:VIE655369 VSA655347:VSA655369 WBW655347:WBW655369 WLS655347:WLS655369 WVO655347:WVO655369 D720883:D720905 JC720883:JC720905 SY720883:SY720905 ACU720883:ACU720905 AMQ720883:AMQ720905 AWM720883:AWM720905 BGI720883:BGI720905 BQE720883:BQE720905 CAA720883:CAA720905 CJW720883:CJW720905 CTS720883:CTS720905 DDO720883:DDO720905 DNK720883:DNK720905 DXG720883:DXG720905 EHC720883:EHC720905 EQY720883:EQY720905 FAU720883:FAU720905 FKQ720883:FKQ720905 FUM720883:FUM720905 GEI720883:GEI720905 GOE720883:GOE720905 GYA720883:GYA720905 HHW720883:HHW720905 HRS720883:HRS720905 IBO720883:IBO720905 ILK720883:ILK720905 IVG720883:IVG720905 JFC720883:JFC720905 JOY720883:JOY720905 JYU720883:JYU720905 KIQ720883:KIQ720905 KSM720883:KSM720905 LCI720883:LCI720905 LME720883:LME720905 LWA720883:LWA720905 MFW720883:MFW720905 MPS720883:MPS720905 MZO720883:MZO720905 NJK720883:NJK720905 NTG720883:NTG720905 ODC720883:ODC720905 OMY720883:OMY720905 OWU720883:OWU720905 PGQ720883:PGQ720905 PQM720883:PQM720905 QAI720883:QAI720905 QKE720883:QKE720905 QUA720883:QUA720905 RDW720883:RDW720905 RNS720883:RNS720905 RXO720883:RXO720905 SHK720883:SHK720905 SRG720883:SRG720905 TBC720883:TBC720905 TKY720883:TKY720905 TUU720883:TUU720905 UEQ720883:UEQ720905 UOM720883:UOM720905 UYI720883:UYI720905 VIE720883:VIE720905 VSA720883:VSA720905 WBW720883:WBW720905 WLS720883:WLS720905 WVO720883:WVO720905 D786419:D786441 JC786419:JC786441 SY786419:SY786441 ACU786419:ACU786441 AMQ786419:AMQ786441 AWM786419:AWM786441 BGI786419:BGI786441 BQE786419:BQE786441 CAA786419:CAA786441 CJW786419:CJW786441 CTS786419:CTS786441 DDO786419:DDO786441 DNK786419:DNK786441 DXG786419:DXG786441 EHC786419:EHC786441 EQY786419:EQY786441 FAU786419:FAU786441 FKQ786419:FKQ786441 FUM786419:FUM786441 GEI786419:GEI786441 GOE786419:GOE786441 GYA786419:GYA786441 HHW786419:HHW786441 HRS786419:HRS786441 IBO786419:IBO786441 ILK786419:ILK786441 IVG786419:IVG786441 JFC786419:JFC786441 JOY786419:JOY786441 JYU786419:JYU786441 KIQ786419:KIQ786441 KSM786419:KSM786441 LCI786419:LCI786441 LME786419:LME786441 LWA786419:LWA786441 MFW786419:MFW786441 MPS786419:MPS786441 MZO786419:MZO786441 NJK786419:NJK786441 NTG786419:NTG786441 ODC786419:ODC786441 OMY786419:OMY786441 OWU786419:OWU786441 PGQ786419:PGQ786441 PQM786419:PQM786441 QAI786419:QAI786441 QKE786419:QKE786441 QUA786419:QUA786441 RDW786419:RDW786441 RNS786419:RNS786441 RXO786419:RXO786441 SHK786419:SHK786441 SRG786419:SRG786441 TBC786419:TBC786441 TKY786419:TKY786441 TUU786419:TUU786441 UEQ786419:UEQ786441 UOM786419:UOM786441 UYI786419:UYI786441 VIE786419:VIE786441 VSA786419:VSA786441 WBW786419:WBW786441 WLS786419:WLS786441 WVO786419:WVO786441 D851955:D851977 JC851955:JC851977 SY851955:SY851977 ACU851955:ACU851977 AMQ851955:AMQ851977 AWM851955:AWM851977 BGI851955:BGI851977 BQE851955:BQE851977 CAA851955:CAA851977 CJW851955:CJW851977 CTS851955:CTS851977 DDO851955:DDO851977 DNK851955:DNK851977 DXG851955:DXG851977 EHC851955:EHC851977 EQY851955:EQY851977 FAU851955:FAU851977 FKQ851955:FKQ851977 FUM851955:FUM851977 GEI851955:GEI851977 GOE851955:GOE851977 GYA851955:GYA851977 HHW851955:HHW851977 HRS851955:HRS851977 IBO851955:IBO851977 ILK851955:ILK851977 IVG851955:IVG851977 JFC851955:JFC851977 JOY851955:JOY851977 JYU851955:JYU851977 KIQ851955:KIQ851977 KSM851955:KSM851977 LCI851955:LCI851977 LME851955:LME851977 LWA851955:LWA851977 MFW851955:MFW851977 MPS851955:MPS851977 MZO851955:MZO851977 NJK851955:NJK851977 NTG851955:NTG851977 ODC851955:ODC851977 OMY851955:OMY851977 OWU851955:OWU851977 PGQ851955:PGQ851977 PQM851955:PQM851977 QAI851955:QAI851977 QKE851955:QKE851977 QUA851955:QUA851977 RDW851955:RDW851977 RNS851955:RNS851977 RXO851955:RXO851977 SHK851955:SHK851977 SRG851955:SRG851977 TBC851955:TBC851977 TKY851955:TKY851977 TUU851955:TUU851977 UEQ851955:UEQ851977 UOM851955:UOM851977 UYI851955:UYI851977 VIE851955:VIE851977 VSA851955:VSA851977 WBW851955:WBW851977 WLS851955:WLS851977 WVO851955:WVO851977 D917491:D917513 JC917491:JC917513 SY917491:SY917513 ACU917491:ACU917513 AMQ917491:AMQ917513 AWM917491:AWM917513 BGI917491:BGI917513 BQE917491:BQE917513 CAA917491:CAA917513 CJW917491:CJW917513 CTS917491:CTS917513 DDO917491:DDO917513 DNK917491:DNK917513 DXG917491:DXG917513 EHC917491:EHC917513 EQY917491:EQY917513 FAU917491:FAU917513 FKQ917491:FKQ917513 FUM917491:FUM917513 GEI917491:GEI917513 GOE917491:GOE917513 GYA917491:GYA917513 HHW917491:HHW917513 HRS917491:HRS917513 IBO917491:IBO917513 ILK917491:ILK917513 IVG917491:IVG917513 JFC917491:JFC917513 JOY917491:JOY917513 JYU917491:JYU917513 KIQ917491:KIQ917513 KSM917491:KSM917513 LCI917491:LCI917513 LME917491:LME917513 LWA917491:LWA917513 MFW917491:MFW917513 MPS917491:MPS917513 MZO917491:MZO917513 NJK917491:NJK917513 NTG917491:NTG917513 ODC917491:ODC917513 OMY917491:OMY917513 OWU917491:OWU917513 PGQ917491:PGQ917513 PQM917491:PQM917513 QAI917491:QAI917513 QKE917491:QKE917513 QUA917491:QUA917513 RDW917491:RDW917513 RNS917491:RNS917513 RXO917491:RXO917513 SHK917491:SHK917513 SRG917491:SRG917513 TBC917491:TBC917513 TKY917491:TKY917513 TUU917491:TUU917513 UEQ917491:UEQ917513 UOM917491:UOM917513 UYI917491:UYI917513 VIE917491:VIE917513 VSA917491:VSA917513 WBW917491:WBW917513 WLS917491:WLS917513 WVO917491:WVO917513 D983027:D983049 JC983027:JC983049 SY983027:SY983049 ACU983027:ACU983049 AMQ983027:AMQ983049 AWM983027:AWM983049 BGI983027:BGI983049 BQE983027:BQE983049 CAA983027:CAA983049 CJW983027:CJW983049 CTS983027:CTS983049 DDO983027:DDO983049 DNK983027:DNK983049 DXG983027:DXG983049 EHC983027:EHC983049 EQY983027:EQY983049 FAU983027:FAU983049 FKQ983027:FKQ983049 FUM983027:FUM983049 GEI983027:GEI983049 GOE983027:GOE983049 GYA983027:GYA983049 HHW983027:HHW983049 HRS983027:HRS983049 IBO983027:IBO983049 ILK983027:ILK983049 IVG983027:IVG983049 JFC983027:JFC983049 JOY983027:JOY983049 JYU983027:JYU983049 KIQ983027:KIQ983049 KSM983027:KSM983049 LCI983027:LCI983049 LME983027:LME983049 LWA983027:LWA983049 MFW983027:MFW983049 MPS983027:MPS983049 MZO983027:MZO983049 NJK983027:NJK983049 NTG983027:NTG983049 ODC983027:ODC983049 OMY983027:OMY983049 OWU983027:OWU983049 PGQ983027:PGQ983049 PQM983027:PQM983049 QAI983027:QAI983049 QKE983027:QKE983049 QUA983027:QUA983049 RDW983027:RDW983049 RNS983027:RNS983049 RXO983027:RXO983049 SHK983027:SHK983049 SRG983027:SRG983049 TBC983027:TBC983049 TKY983027:TKY983049 TUU983027:TUU983049 UEQ983027:UEQ983049 UOM983027:UOM983049 UYI983027:UYI983049 VIE983027:VIE983049 VSA983027:VSA983049 WBW983027:WBW983049 WLS983027:WLS983049 WVO983027:WVO983049 P65523:P65545 JL65523:JL65545 TH65523:TH65545 ADD65523:ADD65545 AMZ65523:AMZ65545 AWV65523:AWV65545 BGR65523:BGR65545 BQN65523:BQN65545 CAJ65523:CAJ65545 CKF65523:CKF65545 CUB65523:CUB65545 DDX65523:DDX65545 DNT65523:DNT65545 DXP65523:DXP65545 EHL65523:EHL65545 ERH65523:ERH65545 FBD65523:FBD65545 FKZ65523:FKZ65545 FUV65523:FUV65545 GER65523:GER65545 GON65523:GON65545 GYJ65523:GYJ65545 HIF65523:HIF65545 HSB65523:HSB65545 IBX65523:IBX65545 ILT65523:ILT65545 IVP65523:IVP65545 JFL65523:JFL65545 JPH65523:JPH65545 JZD65523:JZD65545 KIZ65523:KIZ65545 KSV65523:KSV65545 LCR65523:LCR65545 LMN65523:LMN65545 LWJ65523:LWJ65545 MGF65523:MGF65545 MQB65523:MQB65545 MZX65523:MZX65545 NJT65523:NJT65545 NTP65523:NTP65545 ODL65523:ODL65545 ONH65523:ONH65545 OXD65523:OXD65545 PGZ65523:PGZ65545 PQV65523:PQV65545 QAR65523:QAR65545 QKN65523:QKN65545 QUJ65523:QUJ65545 REF65523:REF65545 ROB65523:ROB65545 RXX65523:RXX65545 SHT65523:SHT65545 SRP65523:SRP65545 TBL65523:TBL65545 TLH65523:TLH65545 TVD65523:TVD65545 UEZ65523:UEZ65545 UOV65523:UOV65545 UYR65523:UYR65545 VIN65523:VIN65545 VSJ65523:VSJ65545 WCF65523:WCF65545 WMB65523:WMB65545 WVX65523:WVX65545 P131059:P131081 JL131059:JL131081 TH131059:TH131081 ADD131059:ADD131081 AMZ131059:AMZ131081 AWV131059:AWV131081 BGR131059:BGR131081 BQN131059:BQN131081 CAJ131059:CAJ131081 CKF131059:CKF131081 CUB131059:CUB131081 DDX131059:DDX131081 DNT131059:DNT131081 DXP131059:DXP131081 EHL131059:EHL131081 ERH131059:ERH131081 FBD131059:FBD131081 FKZ131059:FKZ131081 FUV131059:FUV131081 GER131059:GER131081 GON131059:GON131081 GYJ131059:GYJ131081 HIF131059:HIF131081 HSB131059:HSB131081 IBX131059:IBX131081 ILT131059:ILT131081 IVP131059:IVP131081 JFL131059:JFL131081 JPH131059:JPH131081 JZD131059:JZD131081 KIZ131059:KIZ131081 KSV131059:KSV131081 LCR131059:LCR131081 LMN131059:LMN131081 LWJ131059:LWJ131081 MGF131059:MGF131081 MQB131059:MQB131081 MZX131059:MZX131081 NJT131059:NJT131081 NTP131059:NTP131081 ODL131059:ODL131081 ONH131059:ONH131081 OXD131059:OXD131081 PGZ131059:PGZ131081 PQV131059:PQV131081 QAR131059:QAR131081 QKN131059:QKN131081 QUJ131059:QUJ131081 REF131059:REF131081 ROB131059:ROB131081 RXX131059:RXX131081 SHT131059:SHT131081 SRP131059:SRP131081 TBL131059:TBL131081 TLH131059:TLH131081 TVD131059:TVD131081 UEZ131059:UEZ131081 UOV131059:UOV131081 UYR131059:UYR131081 VIN131059:VIN131081 VSJ131059:VSJ131081 WCF131059:WCF131081 WMB131059:WMB131081 WVX131059:WVX131081 P196595:P196617 JL196595:JL196617 TH196595:TH196617 ADD196595:ADD196617 AMZ196595:AMZ196617 AWV196595:AWV196617 BGR196595:BGR196617 BQN196595:BQN196617 CAJ196595:CAJ196617 CKF196595:CKF196617 CUB196595:CUB196617 DDX196595:DDX196617 DNT196595:DNT196617 DXP196595:DXP196617 EHL196595:EHL196617 ERH196595:ERH196617 FBD196595:FBD196617 FKZ196595:FKZ196617 FUV196595:FUV196617 GER196595:GER196617 GON196595:GON196617 GYJ196595:GYJ196617 HIF196595:HIF196617 HSB196595:HSB196617 IBX196595:IBX196617 ILT196595:ILT196617 IVP196595:IVP196617 JFL196595:JFL196617 JPH196595:JPH196617 JZD196595:JZD196617 KIZ196595:KIZ196617 KSV196595:KSV196617 LCR196595:LCR196617 LMN196595:LMN196617 LWJ196595:LWJ196617 MGF196595:MGF196617 MQB196595:MQB196617 MZX196595:MZX196617 NJT196595:NJT196617 NTP196595:NTP196617 ODL196595:ODL196617 ONH196595:ONH196617 OXD196595:OXD196617 PGZ196595:PGZ196617 PQV196595:PQV196617 QAR196595:QAR196617 QKN196595:QKN196617 QUJ196595:QUJ196617 REF196595:REF196617 ROB196595:ROB196617 RXX196595:RXX196617 SHT196595:SHT196617 SRP196595:SRP196617 TBL196595:TBL196617 TLH196595:TLH196617 TVD196595:TVD196617 UEZ196595:UEZ196617 UOV196595:UOV196617 UYR196595:UYR196617 VIN196595:VIN196617 VSJ196595:VSJ196617 WCF196595:WCF196617 WMB196595:WMB196617 WVX196595:WVX196617 P262131:P262153 JL262131:JL262153 TH262131:TH262153 ADD262131:ADD262153 AMZ262131:AMZ262153 AWV262131:AWV262153 BGR262131:BGR262153 BQN262131:BQN262153 CAJ262131:CAJ262153 CKF262131:CKF262153 CUB262131:CUB262153 DDX262131:DDX262153 DNT262131:DNT262153 DXP262131:DXP262153 EHL262131:EHL262153 ERH262131:ERH262153 FBD262131:FBD262153 FKZ262131:FKZ262153 FUV262131:FUV262153 GER262131:GER262153 GON262131:GON262153 GYJ262131:GYJ262153 HIF262131:HIF262153 HSB262131:HSB262153 IBX262131:IBX262153 ILT262131:ILT262153 IVP262131:IVP262153 JFL262131:JFL262153 JPH262131:JPH262153 JZD262131:JZD262153 KIZ262131:KIZ262153 KSV262131:KSV262153 LCR262131:LCR262153 LMN262131:LMN262153 LWJ262131:LWJ262153 MGF262131:MGF262153 MQB262131:MQB262153 MZX262131:MZX262153 NJT262131:NJT262153 NTP262131:NTP262153 ODL262131:ODL262153 ONH262131:ONH262153 OXD262131:OXD262153 PGZ262131:PGZ262153 PQV262131:PQV262153 QAR262131:QAR262153 QKN262131:QKN262153 QUJ262131:QUJ262153 REF262131:REF262153 ROB262131:ROB262153 RXX262131:RXX262153 SHT262131:SHT262153 SRP262131:SRP262153 TBL262131:TBL262153 TLH262131:TLH262153 TVD262131:TVD262153 UEZ262131:UEZ262153 UOV262131:UOV262153 UYR262131:UYR262153 VIN262131:VIN262153 VSJ262131:VSJ262153 WCF262131:WCF262153 WMB262131:WMB262153 WVX262131:WVX262153 P327667:P327689 JL327667:JL327689 TH327667:TH327689 ADD327667:ADD327689 AMZ327667:AMZ327689 AWV327667:AWV327689 BGR327667:BGR327689 BQN327667:BQN327689 CAJ327667:CAJ327689 CKF327667:CKF327689 CUB327667:CUB327689 DDX327667:DDX327689 DNT327667:DNT327689 DXP327667:DXP327689 EHL327667:EHL327689 ERH327667:ERH327689 FBD327667:FBD327689 FKZ327667:FKZ327689 FUV327667:FUV327689 GER327667:GER327689 GON327667:GON327689 GYJ327667:GYJ327689 HIF327667:HIF327689 HSB327667:HSB327689 IBX327667:IBX327689 ILT327667:ILT327689 IVP327667:IVP327689 JFL327667:JFL327689 JPH327667:JPH327689 JZD327667:JZD327689 KIZ327667:KIZ327689 KSV327667:KSV327689 LCR327667:LCR327689 LMN327667:LMN327689 LWJ327667:LWJ327689 MGF327667:MGF327689 MQB327667:MQB327689 MZX327667:MZX327689 NJT327667:NJT327689 NTP327667:NTP327689 ODL327667:ODL327689 ONH327667:ONH327689 OXD327667:OXD327689 PGZ327667:PGZ327689 PQV327667:PQV327689 QAR327667:QAR327689 QKN327667:QKN327689 QUJ327667:QUJ327689 REF327667:REF327689 ROB327667:ROB327689 RXX327667:RXX327689 SHT327667:SHT327689 SRP327667:SRP327689 TBL327667:TBL327689 TLH327667:TLH327689 TVD327667:TVD327689 UEZ327667:UEZ327689 UOV327667:UOV327689 UYR327667:UYR327689 VIN327667:VIN327689 VSJ327667:VSJ327689 WCF327667:WCF327689 WMB327667:WMB327689 WVX327667:WVX327689 P393203:P393225 JL393203:JL393225 TH393203:TH393225 ADD393203:ADD393225 AMZ393203:AMZ393225 AWV393203:AWV393225 BGR393203:BGR393225 BQN393203:BQN393225 CAJ393203:CAJ393225 CKF393203:CKF393225 CUB393203:CUB393225 DDX393203:DDX393225 DNT393203:DNT393225 DXP393203:DXP393225 EHL393203:EHL393225 ERH393203:ERH393225 FBD393203:FBD393225 FKZ393203:FKZ393225 FUV393203:FUV393225 GER393203:GER393225 GON393203:GON393225 GYJ393203:GYJ393225 HIF393203:HIF393225 HSB393203:HSB393225 IBX393203:IBX393225 ILT393203:ILT393225 IVP393203:IVP393225 JFL393203:JFL393225 JPH393203:JPH393225 JZD393203:JZD393225 KIZ393203:KIZ393225 KSV393203:KSV393225 LCR393203:LCR393225 LMN393203:LMN393225 LWJ393203:LWJ393225 MGF393203:MGF393225 MQB393203:MQB393225 MZX393203:MZX393225 NJT393203:NJT393225 NTP393203:NTP393225 ODL393203:ODL393225 ONH393203:ONH393225 OXD393203:OXD393225 PGZ393203:PGZ393225 PQV393203:PQV393225 QAR393203:QAR393225 QKN393203:QKN393225 QUJ393203:QUJ393225 REF393203:REF393225 ROB393203:ROB393225 RXX393203:RXX393225 SHT393203:SHT393225 SRP393203:SRP393225 TBL393203:TBL393225 TLH393203:TLH393225 TVD393203:TVD393225 UEZ393203:UEZ393225 UOV393203:UOV393225 UYR393203:UYR393225 VIN393203:VIN393225 VSJ393203:VSJ393225 WCF393203:WCF393225 WMB393203:WMB393225 WVX393203:WVX393225 P458739:P458761 JL458739:JL458761 TH458739:TH458761 ADD458739:ADD458761 AMZ458739:AMZ458761 AWV458739:AWV458761 BGR458739:BGR458761 BQN458739:BQN458761 CAJ458739:CAJ458761 CKF458739:CKF458761 CUB458739:CUB458761 DDX458739:DDX458761 DNT458739:DNT458761 DXP458739:DXP458761 EHL458739:EHL458761 ERH458739:ERH458761 FBD458739:FBD458761 FKZ458739:FKZ458761 FUV458739:FUV458761 GER458739:GER458761 GON458739:GON458761 GYJ458739:GYJ458761 HIF458739:HIF458761 HSB458739:HSB458761 IBX458739:IBX458761 ILT458739:ILT458761 IVP458739:IVP458761 JFL458739:JFL458761 JPH458739:JPH458761 JZD458739:JZD458761 KIZ458739:KIZ458761 KSV458739:KSV458761 LCR458739:LCR458761 LMN458739:LMN458761 LWJ458739:LWJ458761 MGF458739:MGF458761 MQB458739:MQB458761 MZX458739:MZX458761 NJT458739:NJT458761 NTP458739:NTP458761 ODL458739:ODL458761 ONH458739:ONH458761 OXD458739:OXD458761 PGZ458739:PGZ458761 PQV458739:PQV458761 QAR458739:QAR458761 QKN458739:QKN458761 QUJ458739:QUJ458761 REF458739:REF458761 ROB458739:ROB458761 RXX458739:RXX458761 SHT458739:SHT458761 SRP458739:SRP458761 TBL458739:TBL458761 TLH458739:TLH458761 TVD458739:TVD458761 UEZ458739:UEZ458761 UOV458739:UOV458761 UYR458739:UYR458761 VIN458739:VIN458761 VSJ458739:VSJ458761 WCF458739:WCF458761 WMB458739:WMB458761 WVX458739:WVX458761 P524275:P524297 JL524275:JL524297 TH524275:TH524297 ADD524275:ADD524297 AMZ524275:AMZ524297 AWV524275:AWV524297 BGR524275:BGR524297 BQN524275:BQN524297 CAJ524275:CAJ524297 CKF524275:CKF524297 CUB524275:CUB524297 DDX524275:DDX524297 DNT524275:DNT524297 DXP524275:DXP524297 EHL524275:EHL524297 ERH524275:ERH524297 FBD524275:FBD524297 FKZ524275:FKZ524297 FUV524275:FUV524297 GER524275:GER524297 GON524275:GON524297 GYJ524275:GYJ524297 HIF524275:HIF524297 HSB524275:HSB524297 IBX524275:IBX524297 ILT524275:ILT524297 IVP524275:IVP524297 JFL524275:JFL524297 JPH524275:JPH524297 JZD524275:JZD524297 KIZ524275:KIZ524297 KSV524275:KSV524297 LCR524275:LCR524297 LMN524275:LMN524297 LWJ524275:LWJ524297 MGF524275:MGF524297 MQB524275:MQB524297 MZX524275:MZX524297 NJT524275:NJT524297 NTP524275:NTP524297 ODL524275:ODL524297 ONH524275:ONH524297 OXD524275:OXD524297 PGZ524275:PGZ524297 PQV524275:PQV524297 QAR524275:QAR524297 QKN524275:QKN524297 QUJ524275:QUJ524297 REF524275:REF524297 ROB524275:ROB524297 RXX524275:RXX524297 SHT524275:SHT524297 SRP524275:SRP524297 TBL524275:TBL524297 TLH524275:TLH524297 TVD524275:TVD524297 UEZ524275:UEZ524297 UOV524275:UOV524297 UYR524275:UYR524297 VIN524275:VIN524297 VSJ524275:VSJ524297 WCF524275:WCF524297 WMB524275:WMB524297 WVX524275:WVX524297 P589811:P589833 JL589811:JL589833 TH589811:TH589833 ADD589811:ADD589833 AMZ589811:AMZ589833 AWV589811:AWV589833 BGR589811:BGR589833 BQN589811:BQN589833 CAJ589811:CAJ589833 CKF589811:CKF589833 CUB589811:CUB589833 DDX589811:DDX589833 DNT589811:DNT589833 DXP589811:DXP589833 EHL589811:EHL589833 ERH589811:ERH589833 FBD589811:FBD589833 FKZ589811:FKZ589833 FUV589811:FUV589833 GER589811:GER589833 GON589811:GON589833 GYJ589811:GYJ589833 HIF589811:HIF589833 HSB589811:HSB589833 IBX589811:IBX589833 ILT589811:ILT589833 IVP589811:IVP589833 JFL589811:JFL589833 JPH589811:JPH589833 JZD589811:JZD589833 KIZ589811:KIZ589833 KSV589811:KSV589833 LCR589811:LCR589833 LMN589811:LMN589833 LWJ589811:LWJ589833 MGF589811:MGF589833 MQB589811:MQB589833 MZX589811:MZX589833 NJT589811:NJT589833 NTP589811:NTP589833 ODL589811:ODL589833 ONH589811:ONH589833 OXD589811:OXD589833 PGZ589811:PGZ589833 PQV589811:PQV589833 QAR589811:QAR589833 QKN589811:QKN589833 QUJ589811:QUJ589833 REF589811:REF589833 ROB589811:ROB589833 RXX589811:RXX589833 SHT589811:SHT589833 SRP589811:SRP589833 TBL589811:TBL589833 TLH589811:TLH589833 TVD589811:TVD589833 UEZ589811:UEZ589833 UOV589811:UOV589833 UYR589811:UYR589833 VIN589811:VIN589833 VSJ589811:VSJ589833 WCF589811:WCF589833 WMB589811:WMB589833 WVX589811:WVX589833 P655347:P655369 JL655347:JL655369 TH655347:TH655369 ADD655347:ADD655369 AMZ655347:AMZ655369 AWV655347:AWV655369 BGR655347:BGR655369 BQN655347:BQN655369 CAJ655347:CAJ655369 CKF655347:CKF655369 CUB655347:CUB655369 DDX655347:DDX655369 DNT655347:DNT655369 DXP655347:DXP655369 EHL655347:EHL655369 ERH655347:ERH655369 FBD655347:FBD655369 FKZ655347:FKZ655369 FUV655347:FUV655369 GER655347:GER655369 GON655347:GON655369 GYJ655347:GYJ655369 HIF655347:HIF655369 HSB655347:HSB655369 IBX655347:IBX655369 ILT655347:ILT655369 IVP655347:IVP655369 JFL655347:JFL655369 JPH655347:JPH655369 JZD655347:JZD655369 KIZ655347:KIZ655369 KSV655347:KSV655369 LCR655347:LCR655369 LMN655347:LMN655369 LWJ655347:LWJ655369 MGF655347:MGF655369 MQB655347:MQB655369 MZX655347:MZX655369 NJT655347:NJT655369 NTP655347:NTP655369 ODL655347:ODL655369 ONH655347:ONH655369 OXD655347:OXD655369 PGZ655347:PGZ655369 PQV655347:PQV655369 QAR655347:QAR655369 QKN655347:QKN655369 QUJ655347:QUJ655369 REF655347:REF655369 ROB655347:ROB655369 RXX655347:RXX655369 SHT655347:SHT655369 SRP655347:SRP655369 TBL655347:TBL655369 TLH655347:TLH655369 TVD655347:TVD655369 UEZ655347:UEZ655369 UOV655347:UOV655369 UYR655347:UYR655369 VIN655347:VIN655369 VSJ655347:VSJ655369 WCF655347:WCF655369 WMB655347:WMB655369 WVX655347:WVX655369 P720883:P720905 JL720883:JL720905 TH720883:TH720905 ADD720883:ADD720905 AMZ720883:AMZ720905 AWV720883:AWV720905 BGR720883:BGR720905 BQN720883:BQN720905 CAJ720883:CAJ720905 CKF720883:CKF720905 CUB720883:CUB720905 DDX720883:DDX720905 DNT720883:DNT720905 DXP720883:DXP720905 EHL720883:EHL720905 ERH720883:ERH720905 FBD720883:FBD720905 FKZ720883:FKZ720905 FUV720883:FUV720905 GER720883:GER720905 GON720883:GON720905 GYJ720883:GYJ720905 HIF720883:HIF720905 HSB720883:HSB720905 IBX720883:IBX720905 ILT720883:ILT720905 IVP720883:IVP720905 JFL720883:JFL720905 JPH720883:JPH720905 JZD720883:JZD720905 KIZ720883:KIZ720905 KSV720883:KSV720905 LCR720883:LCR720905 LMN720883:LMN720905 LWJ720883:LWJ720905 MGF720883:MGF720905 MQB720883:MQB720905 MZX720883:MZX720905 NJT720883:NJT720905 NTP720883:NTP720905 ODL720883:ODL720905 ONH720883:ONH720905 OXD720883:OXD720905 PGZ720883:PGZ720905 PQV720883:PQV720905 QAR720883:QAR720905 QKN720883:QKN720905 QUJ720883:QUJ720905 REF720883:REF720905 ROB720883:ROB720905 RXX720883:RXX720905 SHT720883:SHT720905 SRP720883:SRP720905 TBL720883:TBL720905 TLH720883:TLH720905 TVD720883:TVD720905 UEZ720883:UEZ720905 UOV720883:UOV720905 UYR720883:UYR720905 VIN720883:VIN720905 VSJ720883:VSJ720905 WCF720883:WCF720905 WMB720883:WMB720905 WVX720883:WVX720905 P786419:P786441 JL786419:JL786441 TH786419:TH786441 ADD786419:ADD786441 AMZ786419:AMZ786441 AWV786419:AWV786441 BGR786419:BGR786441 BQN786419:BQN786441 CAJ786419:CAJ786441 CKF786419:CKF786441 CUB786419:CUB786441 DDX786419:DDX786441 DNT786419:DNT786441 DXP786419:DXP786441 EHL786419:EHL786441 ERH786419:ERH786441 FBD786419:FBD786441 FKZ786419:FKZ786441 FUV786419:FUV786441 GER786419:GER786441 GON786419:GON786441 GYJ786419:GYJ786441 HIF786419:HIF786441 HSB786419:HSB786441 IBX786419:IBX786441 ILT786419:ILT786441 IVP786419:IVP786441 JFL786419:JFL786441 JPH786419:JPH786441 JZD786419:JZD786441 KIZ786419:KIZ786441 KSV786419:KSV786441 LCR786419:LCR786441 LMN786419:LMN786441 LWJ786419:LWJ786441 MGF786419:MGF786441 MQB786419:MQB786441 MZX786419:MZX786441 NJT786419:NJT786441 NTP786419:NTP786441 ODL786419:ODL786441 ONH786419:ONH786441 OXD786419:OXD786441 PGZ786419:PGZ786441 PQV786419:PQV786441 QAR786419:QAR786441 QKN786419:QKN786441 QUJ786419:QUJ786441 REF786419:REF786441 ROB786419:ROB786441 RXX786419:RXX786441 SHT786419:SHT786441 SRP786419:SRP786441 TBL786419:TBL786441 TLH786419:TLH786441 TVD786419:TVD786441 UEZ786419:UEZ786441 UOV786419:UOV786441 UYR786419:UYR786441 VIN786419:VIN786441 VSJ786419:VSJ786441 WCF786419:WCF786441 WMB786419:WMB786441 WVX786419:WVX786441 P851955:P851977 JL851955:JL851977 TH851955:TH851977 ADD851955:ADD851977 AMZ851955:AMZ851977 AWV851955:AWV851977 BGR851955:BGR851977 BQN851955:BQN851977 CAJ851955:CAJ851977 CKF851955:CKF851977 CUB851955:CUB851977 DDX851955:DDX851977 DNT851955:DNT851977 DXP851955:DXP851977 EHL851955:EHL851977 ERH851955:ERH851977 FBD851955:FBD851977 FKZ851955:FKZ851977 FUV851955:FUV851977 GER851955:GER851977 GON851955:GON851977 GYJ851955:GYJ851977 HIF851955:HIF851977 HSB851955:HSB851977 IBX851955:IBX851977 ILT851955:ILT851977 IVP851955:IVP851977 JFL851955:JFL851977 JPH851955:JPH851977 JZD851955:JZD851977 KIZ851955:KIZ851977 KSV851955:KSV851977 LCR851955:LCR851977 LMN851955:LMN851977 LWJ851955:LWJ851977 MGF851955:MGF851977 MQB851955:MQB851977 MZX851955:MZX851977 NJT851955:NJT851977 NTP851955:NTP851977 ODL851955:ODL851977 ONH851955:ONH851977 OXD851955:OXD851977 PGZ851955:PGZ851977 PQV851955:PQV851977 QAR851955:QAR851977 QKN851955:QKN851977 QUJ851955:QUJ851977 REF851955:REF851977 ROB851955:ROB851977 RXX851955:RXX851977 SHT851955:SHT851977 SRP851955:SRP851977 TBL851955:TBL851977 TLH851955:TLH851977 TVD851955:TVD851977 UEZ851955:UEZ851977 UOV851955:UOV851977 UYR851955:UYR851977 VIN851955:VIN851977 VSJ851955:VSJ851977 WCF851955:WCF851977 WMB851955:WMB851977 WVX851955:WVX851977 P917491:P917513 JL917491:JL917513 TH917491:TH917513 ADD917491:ADD917513 AMZ917491:AMZ917513 AWV917491:AWV917513 BGR917491:BGR917513 BQN917491:BQN917513 CAJ917491:CAJ917513 CKF917491:CKF917513 CUB917491:CUB917513 DDX917491:DDX917513 DNT917491:DNT917513 DXP917491:DXP917513 EHL917491:EHL917513 ERH917491:ERH917513 FBD917491:FBD917513 FKZ917491:FKZ917513 FUV917491:FUV917513 GER917491:GER917513 GON917491:GON917513 GYJ917491:GYJ917513 HIF917491:HIF917513 HSB917491:HSB917513 IBX917491:IBX917513 ILT917491:ILT917513 IVP917491:IVP917513 JFL917491:JFL917513 JPH917491:JPH917513 JZD917491:JZD917513 KIZ917491:KIZ917513 KSV917491:KSV917513 LCR917491:LCR917513 LMN917491:LMN917513 LWJ917491:LWJ917513 MGF917491:MGF917513 MQB917491:MQB917513 MZX917491:MZX917513 NJT917491:NJT917513 NTP917491:NTP917513 ODL917491:ODL917513 ONH917491:ONH917513 OXD917491:OXD917513 PGZ917491:PGZ917513 PQV917491:PQV917513 QAR917491:QAR917513 QKN917491:QKN917513 QUJ917491:QUJ917513 REF917491:REF917513 ROB917491:ROB917513 RXX917491:RXX917513 SHT917491:SHT917513 SRP917491:SRP917513 TBL917491:TBL917513 TLH917491:TLH917513 TVD917491:TVD917513 UEZ917491:UEZ917513 UOV917491:UOV917513 UYR917491:UYR917513 VIN917491:VIN917513 VSJ917491:VSJ917513 WCF917491:WCF917513 WMB917491:WMB917513 WVX917491:WVX917513 P983027:P983049 JL983027:JL983049 TH983027:TH983049 ADD983027:ADD983049 AMZ983027:AMZ983049 AWV983027:AWV983049 BGR983027:BGR983049 BQN983027:BQN983049 CAJ983027:CAJ983049 CKF983027:CKF983049 CUB983027:CUB983049 DDX983027:DDX983049 DNT983027:DNT983049 DXP983027:DXP983049 EHL983027:EHL983049 ERH983027:ERH983049 FBD983027:FBD983049 FKZ983027:FKZ983049 FUV983027:FUV983049 GER983027:GER983049 GON983027:GON983049 GYJ983027:GYJ983049 HIF983027:HIF983049 HSB983027:HSB983049 IBX983027:IBX983049 ILT983027:ILT983049 IVP983027:IVP983049 JFL983027:JFL983049 JPH983027:JPH983049 JZD983027:JZD983049 KIZ983027:KIZ983049 KSV983027:KSV983049 LCR983027:LCR983049 LMN983027:LMN983049 LWJ983027:LWJ983049 MGF983027:MGF983049 MQB983027:MQB983049 MZX983027:MZX983049 NJT983027:NJT983049 NTP983027:NTP983049 ODL983027:ODL983049 ONH983027:ONH983049 OXD983027:OXD983049 PGZ983027:PGZ983049 PQV983027:PQV983049 QAR983027:QAR983049 QKN983027:QKN983049 QUJ983027:QUJ983049 REF983027:REF983049 ROB983027:ROB983049 RXX983027:RXX983049 SHT983027:SHT983049 SRP983027:SRP983049 TBL983027:TBL983049 TLH983027:TLH983049 TVD983027:TVD983049 UEZ983027:UEZ983049 UOV983027:UOV983049 UYR983027:UYR983049 VIN983027:VIN983049 VSJ983027:VSJ983049 WCF983027:WCF983049 WMB983027:WMB983049 WVX983027:WVX983049 K65523:M65545 JG65523:JI65545 TC65523:TE65545 ACY65523:ADA65545 AMU65523:AMW65545 AWQ65523:AWS65545 BGM65523:BGO65545 BQI65523:BQK65545 CAE65523:CAG65545 CKA65523:CKC65545 CTW65523:CTY65545 DDS65523:DDU65545 DNO65523:DNQ65545 DXK65523:DXM65545 EHG65523:EHI65545 ERC65523:ERE65545 FAY65523:FBA65545 FKU65523:FKW65545 FUQ65523:FUS65545 GEM65523:GEO65545 GOI65523:GOK65545 GYE65523:GYG65545 HIA65523:HIC65545 HRW65523:HRY65545 IBS65523:IBU65545 ILO65523:ILQ65545 IVK65523:IVM65545 JFG65523:JFI65545 JPC65523:JPE65545 JYY65523:JZA65545 KIU65523:KIW65545 KSQ65523:KSS65545 LCM65523:LCO65545 LMI65523:LMK65545 LWE65523:LWG65545 MGA65523:MGC65545 MPW65523:MPY65545 MZS65523:MZU65545 NJO65523:NJQ65545 NTK65523:NTM65545 ODG65523:ODI65545 ONC65523:ONE65545 OWY65523:OXA65545 PGU65523:PGW65545 PQQ65523:PQS65545 QAM65523:QAO65545 QKI65523:QKK65545 QUE65523:QUG65545 REA65523:REC65545 RNW65523:RNY65545 RXS65523:RXU65545 SHO65523:SHQ65545 SRK65523:SRM65545 TBG65523:TBI65545 TLC65523:TLE65545 TUY65523:TVA65545 UEU65523:UEW65545 UOQ65523:UOS65545 UYM65523:UYO65545 VII65523:VIK65545 VSE65523:VSG65545 WCA65523:WCC65545 WLW65523:WLY65545 WVS65523:WVU65545 K131059:M131081 JG131059:JI131081 TC131059:TE131081 ACY131059:ADA131081 AMU131059:AMW131081 AWQ131059:AWS131081 BGM131059:BGO131081 BQI131059:BQK131081 CAE131059:CAG131081 CKA131059:CKC131081 CTW131059:CTY131081 DDS131059:DDU131081 DNO131059:DNQ131081 DXK131059:DXM131081 EHG131059:EHI131081 ERC131059:ERE131081 FAY131059:FBA131081 FKU131059:FKW131081 FUQ131059:FUS131081 GEM131059:GEO131081 GOI131059:GOK131081 GYE131059:GYG131081 HIA131059:HIC131081 HRW131059:HRY131081 IBS131059:IBU131081 ILO131059:ILQ131081 IVK131059:IVM131081 JFG131059:JFI131081 JPC131059:JPE131081 JYY131059:JZA131081 KIU131059:KIW131081 KSQ131059:KSS131081 LCM131059:LCO131081 LMI131059:LMK131081 LWE131059:LWG131081 MGA131059:MGC131081 MPW131059:MPY131081 MZS131059:MZU131081 NJO131059:NJQ131081 NTK131059:NTM131081 ODG131059:ODI131081 ONC131059:ONE131081 OWY131059:OXA131081 PGU131059:PGW131081 PQQ131059:PQS131081 QAM131059:QAO131081 QKI131059:QKK131081 QUE131059:QUG131081 REA131059:REC131081 RNW131059:RNY131081 RXS131059:RXU131081 SHO131059:SHQ131081 SRK131059:SRM131081 TBG131059:TBI131081 TLC131059:TLE131081 TUY131059:TVA131081 UEU131059:UEW131081 UOQ131059:UOS131081 UYM131059:UYO131081 VII131059:VIK131081 VSE131059:VSG131081 WCA131059:WCC131081 WLW131059:WLY131081 WVS131059:WVU131081 K196595:M196617 JG196595:JI196617 TC196595:TE196617 ACY196595:ADA196617 AMU196595:AMW196617 AWQ196595:AWS196617 BGM196595:BGO196617 BQI196595:BQK196617 CAE196595:CAG196617 CKA196595:CKC196617 CTW196595:CTY196617 DDS196595:DDU196617 DNO196595:DNQ196617 DXK196595:DXM196617 EHG196595:EHI196617 ERC196595:ERE196617 FAY196595:FBA196617 FKU196595:FKW196617 FUQ196595:FUS196617 GEM196595:GEO196617 GOI196595:GOK196617 GYE196595:GYG196617 HIA196595:HIC196617 HRW196595:HRY196617 IBS196595:IBU196617 ILO196595:ILQ196617 IVK196595:IVM196617 JFG196595:JFI196617 JPC196595:JPE196617 JYY196595:JZA196617 KIU196595:KIW196617 KSQ196595:KSS196617 LCM196595:LCO196617 LMI196595:LMK196617 LWE196595:LWG196617 MGA196595:MGC196617 MPW196595:MPY196617 MZS196595:MZU196617 NJO196595:NJQ196617 NTK196595:NTM196617 ODG196595:ODI196617 ONC196595:ONE196617 OWY196595:OXA196617 PGU196595:PGW196617 PQQ196595:PQS196617 QAM196595:QAO196617 QKI196595:QKK196617 QUE196595:QUG196617 REA196595:REC196617 RNW196595:RNY196617 RXS196595:RXU196617 SHO196595:SHQ196617 SRK196595:SRM196617 TBG196595:TBI196617 TLC196595:TLE196617 TUY196595:TVA196617 UEU196595:UEW196617 UOQ196595:UOS196617 UYM196595:UYO196617 VII196595:VIK196617 VSE196595:VSG196617 WCA196595:WCC196617 WLW196595:WLY196617 WVS196595:WVU196617 K262131:M262153 JG262131:JI262153 TC262131:TE262153 ACY262131:ADA262153 AMU262131:AMW262153 AWQ262131:AWS262153 BGM262131:BGO262153 BQI262131:BQK262153 CAE262131:CAG262153 CKA262131:CKC262153 CTW262131:CTY262153 DDS262131:DDU262153 DNO262131:DNQ262153 DXK262131:DXM262153 EHG262131:EHI262153 ERC262131:ERE262153 FAY262131:FBA262153 FKU262131:FKW262153 FUQ262131:FUS262153 GEM262131:GEO262153 GOI262131:GOK262153 GYE262131:GYG262153 HIA262131:HIC262153 HRW262131:HRY262153 IBS262131:IBU262153 ILO262131:ILQ262153 IVK262131:IVM262153 JFG262131:JFI262153 JPC262131:JPE262153 JYY262131:JZA262153 KIU262131:KIW262153 KSQ262131:KSS262153 LCM262131:LCO262153 LMI262131:LMK262153 LWE262131:LWG262153 MGA262131:MGC262153 MPW262131:MPY262153 MZS262131:MZU262153 NJO262131:NJQ262153 NTK262131:NTM262153 ODG262131:ODI262153 ONC262131:ONE262153 OWY262131:OXA262153 PGU262131:PGW262153 PQQ262131:PQS262153 QAM262131:QAO262153 QKI262131:QKK262153 QUE262131:QUG262153 REA262131:REC262153 RNW262131:RNY262153 RXS262131:RXU262153 SHO262131:SHQ262153 SRK262131:SRM262153 TBG262131:TBI262153 TLC262131:TLE262153 TUY262131:TVA262153 UEU262131:UEW262153 UOQ262131:UOS262153 UYM262131:UYO262153 VII262131:VIK262153 VSE262131:VSG262153 WCA262131:WCC262153 WLW262131:WLY262153 WVS262131:WVU262153 K327667:M327689 JG327667:JI327689 TC327667:TE327689 ACY327667:ADA327689 AMU327667:AMW327689 AWQ327667:AWS327689 BGM327667:BGO327689 BQI327667:BQK327689 CAE327667:CAG327689 CKA327667:CKC327689 CTW327667:CTY327689 DDS327667:DDU327689 DNO327667:DNQ327689 DXK327667:DXM327689 EHG327667:EHI327689 ERC327667:ERE327689 FAY327667:FBA327689 FKU327667:FKW327689 FUQ327667:FUS327689 GEM327667:GEO327689 GOI327667:GOK327689 GYE327667:GYG327689 HIA327667:HIC327689 HRW327667:HRY327689 IBS327667:IBU327689 ILO327667:ILQ327689 IVK327667:IVM327689 JFG327667:JFI327689 JPC327667:JPE327689 JYY327667:JZA327689 KIU327667:KIW327689 KSQ327667:KSS327689 LCM327667:LCO327689 LMI327667:LMK327689 LWE327667:LWG327689 MGA327667:MGC327689 MPW327667:MPY327689 MZS327667:MZU327689 NJO327667:NJQ327689 NTK327667:NTM327689 ODG327667:ODI327689 ONC327667:ONE327689 OWY327667:OXA327689 PGU327667:PGW327689 PQQ327667:PQS327689 QAM327667:QAO327689 QKI327667:QKK327689 QUE327667:QUG327689 REA327667:REC327689 RNW327667:RNY327689 RXS327667:RXU327689 SHO327667:SHQ327689 SRK327667:SRM327689 TBG327667:TBI327689 TLC327667:TLE327689 TUY327667:TVA327689 UEU327667:UEW327689 UOQ327667:UOS327689 UYM327667:UYO327689 VII327667:VIK327689 VSE327667:VSG327689 WCA327667:WCC327689 WLW327667:WLY327689 WVS327667:WVU327689 K393203:M393225 JG393203:JI393225 TC393203:TE393225 ACY393203:ADA393225 AMU393203:AMW393225 AWQ393203:AWS393225 BGM393203:BGO393225 BQI393203:BQK393225 CAE393203:CAG393225 CKA393203:CKC393225 CTW393203:CTY393225 DDS393203:DDU393225 DNO393203:DNQ393225 DXK393203:DXM393225 EHG393203:EHI393225 ERC393203:ERE393225 FAY393203:FBA393225 FKU393203:FKW393225 FUQ393203:FUS393225 GEM393203:GEO393225 GOI393203:GOK393225 GYE393203:GYG393225 HIA393203:HIC393225 HRW393203:HRY393225 IBS393203:IBU393225 ILO393203:ILQ393225 IVK393203:IVM393225 JFG393203:JFI393225 JPC393203:JPE393225 JYY393203:JZA393225 KIU393203:KIW393225 KSQ393203:KSS393225 LCM393203:LCO393225 LMI393203:LMK393225 LWE393203:LWG393225 MGA393203:MGC393225 MPW393203:MPY393225 MZS393203:MZU393225 NJO393203:NJQ393225 NTK393203:NTM393225 ODG393203:ODI393225 ONC393203:ONE393225 OWY393203:OXA393225 PGU393203:PGW393225 PQQ393203:PQS393225 QAM393203:QAO393225 QKI393203:QKK393225 QUE393203:QUG393225 REA393203:REC393225 RNW393203:RNY393225 RXS393203:RXU393225 SHO393203:SHQ393225 SRK393203:SRM393225 TBG393203:TBI393225 TLC393203:TLE393225 TUY393203:TVA393225 UEU393203:UEW393225 UOQ393203:UOS393225 UYM393203:UYO393225 VII393203:VIK393225 VSE393203:VSG393225 WCA393203:WCC393225 WLW393203:WLY393225 WVS393203:WVU393225 K458739:M458761 JG458739:JI458761 TC458739:TE458761 ACY458739:ADA458761 AMU458739:AMW458761 AWQ458739:AWS458761 BGM458739:BGO458761 BQI458739:BQK458761 CAE458739:CAG458761 CKA458739:CKC458761 CTW458739:CTY458761 DDS458739:DDU458761 DNO458739:DNQ458761 DXK458739:DXM458761 EHG458739:EHI458761 ERC458739:ERE458761 FAY458739:FBA458761 FKU458739:FKW458761 FUQ458739:FUS458761 GEM458739:GEO458761 GOI458739:GOK458761 GYE458739:GYG458761 HIA458739:HIC458761 HRW458739:HRY458761 IBS458739:IBU458761 ILO458739:ILQ458761 IVK458739:IVM458761 JFG458739:JFI458761 JPC458739:JPE458761 JYY458739:JZA458761 KIU458739:KIW458761 KSQ458739:KSS458761 LCM458739:LCO458761 LMI458739:LMK458761 LWE458739:LWG458761 MGA458739:MGC458761 MPW458739:MPY458761 MZS458739:MZU458761 NJO458739:NJQ458761 NTK458739:NTM458761 ODG458739:ODI458761 ONC458739:ONE458761 OWY458739:OXA458761 PGU458739:PGW458761 PQQ458739:PQS458761 QAM458739:QAO458761 QKI458739:QKK458761 QUE458739:QUG458761 REA458739:REC458761 RNW458739:RNY458761 RXS458739:RXU458761 SHO458739:SHQ458761 SRK458739:SRM458761 TBG458739:TBI458761 TLC458739:TLE458761 TUY458739:TVA458761 UEU458739:UEW458761 UOQ458739:UOS458761 UYM458739:UYO458761 VII458739:VIK458761 VSE458739:VSG458761 WCA458739:WCC458761 WLW458739:WLY458761 WVS458739:WVU458761 K524275:M524297 JG524275:JI524297 TC524275:TE524297 ACY524275:ADA524297 AMU524275:AMW524297 AWQ524275:AWS524297 BGM524275:BGO524297 BQI524275:BQK524297 CAE524275:CAG524297 CKA524275:CKC524297 CTW524275:CTY524297 DDS524275:DDU524297 DNO524275:DNQ524297 DXK524275:DXM524297 EHG524275:EHI524297 ERC524275:ERE524297 FAY524275:FBA524297 FKU524275:FKW524297 FUQ524275:FUS524297 GEM524275:GEO524297 GOI524275:GOK524297 GYE524275:GYG524297 HIA524275:HIC524297 HRW524275:HRY524297 IBS524275:IBU524297 ILO524275:ILQ524297 IVK524275:IVM524297 JFG524275:JFI524297 JPC524275:JPE524297 JYY524275:JZA524297 KIU524275:KIW524297 KSQ524275:KSS524297 LCM524275:LCO524297 LMI524275:LMK524297 LWE524275:LWG524297 MGA524275:MGC524297 MPW524275:MPY524297 MZS524275:MZU524297 NJO524275:NJQ524297 NTK524275:NTM524297 ODG524275:ODI524297 ONC524275:ONE524297 OWY524275:OXA524297 PGU524275:PGW524297 PQQ524275:PQS524297 QAM524275:QAO524297 QKI524275:QKK524297 QUE524275:QUG524297 REA524275:REC524297 RNW524275:RNY524297 RXS524275:RXU524297 SHO524275:SHQ524297 SRK524275:SRM524297 TBG524275:TBI524297 TLC524275:TLE524297 TUY524275:TVA524297 UEU524275:UEW524297 UOQ524275:UOS524297 UYM524275:UYO524297 VII524275:VIK524297 VSE524275:VSG524297 WCA524275:WCC524297 WLW524275:WLY524297 WVS524275:WVU524297 K589811:M589833 JG589811:JI589833 TC589811:TE589833 ACY589811:ADA589833 AMU589811:AMW589833 AWQ589811:AWS589833 BGM589811:BGO589833 BQI589811:BQK589833 CAE589811:CAG589833 CKA589811:CKC589833 CTW589811:CTY589833 DDS589811:DDU589833 DNO589811:DNQ589833 DXK589811:DXM589833 EHG589811:EHI589833 ERC589811:ERE589833 FAY589811:FBA589833 FKU589811:FKW589833 FUQ589811:FUS589833 GEM589811:GEO589833 GOI589811:GOK589833 GYE589811:GYG589833 HIA589811:HIC589833 HRW589811:HRY589833 IBS589811:IBU589833 ILO589811:ILQ589833 IVK589811:IVM589833 JFG589811:JFI589833 JPC589811:JPE589833 JYY589811:JZA589833 KIU589811:KIW589833 KSQ589811:KSS589833 LCM589811:LCO589833 LMI589811:LMK589833 LWE589811:LWG589833 MGA589811:MGC589833 MPW589811:MPY589833 MZS589811:MZU589833 NJO589811:NJQ589833 NTK589811:NTM589833 ODG589811:ODI589833 ONC589811:ONE589833 OWY589811:OXA589833 PGU589811:PGW589833 PQQ589811:PQS589833 QAM589811:QAO589833 QKI589811:QKK589833 QUE589811:QUG589833 REA589811:REC589833 RNW589811:RNY589833 RXS589811:RXU589833 SHO589811:SHQ589833 SRK589811:SRM589833 TBG589811:TBI589833 TLC589811:TLE589833 TUY589811:TVA589833 UEU589811:UEW589833 UOQ589811:UOS589833 UYM589811:UYO589833 VII589811:VIK589833 VSE589811:VSG589833 WCA589811:WCC589833 WLW589811:WLY589833 WVS589811:WVU589833 K655347:M655369 JG655347:JI655369 TC655347:TE655369 ACY655347:ADA655369 AMU655347:AMW655369 AWQ655347:AWS655369 BGM655347:BGO655369 BQI655347:BQK655369 CAE655347:CAG655369 CKA655347:CKC655369 CTW655347:CTY655369 DDS655347:DDU655369 DNO655347:DNQ655369 DXK655347:DXM655369 EHG655347:EHI655369 ERC655347:ERE655369 FAY655347:FBA655369 FKU655347:FKW655369 FUQ655347:FUS655369 GEM655347:GEO655369 GOI655347:GOK655369 GYE655347:GYG655369 HIA655347:HIC655369 HRW655347:HRY655369 IBS655347:IBU655369 ILO655347:ILQ655369 IVK655347:IVM655369 JFG655347:JFI655369 JPC655347:JPE655369 JYY655347:JZA655369 KIU655347:KIW655369 KSQ655347:KSS655369 LCM655347:LCO655369 LMI655347:LMK655369 LWE655347:LWG655369 MGA655347:MGC655369 MPW655347:MPY655369 MZS655347:MZU655369 NJO655347:NJQ655369 NTK655347:NTM655369 ODG655347:ODI655369 ONC655347:ONE655369 OWY655347:OXA655369 PGU655347:PGW655369 PQQ655347:PQS655369 QAM655347:QAO655369 QKI655347:QKK655369 QUE655347:QUG655369 REA655347:REC655369 RNW655347:RNY655369 RXS655347:RXU655369 SHO655347:SHQ655369 SRK655347:SRM655369 TBG655347:TBI655369 TLC655347:TLE655369 TUY655347:TVA655369 UEU655347:UEW655369 UOQ655347:UOS655369 UYM655347:UYO655369 VII655347:VIK655369 VSE655347:VSG655369 WCA655347:WCC655369 WLW655347:WLY655369 WVS655347:WVU655369 K720883:M720905 JG720883:JI720905 TC720883:TE720905 ACY720883:ADA720905 AMU720883:AMW720905 AWQ720883:AWS720905 BGM720883:BGO720905 BQI720883:BQK720905 CAE720883:CAG720905 CKA720883:CKC720905 CTW720883:CTY720905 DDS720883:DDU720905 DNO720883:DNQ720905 DXK720883:DXM720905 EHG720883:EHI720905 ERC720883:ERE720905 FAY720883:FBA720905 FKU720883:FKW720905 FUQ720883:FUS720905 GEM720883:GEO720905 GOI720883:GOK720905 GYE720883:GYG720905 HIA720883:HIC720905 HRW720883:HRY720905 IBS720883:IBU720905 ILO720883:ILQ720905 IVK720883:IVM720905 JFG720883:JFI720905 JPC720883:JPE720905 JYY720883:JZA720905 KIU720883:KIW720905 KSQ720883:KSS720905 LCM720883:LCO720905 LMI720883:LMK720905 LWE720883:LWG720905 MGA720883:MGC720905 MPW720883:MPY720905 MZS720883:MZU720905 NJO720883:NJQ720905 NTK720883:NTM720905 ODG720883:ODI720905 ONC720883:ONE720905 OWY720883:OXA720905 PGU720883:PGW720905 PQQ720883:PQS720905 QAM720883:QAO720905 QKI720883:QKK720905 QUE720883:QUG720905 REA720883:REC720905 RNW720883:RNY720905 RXS720883:RXU720905 SHO720883:SHQ720905 SRK720883:SRM720905 TBG720883:TBI720905 TLC720883:TLE720905 TUY720883:TVA720905 UEU720883:UEW720905 UOQ720883:UOS720905 UYM720883:UYO720905 VII720883:VIK720905 VSE720883:VSG720905 WCA720883:WCC720905 WLW720883:WLY720905 WVS720883:WVU720905 K786419:M786441 JG786419:JI786441 TC786419:TE786441 ACY786419:ADA786441 AMU786419:AMW786441 AWQ786419:AWS786441 BGM786419:BGO786441 BQI786419:BQK786441 CAE786419:CAG786441 CKA786419:CKC786441 CTW786419:CTY786441 DDS786419:DDU786441 DNO786419:DNQ786441 DXK786419:DXM786441 EHG786419:EHI786441 ERC786419:ERE786441 FAY786419:FBA786441 FKU786419:FKW786441 FUQ786419:FUS786441 GEM786419:GEO786441 GOI786419:GOK786441 GYE786419:GYG786441 HIA786419:HIC786441 HRW786419:HRY786441 IBS786419:IBU786441 ILO786419:ILQ786441 IVK786419:IVM786441 JFG786419:JFI786441 JPC786419:JPE786441 JYY786419:JZA786441 KIU786419:KIW786441 KSQ786419:KSS786441 LCM786419:LCO786441 LMI786419:LMK786441 LWE786419:LWG786441 MGA786419:MGC786441 MPW786419:MPY786441 MZS786419:MZU786441 NJO786419:NJQ786441 NTK786419:NTM786441 ODG786419:ODI786441 ONC786419:ONE786441 OWY786419:OXA786441 PGU786419:PGW786441 PQQ786419:PQS786441 QAM786419:QAO786441 QKI786419:QKK786441 QUE786419:QUG786441 REA786419:REC786441 RNW786419:RNY786441 RXS786419:RXU786441 SHO786419:SHQ786441 SRK786419:SRM786441 TBG786419:TBI786441 TLC786419:TLE786441 TUY786419:TVA786441 UEU786419:UEW786441 UOQ786419:UOS786441 UYM786419:UYO786441 VII786419:VIK786441 VSE786419:VSG786441 WCA786419:WCC786441 WLW786419:WLY786441 WVS786419:WVU786441 K851955:M851977 JG851955:JI851977 TC851955:TE851977 ACY851955:ADA851977 AMU851955:AMW851977 AWQ851955:AWS851977 BGM851955:BGO851977 BQI851955:BQK851977 CAE851955:CAG851977 CKA851955:CKC851977 CTW851955:CTY851977 DDS851955:DDU851977 DNO851955:DNQ851977 DXK851955:DXM851977 EHG851955:EHI851977 ERC851955:ERE851977 FAY851955:FBA851977 FKU851955:FKW851977 FUQ851955:FUS851977 GEM851955:GEO851977 GOI851955:GOK851977 GYE851955:GYG851977 HIA851955:HIC851977 HRW851955:HRY851977 IBS851955:IBU851977 ILO851955:ILQ851977 IVK851955:IVM851977 JFG851955:JFI851977 JPC851955:JPE851977 JYY851955:JZA851977 KIU851955:KIW851977 KSQ851955:KSS851977 LCM851955:LCO851977 LMI851955:LMK851977 LWE851955:LWG851977 MGA851955:MGC851977 MPW851955:MPY851977 MZS851955:MZU851977 NJO851955:NJQ851977 NTK851955:NTM851977 ODG851955:ODI851977 ONC851955:ONE851977 OWY851955:OXA851977 PGU851955:PGW851977 PQQ851955:PQS851977 QAM851955:QAO851977 QKI851955:QKK851977 QUE851955:QUG851977 REA851955:REC851977 RNW851955:RNY851977 RXS851955:RXU851977 SHO851955:SHQ851977 SRK851955:SRM851977 TBG851955:TBI851977 TLC851955:TLE851977 TUY851955:TVA851977 UEU851955:UEW851977 UOQ851955:UOS851977 UYM851955:UYO851977 VII851955:VIK851977 VSE851955:VSG851977 WCA851955:WCC851977 WLW851955:WLY851977 WVS851955:WVU851977 K917491:M917513 JG917491:JI917513 TC917491:TE917513 ACY917491:ADA917513 AMU917491:AMW917513 AWQ917491:AWS917513 BGM917491:BGO917513 BQI917491:BQK917513 CAE917491:CAG917513 CKA917491:CKC917513 CTW917491:CTY917513 DDS917491:DDU917513 DNO917491:DNQ917513 DXK917491:DXM917513 EHG917491:EHI917513 ERC917491:ERE917513 FAY917491:FBA917513 FKU917491:FKW917513 FUQ917491:FUS917513 GEM917491:GEO917513 GOI917491:GOK917513 GYE917491:GYG917513 HIA917491:HIC917513 HRW917491:HRY917513 IBS917491:IBU917513 ILO917491:ILQ917513 IVK917491:IVM917513 JFG917491:JFI917513 JPC917491:JPE917513 JYY917491:JZA917513 KIU917491:KIW917513 KSQ917491:KSS917513 LCM917491:LCO917513 LMI917491:LMK917513 LWE917491:LWG917513 MGA917491:MGC917513 MPW917491:MPY917513 MZS917491:MZU917513 NJO917491:NJQ917513 NTK917491:NTM917513 ODG917491:ODI917513 ONC917491:ONE917513 OWY917491:OXA917513 PGU917491:PGW917513 PQQ917491:PQS917513 QAM917491:QAO917513 QKI917491:QKK917513 QUE917491:QUG917513 REA917491:REC917513 RNW917491:RNY917513 RXS917491:RXU917513 SHO917491:SHQ917513 SRK917491:SRM917513 TBG917491:TBI917513 TLC917491:TLE917513 TUY917491:TVA917513 UEU917491:UEW917513 UOQ917491:UOS917513 UYM917491:UYO917513 VII917491:VIK917513 VSE917491:VSG917513 WCA917491:WCC917513 WLW917491:WLY917513 WVS917491:WVU917513 K983027:M983049 JG983027:JI983049 TC983027:TE983049 ACY983027:ADA983049 AMU983027:AMW983049 AWQ983027:AWS983049 BGM983027:BGO983049 BQI983027:BQK983049 CAE983027:CAG983049 CKA983027:CKC983049 CTW983027:CTY983049 DDS983027:DDU983049 DNO983027:DNQ983049 DXK983027:DXM983049 EHG983027:EHI983049 ERC983027:ERE983049 FAY983027:FBA983049 FKU983027:FKW983049 FUQ983027:FUS983049 GEM983027:GEO983049 GOI983027:GOK983049 GYE983027:GYG983049 HIA983027:HIC983049 HRW983027:HRY983049 IBS983027:IBU983049 ILO983027:ILQ983049 IVK983027:IVM983049 JFG983027:JFI983049 JPC983027:JPE983049 JYY983027:JZA983049 KIU983027:KIW983049 KSQ983027:KSS983049 LCM983027:LCO983049 LMI983027:LMK983049 LWE983027:LWG983049 MGA983027:MGC983049 MPW983027:MPY983049 MZS983027:MZU983049 NJO983027:NJQ983049 NTK983027:NTM983049 ODG983027:ODI983049 ONC983027:ONE983049 OWY983027:OXA983049 PGU983027:PGW983049 PQQ983027:PQS983049 QAM983027:QAO983049 QKI983027:QKK983049 QUE983027:QUG983049 REA983027:REC983049 RNW983027:RNY983049 RXS983027:RXU983049 SHO983027:SHQ983049 SRK983027:SRM983049 TBG983027:TBI983049 TLC983027:TLE983049 TUY983027:TVA983049 UEU983027:UEW983049 UOQ983027:UOS983049 UYM983027:UYO983049 VII983027:VIK983049 VSE983027:VSG983049 WCA983027:WCC983049 WLW983027:WLY983049 WVS983027:WVU983049 G17:I40 D17:D40 D50:D73 G50:I73" xr:uid="{7763F0F7-7262-4157-8BA0-4661C1E36A10}">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9A8CB768-8540-4745-AD94-3C0277C87E03}">
            <xm:f>TITELBLAD!$F$16="ex-ante"</xm:f>
            <x14:dxf>
              <fill>
                <patternFill patternType="lightUp"/>
              </fill>
            </x14:dxf>
          </x14:cfRule>
          <xm:sqref>A47:J76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235F-ABB3-4F98-9CD1-5146AB4A39E8}">
  <sheetPr>
    <pageSetUpPr fitToPage="1"/>
  </sheetPr>
  <dimension ref="A1:Q34"/>
  <sheetViews>
    <sheetView zoomScaleNormal="100" workbookViewId="0">
      <selection activeCell="D29" sqref="D29"/>
    </sheetView>
  </sheetViews>
  <sheetFormatPr defaultColWidth="9.140625" defaultRowHeight="12.75" x14ac:dyDescent="0.2"/>
  <cols>
    <col min="1" max="1" width="9.140625" style="608"/>
    <col min="2" max="2" width="26.5703125" style="608" bestFit="1" customWidth="1"/>
    <col min="3" max="3" width="34.85546875" style="608" bestFit="1" customWidth="1"/>
    <col min="4" max="5" width="25.7109375" style="608" customWidth="1"/>
    <col min="6" max="7" width="18.42578125" style="608" customWidth="1"/>
    <col min="8" max="257" width="9.140625" style="608"/>
    <col min="258" max="258" width="26.5703125" style="608" bestFit="1" customWidth="1"/>
    <col min="259" max="259" width="34.85546875" style="608" bestFit="1" customWidth="1"/>
    <col min="260" max="263" width="18.42578125" style="608" customWidth="1"/>
    <col min="264" max="513" width="9.140625" style="608"/>
    <col min="514" max="514" width="26.5703125" style="608" bestFit="1" customWidth="1"/>
    <col min="515" max="515" width="34.85546875" style="608" bestFit="1" customWidth="1"/>
    <col min="516" max="519" width="18.42578125" style="608" customWidth="1"/>
    <col min="520" max="769" width="9.140625" style="608"/>
    <col min="770" max="770" width="26.5703125" style="608" bestFit="1" customWidth="1"/>
    <col min="771" max="771" width="34.85546875" style="608" bestFit="1" customWidth="1"/>
    <col min="772" max="775" width="18.42578125" style="608" customWidth="1"/>
    <col min="776" max="1025" width="9.140625" style="608"/>
    <col min="1026" max="1026" width="26.5703125" style="608" bestFit="1" customWidth="1"/>
    <col min="1027" max="1027" width="34.85546875" style="608" bestFit="1" customWidth="1"/>
    <col min="1028" max="1031" width="18.42578125" style="608" customWidth="1"/>
    <col min="1032" max="1281" width="9.140625" style="608"/>
    <col min="1282" max="1282" width="26.5703125" style="608" bestFit="1" customWidth="1"/>
    <col min="1283" max="1283" width="34.85546875" style="608" bestFit="1" customWidth="1"/>
    <col min="1284" max="1287" width="18.42578125" style="608" customWidth="1"/>
    <col min="1288" max="1537" width="9.140625" style="608"/>
    <col min="1538" max="1538" width="26.5703125" style="608" bestFit="1" customWidth="1"/>
    <col min="1539" max="1539" width="34.85546875" style="608" bestFit="1" customWidth="1"/>
    <col min="1540" max="1543" width="18.42578125" style="608" customWidth="1"/>
    <col min="1544" max="1793" width="9.140625" style="608"/>
    <col min="1794" max="1794" width="26.5703125" style="608" bestFit="1" customWidth="1"/>
    <col min="1795" max="1795" width="34.85546875" style="608" bestFit="1" customWidth="1"/>
    <col min="1796" max="1799" width="18.42578125" style="608" customWidth="1"/>
    <col min="1800" max="2049" width="9.140625" style="608"/>
    <col min="2050" max="2050" width="26.5703125" style="608" bestFit="1" customWidth="1"/>
    <col min="2051" max="2051" width="34.85546875" style="608" bestFit="1" customWidth="1"/>
    <col min="2052" max="2055" width="18.42578125" style="608" customWidth="1"/>
    <col min="2056" max="2305" width="9.140625" style="608"/>
    <col min="2306" max="2306" width="26.5703125" style="608" bestFit="1" customWidth="1"/>
    <col min="2307" max="2307" width="34.85546875" style="608" bestFit="1" customWidth="1"/>
    <col min="2308" max="2311" width="18.42578125" style="608" customWidth="1"/>
    <col min="2312" max="2561" width="9.140625" style="608"/>
    <col min="2562" max="2562" width="26.5703125" style="608" bestFit="1" customWidth="1"/>
    <col min="2563" max="2563" width="34.85546875" style="608" bestFit="1" customWidth="1"/>
    <col min="2564" max="2567" width="18.42578125" style="608" customWidth="1"/>
    <col min="2568" max="2817" width="9.140625" style="608"/>
    <col min="2818" max="2818" width="26.5703125" style="608" bestFit="1" customWidth="1"/>
    <col min="2819" max="2819" width="34.85546875" style="608" bestFit="1" customWidth="1"/>
    <col min="2820" max="2823" width="18.42578125" style="608" customWidth="1"/>
    <col min="2824" max="3073" width="9.140625" style="608"/>
    <col min="3074" max="3074" width="26.5703125" style="608" bestFit="1" customWidth="1"/>
    <col min="3075" max="3075" width="34.85546875" style="608" bestFit="1" customWidth="1"/>
    <col min="3076" max="3079" width="18.42578125" style="608" customWidth="1"/>
    <col min="3080" max="3329" width="9.140625" style="608"/>
    <col min="3330" max="3330" width="26.5703125" style="608" bestFit="1" customWidth="1"/>
    <col min="3331" max="3331" width="34.85546875" style="608" bestFit="1" customWidth="1"/>
    <col min="3332" max="3335" width="18.42578125" style="608" customWidth="1"/>
    <col min="3336" max="3585" width="9.140625" style="608"/>
    <col min="3586" max="3586" width="26.5703125" style="608" bestFit="1" customWidth="1"/>
    <col min="3587" max="3587" width="34.85546875" style="608" bestFit="1" customWidth="1"/>
    <col min="3588" max="3591" width="18.42578125" style="608" customWidth="1"/>
    <col min="3592" max="3841" width="9.140625" style="608"/>
    <col min="3842" max="3842" width="26.5703125" style="608" bestFit="1" customWidth="1"/>
    <col min="3843" max="3843" width="34.85546875" style="608" bestFit="1" customWidth="1"/>
    <col min="3844" max="3847" width="18.42578125" style="608" customWidth="1"/>
    <col min="3848" max="4097" width="9.140625" style="608"/>
    <col min="4098" max="4098" width="26.5703125" style="608" bestFit="1" customWidth="1"/>
    <col min="4099" max="4099" width="34.85546875" style="608" bestFit="1" customWidth="1"/>
    <col min="4100" max="4103" width="18.42578125" style="608" customWidth="1"/>
    <col min="4104" max="4353" width="9.140625" style="608"/>
    <col min="4354" max="4354" width="26.5703125" style="608" bestFit="1" customWidth="1"/>
    <col min="4355" max="4355" width="34.85546875" style="608" bestFit="1" customWidth="1"/>
    <col min="4356" max="4359" width="18.42578125" style="608" customWidth="1"/>
    <col min="4360" max="4609" width="9.140625" style="608"/>
    <col min="4610" max="4610" width="26.5703125" style="608" bestFit="1" customWidth="1"/>
    <col min="4611" max="4611" width="34.85546875" style="608" bestFit="1" customWidth="1"/>
    <col min="4612" max="4615" width="18.42578125" style="608" customWidth="1"/>
    <col min="4616" max="4865" width="9.140625" style="608"/>
    <col min="4866" max="4866" width="26.5703125" style="608" bestFit="1" customWidth="1"/>
    <col min="4867" max="4867" width="34.85546875" style="608" bestFit="1" customWidth="1"/>
    <col min="4868" max="4871" width="18.42578125" style="608" customWidth="1"/>
    <col min="4872" max="5121" width="9.140625" style="608"/>
    <col min="5122" max="5122" width="26.5703125" style="608" bestFit="1" customWidth="1"/>
    <col min="5123" max="5123" width="34.85546875" style="608" bestFit="1" customWidth="1"/>
    <col min="5124" max="5127" width="18.42578125" style="608" customWidth="1"/>
    <col min="5128" max="5377" width="9.140625" style="608"/>
    <col min="5378" max="5378" width="26.5703125" style="608" bestFit="1" customWidth="1"/>
    <col min="5379" max="5379" width="34.85546875" style="608" bestFit="1" customWidth="1"/>
    <col min="5380" max="5383" width="18.42578125" style="608" customWidth="1"/>
    <col min="5384" max="5633" width="9.140625" style="608"/>
    <col min="5634" max="5634" width="26.5703125" style="608" bestFit="1" customWidth="1"/>
    <col min="5635" max="5635" width="34.85546875" style="608" bestFit="1" customWidth="1"/>
    <col min="5636" max="5639" width="18.42578125" style="608" customWidth="1"/>
    <col min="5640" max="5889" width="9.140625" style="608"/>
    <col min="5890" max="5890" width="26.5703125" style="608" bestFit="1" customWidth="1"/>
    <col min="5891" max="5891" width="34.85546875" style="608" bestFit="1" customWidth="1"/>
    <col min="5892" max="5895" width="18.42578125" style="608" customWidth="1"/>
    <col min="5896" max="6145" width="9.140625" style="608"/>
    <col min="6146" max="6146" width="26.5703125" style="608" bestFit="1" customWidth="1"/>
    <col min="6147" max="6147" width="34.85546875" style="608" bestFit="1" customWidth="1"/>
    <col min="6148" max="6151" width="18.42578125" style="608" customWidth="1"/>
    <col min="6152" max="6401" width="9.140625" style="608"/>
    <col min="6402" max="6402" width="26.5703125" style="608" bestFit="1" customWidth="1"/>
    <col min="6403" max="6403" width="34.85546875" style="608" bestFit="1" customWidth="1"/>
    <col min="6404" max="6407" width="18.42578125" style="608" customWidth="1"/>
    <col min="6408" max="6657" width="9.140625" style="608"/>
    <col min="6658" max="6658" width="26.5703125" style="608" bestFit="1" customWidth="1"/>
    <col min="6659" max="6659" width="34.85546875" style="608" bestFit="1" customWidth="1"/>
    <col min="6660" max="6663" width="18.42578125" style="608" customWidth="1"/>
    <col min="6664" max="6913" width="9.140625" style="608"/>
    <col min="6914" max="6914" width="26.5703125" style="608" bestFit="1" customWidth="1"/>
    <col min="6915" max="6915" width="34.85546875" style="608" bestFit="1" customWidth="1"/>
    <col min="6916" max="6919" width="18.42578125" style="608" customWidth="1"/>
    <col min="6920" max="7169" width="9.140625" style="608"/>
    <col min="7170" max="7170" width="26.5703125" style="608" bestFit="1" customWidth="1"/>
    <col min="7171" max="7171" width="34.85546875" style="608" bestFit="1" customWidth="1"/>
    <col min="7172" max="7175" width="18.42578125" style="608" customWidth="1"/>
    <col min="7176" max="7425" width="9.140625" style="608"/>
    <col min="7426" max="7426" width="26.5703125" style="608" bestFit="1" customWidth="1"/>
    <col min="7427" max="7427" width="34.85546875" style="608" bestFit="1" customWidth="1"/>
    <col min="7428" max="7431" width="18.42578125" style="608" customWidth="1"/>
    <col min="7432" max="7681" width="9.140625" style="608"/>
    <col min="7682" max="7682" width="26.5703125" style="608" bestFit="1" customWidth="1"/>
    <col min="7683" max="7683" width="34.85546875" style="608" bestFit="1" customWidth="1"/>
    <col min="7684" max="7687" width="18.42578125" style="608" customWidth="1"/>
    <col min="7688" max="7937" width="9.140625" style="608"/>
    <col min="7938" max="7938" width="26.5703125" style="608" bestFit="1" customWidth="1"/>
    <col min="7939" max="7939" width="34.85546875" style="608" bestFit="1" customWidth="1"/>
    <col min="7940" max="7943" width="18.42578125" style="608" customWidth="1"/>
    <col min="7944" max="8193" width="9.140625" style="608"/>
    <col min="8194" max="8194" width="26.5703125" style="608" bestFit="1" customWidth="1"/>
    <col min="8195" max="8195" width="34.85546875" style="608" bestFit="1" customWidth="1"/>
    <col min="8196" max="8199" width="18.42578125" style="608" customWidth="1"/>
    <col min="8200" max="8449" width="9.140625" style="608"/>
    <col min="8450" max="8450" width="26.5703125" style="608" bestFit="1" customWidth="1"/>
    <col min="8451" max="8451" width="34.85546875" style="608" bestFit="1" customWidth="1"/>
    <col min="8452" max="8455" width="18.42578125" style="608" customWidth="1"/>
    <col min="8456" max="8705" width="9.140625" style="608"/>
    <col min="8706" max="8706" width="26.5703125" style="608" bestFit="1" customWidth="1"/>
    <col min="8707" max="8707" width="34.85546875" style="608" bestFit="1" customWidth="1"/>
    <col min="8708" max="8711" width="18.42578125" style="608" customWidth="1"/>
    <col min="8712" max="8961" width="9.140625" style="608"/>
    <col min="8962" max="8962" width="26.5703125" style="608" bestFit="1" customWidth="1"/>
    <col min="8963" max="8963" width="34.85546875" style="608" bestFit="1" customWidth="1"/>
    <col min="8964" max="8967" width="18.42578125" style="608" customWidth="1"/>
    <col min="8968" max="9217" width="9.140625" style="608"/>
    <col min="9218" max="9218" width="26.5703125" style="608" bestFit="1" customWidth="1"/>
    <col min="9219" max="9219" width="34.85546875" style="608" bestFit="1" customWidth="1"/>
    <col min="9220" max="9223" width="18.42578125" style="608" customWidth="1"/>
    <col min="9224" max="9473" width="9.140625" style="608"/>
    <col min="9474" max="9474" width="26.5703125" style="608" bestFit="1" customWidth="1"/>
    <col min="9475" max="9475" width="34.85546875" style="608" bestFit="1" customWidth="1"/>
    <col min="9476" max="9479" width="18.42578125" style="608" customWidth="1"/>
    <col min="9480" max="9729" width="9.140625" style="608"/>
    <col min="9730" max="9730" width="26.5703125" style="608" bestFit="1" customWidth="1"/>
    <col min="9731" max="9731" width="34.85546875" style="608" bestFit="1" customWidth="1"/>
    <col min="9732" max="9735" width="18.42578125" style="608" customWidth="1"/>
    <col min="9736" max="9985" width="9.140625" style="608"/>
    <col min="9986" max="9986" width="26.5703125" style="608" bestFit="1" customWidth="1"/>
    <col min="9987" max="9987" width="34.85546875" style="608" bestFit="1" customWidth="1"/>
    <col min="9988" max="9991" width="18.42578125" style="608" customWidth="1"/>
    <col min="9992" max="10241" width="9.140625" style="608"/>
    <col min="10242" max="10242" width="26.5703125" style="608" bestFit="1" customWidth="1"/>
    <col min="10243" max="10243" width="34.85546875" style="608" bestFit="1" customWidth="1"/>
    <col min="10244" max="10247" width="18.42578125" style="608" customWidth="1"/>
    <col min="10248" max="10497" width="9.140625" style="608"/>
    <col min="10498" max="10498" width="26.5703125" style="608" bestFit="1" customWidth="1"/>
    <col min="10499" max="10499" width="34.85546875" style="608" bestFit="1" customWidth="1"/>
    <col min="10500" max="10503" width="18.42578125" style="608" customWidth="1"/>
    <col min="10504" max="10753" width="9.140625" style="608"/>
    <col min="10754" max="10754" width="26.5703125" style="608" bestFit="1" customWidth="1"/>
    <col min="10755" max="10755" width="34.85546875" style="608" bestFit="1" customWidth="1"/>
    <col min="10756" max="10759" width="18.42578125" style="608" customWidth="1"/>
    <col min="10760" max="11009" width="9.140625" style="608"/>
    <col min="11010" max="11010" width="26.5703125" style="608" bestFit="1" customWidth="1"/>
    <col min="11011" max="11011" width="34.85546875" style="608" bestFit="1" customWidth="1"/>
    <col min="11012" max="11015" width="18.42578125" style="608" customWidth="1"/>
    <col min="11016" max="11265" width="9.140625" style="608"/>
    <col min="11266" max="11266" width="26.5703125" style="608" bestFit="1" customWidth="1"/>
    <col min="11267" max="11267" width="34.85546875" style="608" bestFit="1" customWidth="1"/>
    <col min="11268" max="11271" width="18.42578125" style="608" customWidth="1"/>
    <col min="11272" max="11521" width="9.140625" style="608"/>
    <col min="11522" max="11522" width="26.5703125" style="608" bestFit="1" customWidth="1"/>
    <col min="11523" max="11523" width="34.85546875" style="608" bestFit="1" customWidth="1"/>
    <col min="11524" max="11527" width="18.42578125" style="608" customWidth="1"/>
    <col min="11528" max="11777" width="9.140625" style="608"/>
    <col min="11778" max="11778" width="26.5703125" style="608" bestFit="1" customWidth="1"/>
    <col min="11779" max="11779" width="34.85546875" style="608" bestFit="1" customWidth="1"/>
    <col min="11780" max="11783" width="18.42578125" style="608" customWidth="1"/>
    <col min="11784" max="12033" width="9.140625" style="608"/>
    <col min="12034" max="12034" width="26.5703125" style="608" bestFit="1" customWidth="1"/>
    <col min="12035" max="12035" width="34.85546875" style="608" bestFit="1" customWidth="1"/>
    <col min="12036" max="12039" width="18.42578125" style="608" customWidth="1"/>
    <col min="12040" max="12289" width="9.140625" style="608"/>
    <col min="12290" max="12290" width="26.5703125" style="608" bestFit="1" customWidth="1"/>
    <col min="12291" max="12291" width="34.85546875" style="608" bestFit="1" customWidth="1"/>
    <col min="12292" max="12295" width="18.42578125" style="608" customWidth="1"/>
    <col min="12296" max="12545" width="9.140625" style="608"/>
    <col min="12546" max="12546" width="26.5703125" style="608" bestFit="1" customWidth="1"/>
    <col min="12547" max="12547" width="34.85546875" style="608" bestFit="1" customWidth="1"/>
    <col min="12548" max="12551" width="18.42578125" style="608" customWidth="1"/>
    <col min="12552" max="12801" width="9.140625" style="608"/>
    <col min="12802" max="12802" width="26.5703125" style="608" bestFit="1" customWidth="1"/>
    <col min="12803" max="12803" width="34.85546875" style="608" bestFit="1" customWidth="1"/>
    <col min="12804" max="12807" width="18.42578125" style="608" customWidth="1"/>
    <col min="12808" max="13057" width="9.140625" style="608"/>
    <col min="13058" max="13058" width="26.5703125" style="608" bestFit="1" customWidth="1"/>
    <col min="13059" max="13059" width="34.85546875" style="608" bestFit="1" customWidth="1"/>
    <col min="13060" max="13063" width="18.42578125" style="608" customWidth="1"/>
    <col min="13064" max="13313" width="9.140625" style="608"/>
    <col min="13314" max="13314" width="26.5703125" style="608" bestFit="1" customWidth="1"/>
    <col min="13315" max="13315" width="34.85546875" style="608" bestFit="1" customWidth="1"/>
    <col min="13316" max="13319" width="18.42578125" style="608" customWidth="1"/>
    <col min="13320" max="13569" width="9.140625" style="608"/>
    <col min="13570" max="13570" width="26.5703125" style="608" bestFit="1" customWidth="1"/>
    <col min="13571" max="13571" width="34.85546875" style="608" bestFit="1" customWidth="1"/>
    <col min="13572" max="13575" width="18.42578125" style="608" customWidth="1"/>
    <col min="13576" max="13825" width="9.140625" style="608"/>
    <col min="13826" max="13826" width="26.5703125" style="608" bestFit="1" customWidth="1"/>
    <col min="13827" max="13827" width="34.85546875" style="608" bestFit="1" customWidth="1"/>
    <col min="13828" max="13831" width="18.42578125" style="608" customWidth="1"/>
    <col min="13832" max="14081" width="9.140625" style="608"/>
    <col min="14082" max="14082" width="26.5703125" style="608" bestFit="1" customWidth="1"/>
    <col min="14083" max="14083" width="34.85546875" style="608" bestFit="1" customWidth="1"/>
    <col min="14084" max="14087" width="18.42578125" style="608" customWidth="1"/>
    <col min="14088" max="14337" width="9.140625" style="608"/>
    <col min="14338" max="14338" width="26.5703125" style="608" bestFit="1" customWidth="1"/>
    <col min="14339" max="14339" width="34.85546875" style="608" bestFit="1" customWidth="1"/>
    <col min="14340" max="14343" width="18.42578125" style="608" customWidth="1"/>
    <col min="14344" max="14593" width="9.140625" style="608"/>
    <col min="14594" max="14594" width="26.5703125" style="608" bestFit="1" customWidth="1"/>
    <col min="14595" max="14595" width="34.85546875" style="608" bestFit="1" customWidth="1"/>
    <col min="14596" max="14599" width="18.42578125" style="608" customWidth="1"/>
    <col min="14600" max="14849" width="9.140625" style="608"/>
    <col min="14850" max="14850" width="26.5703125" style="608" bestFit="1" customWidth="1"/>
    <col min="14851" max="14851" width="34.85546875" style="608" bestFit="1" customWidth="1"/>
    <col min="14852" max="14855" width="18.42578125" style="608" customWidth="1"/>
    <col min="14856" max="15105" width="9.140625" style="608"/>
    <col min="15106" max="15106" width="26.5703125" style="608" bestFit="1" customWidth="1"/>
    <col min="15107" max="15107" width="34.85546875" style="608" bestFit="1" customWidth="1"/>
    <col min="15108" max="15111" width="18.42578125" style="608" customWidth="1"/>
    <col min="15112" max="15361" width="9.140625" style="608"/>
    <col min="15362" max="15362" width="26.5703125" style="608" bestFit="1" customWidth="1"/>
    <col min="15363" max="15363" width="34.85546875" style="608" bestFit="1" customWidth="1"/>
    <col min="15364" max="15367" width="18.42578125" style="608" customWidth="1"/>
    <col min="15368" max="15617" width="9.140625" style="608"/>
    <col min="15618" max="15618" width="26.5703125" style="608" bestFit="1" customWidth="1"/>
    <col min="15619" max="15619" width="34.85546875" style="608" bestFit="1" customWidth="1"/>
    <col min="15620" max="15623" width="18.42578125" style="608" customWidth="1"/>
    <col min="15624" max="15873" width="9.140625" style="608"/>
    <col min="15874" max="15874" width="26.5703125" style="608" bestFit="1" customWidth="1"/>
    <col min="15875" max="15875" width="34.85546875" style="608" bestFit="1" customWidth="1"/>
    <col min="15876" max="15879" width="18.42578125" style="608" customWidth="1"/>
    <col min="15880" max="16129" width="9.140625" style="608"/>
    <col min="16130" max="16130" width="26.5703125" style="608" bestFit="1" customWidth="1"/>
    <col min="16131" max="16131" width="34.85546875" style="608" bestFit="1" customWidth="1"/>
    <col min="16132" max="16135" width="18.42578125" style="608" customWidth="1"/>
    <col min="16136" max="16384" width="9.140625" style="608"/>
  </cols>
  <sheetData>
    <row r="1" spans="1:17" ht="23.1" customHeight="1" thickBot="1" x14ac:dyDescent="0.25">
      <c r="A1" s="1218" t="s">
        <v>431</v>
      </c>
      <c r="B1" s="1219"/>
      <c r="C1" s="1219"/>
      <c r="D1" s="1219"/>
      <c r="E1" s="1219"/>
      <c r="F1" s="1220"/>
      <c r="G1" s="728"/>
      <c r="H1" s="615"/>
      <c r="I1" s="615"/>
      <c r="J1" s="615"/>
      <c r="K1" s="609" t="str">
        <f>+TITELBLAD!C10</f>
        <v>gas</v>
      </c>
      <c r="L1" s="615"/>
      <c r="M1" s="615"/>
      <c r="N1" s="615"/>
      <c r="O1" s="615"/>
      <c r="P1" s="615"/>
      <c r="Q1" s="615"/>
    </row>
    <row r="2" spans="1:17" x14ac:dyDescent="0.2">
      <c r="A2" s="615"/>
      <c r="B2" s="615"/>
      <c r="C2" s="615"/>
      <c r="D2" s="615"/>
      <c r="E2" s="615"/>
      <c r="F2" s="615"/>
      <c r="G2" s="615"/>
      <c r="H2" s="615"/>
      <c r="I2" s="615"/>
      <c r="J2" s="615"/>
      <c r="K2" s="620">
        <f>+TITELBLAD!E16</f>
        <v>2022</v>
      </c>
      <c r="L2" s="615"/>
      <c r="M2" s="615"/>
      <c r="N2" s="615"/>
      <c r="O2" s="615"/>
      <c r="P2" s="615"/>
      <c r="Q2" s="615"/>
    </row>
    <row r="3" spans="1:17" ht="13.5" thickBot="1" x14ac:dyDescent="0.25">
      <c r="H3" s="615"/>
      <c r="I3" s="615"/>
      <c r="J3" s="615"/>
      <c r="K3" s="609"/>
      <c r="L3" s="615"/>
      <c r="M3" s="615"/>
      <c r="N3" s="615"/>
      <c r="O3" s="615"/>
      <c r="P3" s="615"/>
      <c r="Q3" s="615"/>
    </row>
    <row r="4" spans="1:17" ht="12.95" customHeight="1" x14ac:dyDescent="0.2">
      <c r="B4" s="623"/>
      <c r="C4" s="624"/>
      <c r="D4" s="1224" t="str">
        <f>"BUDGET "&amp;K2</f>
        <v>BUDGET 2022</v>
      </c>
      <c r="E4" s="1224" t="str">
        <f>"REALITEIT "&amp;K2</f>
        <v>REALITEIT 2022</v>
      </c>
      <c r="H4" s="615"/>
      <c r="I4" s="615"/>
      <c r="J4" s="615"/>
      <c r="K4" s="615"/>
      <c r="L4" s="615"/>
      <c r="M4" s="615"/>
      <c r="N4" s="615"/>
      <c r="O4" s="615"/>
      <c r="P4" s="615"/>
      <c r="Q4" s="615"/>
    </row>
    <row r="5" spans="1:17" ht="13.5" thickBot="1" x14ac:dyDescent="0.25">
      <c r="B5" s="625"/>
      <c r="C5" s="626"/>
      <c r="D5" s="1225"/>
      <c r="E5" s="1225"/>
      <c r="H5" s="615"/>
      <c r="I5" s="615"/>
      <c r="J5" s="615"/>
      <c r="K5" s="615"/>
      <c r="L5" s="615"/>
      <c r="M5" s="615"/>
      <c r="N5" s="615"/>
      <c r="O5" s="615"/>
      <c r="P5" s="615"/>
      <c r="Q5" s="615"/>
    </row>
    <row r="6" spans="1:17" x14ac:dyDescent="0.2">
      <c r="B6" s="623"/>
      <c r="C6" s="624"/>
      <c r="D6" s="627"/>
      <c r="E6" s="627"/>
      <c r="H6" s="615"/>
      <c r="I6" s="615"/>
      <c r="J6" s="615"/>
      <c r="K6" s="615"/>
      <c r="L6" s="615"/>
      <c r="M6" s="615"/>
      <c r="N6" s="615"/>
      <c r="O6" s="615"/>
      <c r="P6" s="615"/>
      <c r="Q6" s="615"/>
    </row>
    <row r="7" spans="1:17" x14ac:dyDescent="0.2">
      <c r="B7" s="1221" t="str">
        <f>"Startwaarde (01/01/"&amp;K2&amp;")"</f>
        <v>Startwaarde (01/01/2022)</v>
      </c>
      <c r="C7" s="628" t="s">
        <v>311</v>
      </c>
      <c r="D7" s="629">
        <f>IF($K$1="elektriciteit",T13A!E63,IF('T14'!$K$1="gas",T13C!E42,"FOUT"))</f>
        <v>0</v>
      </c>
      <c r="E7" s="629">
        <f>IF($K$1="elektriciteit",T13A!E117,IF('T14'!$K$1="gas",T13C!E75,"FOUT"))</f>
        <v>0</v>
      </c>
      <c r="H7" s="615"/>
      <c r="I7" s="615"/>
      <c r="J7" s="615"/>
      <c r="K7" s="615"/>
      <c r="L7" s="615"/>
      <c r="M7" s="615"/>
      <c r="N7" s="615"/>
      <c r="O7" s="615"/>
      <c r="P7" s="615"/>
      <c r="Q7" s="615"/>
    </row>
    <row r="8" spans="1:17" x14ac:dyDescent="0.2">
      <c r="B8" s="1221"/>
      <c r="C8" s="628" t="s">
        <v>312</v>
      </c>
      <c r="D8" s="629">
        <f>IF($K$1="elektriciteit",T13B!E63,IF('T14'!$K$1="gas",T13D!E42,"FOUT"))</f>
        <v>0</v>
      </c>
      <c r="E8" s="630">
        <f>IF($K$1="elektriciteit",T13B!E117,IF('T14'!$K$1="gas",T13D!E75,"FOUT"))</f>
        <v>0</v>
      </c>
      <c r="H8" s="615"/>
      <c r="I8" s="615"/>
      <c r="J8" s="615"/>
      <c r="K8" s="615"/>
      <c r="L8" s="615"/>
      <c r="M8" s="615"/>
      <c r="N8" s="615"/>
      <c r="O8" s="615"/>
      <c r="P8" s="615"/>
      <c r="Q8" s="615"/>
    </row>
    <row r="9" spans="1:17" x14ac:dyDescent="0.2">
      <c r="B9" s="631"/>
      <c r="C9" s="632"/>
      <c r="D9" s="633"/>
      <c r="E9" s="634"/>
      <c r="H9" s="615"/>
      <c r="I9" s="615"/>
      <c r="J9" s="615"/>
      <c r="K9" s="615"/>
      <c r="L9" s="615"/>
      <c r="M9" s="615"/>
      <c r="N9" s="615"/>
      <c r="O9" s="615"/>
      <c r="P9" s="615"/>
      <c r="Q9" s="615"/>
    </row>
    <row r="10" spans="1:17" x14ac:dyDescent="0.2">
      <c r="B10" s="635"/>
      <c r="C10" s="636"/>
      <c r="D10" s="637"/>
      <c r="E10" s="638"/>
      <c r="H10" s="615"/>
      <c r="I10" s="615"/>
      <c r="J10" s="615"/>
      <c r="K10" s="615"/>
      <c r="L10" s="615"/>
      <c r="M10" s="615"/>
      <c r="N10" s="615"/>
      <c r="O10" s="615"/>
      <c r="P10" s="615"/>
      <c r="Q10" s="615"/>
    </row>
    <row r="11" spans="1:17" x14ac:dyDescent="0.2">
      <c r="B11" s="631" t="str">
        <f>"Startwaarde RAB m.b.t. herwaarderingsmeerwaarden (01/01/"&amp;K2&amp;")"</f>
        <v>Startwaarde RAB m.b.t. herwaarderingsmeerwaarden (01/01/2022)</v>
      </c>
      <c r="C11" s="639"/>
      <c r="D11" s="640">
        <f>+D8+D7</f>
        <v>0</v>
      </c>
      <c r="E11" s="640">
        <f>+E8+E7</f>
        <v>0</v>
      </c>
      <c r="H11" s="615"/>
      <c r="I11" s="615"/>
      <c r="J11" s="615"/>
      <c r="K11" s="615"/>
      <c r="L11" s="615"/>
      <c r="M11" s="615"/>
      <c r="N11" s="615"/>
      <c r="O11" s="615"/>
      <c r="P11" s="615"/>
      <c r="Q11" s="615"/>
    </row>
    <row r="12" spans="1:17" x14ac:dyDescent="0.2">
      <c r="B12" s="631"/>
      <c r="C12" s="639"/>
      <c r="D12" s="640"/>
      <c r="E12" s="641"/>
      <c r="H12" s="615"/>
      <c r="I12" s="615"/>
      <c r="J12" s="615"/>
      <c r="K12" s="615"/>
      <c r="L12" s="615"/>
      <c r="M12" s="615"/>
      <c r="N12" s="615"/>
      <c r="O12" s="615"/>
      <c r="P12" s="615"/>
      <c r="Q12" s="615"/>
    </row>
    <row r="13" spans="1:17" x14ac:dyDescent="0.2">
      <c r="B13" s="635"/>
      <c r="C13" s="642"/>
      <c r="D13" s="637"/>
      <c r="E13" s="638"/>
    </row>
    <row r="14" spans="1:17" x14ac:dyDescent="0.2">
      <c r="B14" s="631" t="s">
        <v>313</v>
      </c>
      <c r="C14" s="628" t="s">
        <v>311</v>
      </c>
      <c r="D14" s="629">
        <f>IF($K$1="elektriciteit",T13A!G63,IF('T14'!$K$1="gas",T13C!G42,"FOUT"))</f>
        <v>0</v>
      </c>
      <c r="E14" s="629">
        <f>IF($K$1="elektriciteit",T13A!G117,IF('T14'!$K$1="gas",T13C!G75,"FOUT"))</f>
        <v>0</v>
      </c>
    </row>
    <row r="15" spans="1:17" x14ac:dyDescent="0.2">
      <c r="B15" s="631"/>
      <c r="C15" s="628" t="s">
        <v>312</v>
      </c>
      <c r="D15" s="629">
        <f>IF($K$1="elektriciteit",T13B!G63,IF('T14'!$K$1="gas",T13D!G42,"FOUT"))</f>
        <v>0</v>
      </c>
      <c r="E15" s="630">
        <f>IF($K$1="elektriciteit",T13B!G117,IF('T14'!$K$1="gas",T13D!G75,"FOUT"))</f>
        <v>0</v>
      </c>
    </row>
    <row r="16" spans="1:17" x14ac:dyDescent="0.2">
      <c r="B16" s="643"/>
      <c r="C16" s="644"/>
      <c r="D16" s="645"/>
      <c r="E16" s="646"/>
    </row>
    <row r="17" spans="2:5" x14ac:dyDescent="0.2">
      <c r="B17" s="635"/>
      <c r="C17" s="642"/>
      <c r="D17" s="637"/>
      <c r="E17" s="638"/>
    </row>
    <row r="18" spans="2:5" ht="13.5" customHeight="1" x14ac:dyDescent="0.2">
      <c r="B18" s="1232" t="s">
        <v>435</v>
      </c>
      <c r="C18" s="628" t="s">
        <v>311</v>
      </c>
      <c r="D18" s="629">
        <f>IF($K$1="elektriciteit",T13A!H63+T13A!I63,IF('T14'!$K$1="gas",T13C!H42+T13C!I42,"FOUT"))</f>
        <v>0</v>
      </c>
      <c r="E18" s="629">
        <f>IF($K$1="elektriciteit",T13A!H117+T13A!I117,IF('T14'!$K$1="gas",T13C!H75+T13C!I75,"FOUT"))</f>
        <v>0</v>
      </c>
    </row>
    <row r="19" spans="2:5" ht="13.5" customHeight="1" x14ac:dyDescent="0.2">
      <c r="B19" s="1232"/>
      <c r="C19" s="628" t="s">
        <v>312</v>
      </c>
      <c r="D19" s="629">
        <f>IF($K$1="elektriciteit",T13B!H63+T13B!I63,IF('T14'!$K$1="gas",T13D!H42+T13D!I42,"FOUT"))</f>
        <v>0</v>
      </c>
      <c r="E19" s="630">
        <f>IF($K$1="elektriciteit",T13B!H117+T13B!I117,IF('T14'!$K$1="gas",T13D!H75+T13D!I75,"FOUT"))</f>
        <v>0</v>
      </c>
    </row>
    <row r="20" spans="2:5" x14ac:dyDescent="0.2">
      <c r="B20" s="643"/>
      <c r="C20" s="644"/>
      <c r="D20" s="645"/>
      <c r="E20" s="646"/>
    </row>
    <row r="21" spans="2:5" x14ac:dyDescent="0.2">
      <c r="B21" s="631"/>
      <c r="C21" s="639"/>
      <c r="D21" s="640"/>
      <c r="E21" s="641"/>
    </row>
    <row r="22" spans="2:5" x14ac:dyDescent="0.2">
      <c r="B22" s="631" t="str">
        <f>"Eindwaarde (31/12/"&amp;K2&amp;")"</f>
        <v>Eindwaarde (31/12/2022)</v>
      </c>
      <c r="C22" s="628" t="s">
        <v>311</v>
      </c>
      <c r="D22" s="629">
        <f>+D7+D14+D18</f>
        <v>0</v>
      </c>
      <c r="E22" s="630">
        <f>+E7+E14+E18</f>
        <v>0</v>
      </c>
    </row>
    <row r="23" spans="2:5" x14ac:dyDescent="0.2">
      <c r="B23" s="631"/>
      <c r="C23" s="628" t="s">
        <v>312</v>
      </c>
      <c r="D23" s="629">
        <f t="shared" ref="D23:E23" si="0">+D8+D15+D19</f>
        <v>0</v>
      </c>
      <c r="E23" s="630">
        <f t="shared" si="0"/>
        <v>0</v>
      </c>
    </row>
    <row r="24" spans="2:5" x14ac:dyDescent="0.2">
      <c r="B24" s="647"/>
      <c r="C24" s="648"/>
      <c r="D24" s="649"/>
      <c r="E24" s="650"/>
    </row>
    <row r="25" spans="2:5" x14ac:dyDescent="0.2">
      <c r="B25" s="631"/>
      <c r="C25" s="639"/>
      <c r="D25" s="640"/>
      <c r="E25" s="641"/>
    </row>
    <row r="26" spans="2:5" x14ac:dyDescent="0.2">
      <c r="B26" s="631" t="str">
        <f>"Eindwaarde RAB m.b.t. herwaarderingsmeerwaarden (31/12/"&amp;K2&amp;")"</f>
        <v>Eindwaarde RAB m.b.t. herwaarderingsmeerwaarden (31/12/2022)</v>
      </c>
      <c r="C26" s="639"/>
      <c r="D26" s="640">
        <f>D22+D23</f>
        <v>0</v>
      </c>
      <c r="E26" s="641">
        <f>E22+E23</f>
        <v>0</v>
      </c>
    </row>
    <row r="27" spans="2:5" x14ac:dyDescent="0.2">
      <c r="B27" s="643"/>
      <c r="C27" s="644"/>
      <c r="D27" s="645"/>
      <c r="E27" s="646"/>
    </row>
    <row r="28" spans="2:5" ht="12.95" customHeight="1" x14ac:dyDescent="0.2">
      <c r="B28" s="1226" t="str">
        <f>"Gemiddelde RAB m.b.t. herwaarderingsmeerwaarden voor het jaar "&amp;'T9 - Overzicht'!B6</f>
        <v>Gemiddelde RAB m.b.t. herwaarderingsmeerwaarden voor het jaar 2022</v>
      </c>
      <c r="C28" s="1227"/>
      <c r="D28" s="640"/>
      <c r="E28" s="641"/>
    </row>
    <row r="29" spans="2:5" x14ac:dyDescent="0.2">
      <c r="B29" s="1228"/>
      <c r="C29" s="1229"/>
      <c r="D29" s="651">
        <f>(D11+D26)/2</f>
        <v>0</v>
      </c>
      <c r="E29" s="652">
        <f>(E11+E26)/2</f>
        <v>0</v>
      </c>
    </row>
    <row r="30" spans="2:5" ht="13.5" thickBot="1" x14ac:dyDescent="0.25">
      <c r="B30" s="1230"/>
      <c r="C30" s="1231"/>
      <c r="D30" s="653"/>
      <c r="E30" s="654"/>
    </row>
    <row r="31" spans="2:5" ht="7.5" customHeight="1" thickBot="1" x14ac:dyDescent="0.25"/>
    <row r="32" spans="2:5" ht="14.45" customHeight="1" thickBot="1" x14ac:dyDescent="0.25">
      <c r="B32" s="1222" t="str">
        <f>"Kapitaalkostpercentage herwaarderingsmeerwaarden "&amp;K2</f>
        <v>Kapitaalkostpercentage herwaarderingsmeerwaarden 2022</v>
      </c>
      <c r="C32" s="1223"/>
      <c r="D32" s="618">
        <f>IF($K$2=2021,0.035,IF($K$2=2022,0.0306,IF($K$2=2023,0.0263,IF($K$2=2024,0.0219,"FOUT"))))</f>
        <v>3.0599999999999999E-2</v>
      </c>
      <c r="E32" s="619">
        <f>IF($K$2=2021,0.035,IF($K$2=2022,0.0306,IF($K$2=2023,0.0263,IF($K$2=2024,0.0219,"FOUT"))))</f>
        <v>3.0599999999999999E-2</v>
      </c>
    </row>
    <row r="33" spans="2:5" ht="7.5" customHeight="1" thickBot="1" x14ac:dyDescent="0.25"/>
    <row r="34" spans="2:5" ht="14.45" customHeight="1" thickBot="1" x14ac:dyDescent="0.25">
      <c r="B34" s="1222" t="s">
        <v>314</v>
      </c>
      <c r="C34" s="1223"/>
      <c r="D34" s="621">
        <f>+D29*D32</f>
        <v>0</v>
      </c>
      <c r="E34" s="622">
        <f>+E29*E32</f>
        <v>0</v>
      </c>
    </row>
  </sheetData>
  <sheetProtection algorithmName="SHA-512" hashValue="M/CYLfJCQjf34aqnf82Qi9lnz1p/VsAM1zEoXfZvvluCcowml1uMRlgSkVvqC/ozs0eIcUWQ1t9NqjI3bUvAfw==" saltValue="mNxybjwbGbNL4zSdYi4ymA==" spinCount="100000" sheet="1" objects="1" scenarios="1"/>
  <mergeCells count="8">
    <mergeCell ref="A1:F1"/>
    <mergeCell ref="B7:B8"/>
    <mergeCell ref="B32:C32"/>
    <mergeCell ref="B34:C34"/>
    <mergeCell ref="D4:D5"/>
    <mergeCell ref="E4:E5"/>
    <mergeCell ref="B28:C30"/>
    <mergeCell ref="B18:B19"/>
  </mergeCells>
  <pageMargins left="0.70866141732283472" right="0.70866141732283472" top="0.74803149606299213" bottom="0.74803149606299213" header="0.31496062992125984" footer="0.31496062992125984"/>
  <pageSetup paperSize="8" scale="92" orientation="portrait" r:id="rId1"/>
  <extLst>
    <ext xmlns:x14="http://schemas.microsoft.com/office/spreadsheetml/2009/9/main" uri="{78C0D931-6437-407d-A8EE-F0AAD7539E65}">
      <x14:conditionalFormattings>
        <x14:conditionalFormatting xmlns:xm="http://schemas.microsoft.com/office/excel/2006/main">
          <x14:cfRule type="expression" priority="1" id="{CD3D3052-15D1-4EC6-B790-C0893E3D102F}">
            <xm:f>'T9 - Overzicht'!$C$6="ex-ante"</xm:f>
            <x14:dxf>
              <fill>
                <patternFill patternType="lightUp"/>
              </fill>
            </x14:dxf>
          </x14:cfRule>
          <xm:sqref>E4:E30 E32 E34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4CA0-AD3B-4D90-86CF-3EB23CD76C86}">
  <sheetPr published="0"/>
  <dimension ref="A1"/>
  <sheetViews>
    <sheetView workbookViewId="0">
      <selection activeCell="Q33" sqref="Q33"/>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2">
    <pageSetUpPr fitToPage="1"/>
  </sheetPr>
  <dimension ref="B1:S125"/>
  <sheetViews>
    <sheetView zoomScale="70" zoomScaleNormal="70" workbookViewId="0">
      <selection activeCell="G56" sqref="G56"/>
    </sheetView>
  </sheetViews>
  <sheetFormatPr defaultColWidth="9.140625" defaultRowHeight="12.75" x14ac:dyDescent="0.2"/>
  <cols>
    <col min="1" max="1" width="1.5703125" style="12" customWidth="1"/>
    <col min="2" max="2" width="4.140625" style="42" customWidth="1"/>
    <col min="3" max="3" width="22.42578125" style="42" customWidth="1"/>
    <col min="4" max="4" width="1.42578125" style="42" customWidth="1"/>
    <col min="5" max="5" width="23" style="42" customWidth="1"/>
    <col min="6" max="6" width="10.7109375" style="43" customWidth="1"/>
    <col min="7" max="8" width="26.140625" style="42" customWidth="1"/>
    <col min="9" max="11" width="23.7109375" style="42" customWidth="1"/>
    <col min="12" max="13" width="25" style="42" customWidth="1"/>
    <col min="14" max="14" width="22.42578125" style="42" customWidth="1"/>
    <col min="15" max="15" width="26.5703125" style="42" customWidth="1"/>
    <col min="16" max="16" width="22.42578125" style="42" customWidth="1"/>
    <col min="17" max="17" width="31.85546875" style="42" customWidth="1"/>
    <col min="18" max="18" width="19.7109375" style="42" customWidth="1"/>
    <col min="19" max="19" width="18.7109375" style="42" customWidth="1"/>
    <col min="20" max="16384" width="9.140625" style="12"/>
  </cols>
  <sheetData>
    <row r="1" spans="2:19" ht="25.5" customHeight="1" thickBot="1" x14ac:dyDescent="0.25">
      <c r="B1" s="1028" t="str">
        <f>"TABEL 1: Resultatenrekening (algemene boekhouding) voor boekjaar "&amp;TITELBLAD!E16&amp;" (waarden boekhouding)"</f>
        <v>TABEL 1: Resultatenrekening (algemene boekhouding) voor boekjaar 2022 (waarden boekhouding)</v>
      </c>
      <c r="C1" s="1029"/>
      <c r="D1" s="1029"/>
      <c r="E1" s="1029"/>
      <c r="F1" s="1029"/>
      <c r="G1" s="1029"/>
      <c r="H1" s="1029"/>
      <c r="I1" s="1029"/>
      <c r="J1" s="1029"/>
      <c r="K1" s="1029"/>
      <c r="L1" s="1029"/>
      <c r="M1" s="1030"/>
      <c r="N1" s="12"/>
      <c r="O1" s="12"/>
      <c r="P1" s="12"/>
      <c r="Q1" s="12"/>
      <c r="R1" s="12"/>
      <c r="S1" s="12"/>
    </row>
    <row r="2" spans="2:19" ht="18" x14ac:dyDescent="0.25">
      <c r="B2" s="34"/>
      <c r="C2" s="34"/>
      <c r="D2" s="34"/>
      <c r="E2" s="34"/>
      <c r="F2" s="35"/>
      <c r="G2" s="34"/>
      <c r="H2" s="34"/>
      <c r="I2" s="34"/>
      <c r="J2" s="34"/>
      <c r="K2" s="34"/>
      <c r="L2" s="34"/>
      <c r="M2" s="34"/>
      <c r="N2" s="34"/>
      <c r="O2" s="140" t="s">
        <v>83</v>
      </c>
      <c r="P2" s="140">
        <f>+TITELBLAD!E16</f>
        <v>2022</v>
      </c>
      <c r="Q2" s="140" t="str">
        <f>+TITELBLAD!F16</f>
        <v>ex-ante</v>
      </c>
      <c r="R2" s="34"/>
      <c r="S2" s="35"/>
    </row>
    <row r="3" spans="2:19" s="36" customFormat="1" x14ac:dyDescent="0.2">
      <c r="C3" s="37" t="s">
        <v>37</v>
      </c>
      <c r="D3" s="38"/>
      <c r="L3" s="38"/>
      <c r="O3" s="141"/>
      <c r="P3" s="141"/>
      <c r="Q3" s="141"/>
    </row>
    <row r="4" spans="2:19" s="36" customFormat="1" x14ac:dyDescent="0.2">
      <c r="C4" s="39" t="s">
        <v>80</v>
      </c>
      <c r="D4" s="38"/>
      <c r="L4" s="38"/>
    </row>
    <row r="5" spans="2:19" ht="13.5" thickBot="1" x14ac:dyDescent="0.25">
      <c r="B5" s="40"/>
      <c r="C5" s="40"/>
      <c r="D5" s="40"/>
      <c r="E5" s="40"/>
      <c r="F5" s="41"/>
      <c r="G5" s="40"/>
      <c r="H5" s="40"/>
      <c r="I5" s="40"/>
      <c r="J5" s="40"/>
      <c r="K5" s="40"/>
      <c r="L5" s="40"/>
      <c r="M5" s="40"/>
      <c r="N5" s="40"/>
      <c r="O5" s="40"/>
      <c r="P5" s="40"/>
      <c r="Q5" s="40"/>
      <c r="R5" s="40"/>
      <c r="S5" s="40"/>
    </row>
    <row r="6" spans="2:19" ht="13.5" thickTop="1" x14ac:dyDescent="0.2">
      <c r="B6" s="1020" t="s">
        <v>43</v>
      </c>
      <c r="C6" s="1021"/>
      <c r="D6" s="1021"/>
      <c r="E6" s="1022"/>
      <c r="F6" s="1031" t="s">
        <v>3</v>
      </c>
      <c r="G6" s="1033" t="s">
        <v>55</v>
      </c>
      <c r="H6" s="1034"/>
      <c r="I6" s="1034"/>
      <c r="J6" s="1034"/>
      <c r="K6" s="1035"/>
      <c r="L6" s="1033" t="s">
        <v>56</v>
      </c>
      <c r="M6" s="1034"/>
      <c r="N6" s="1034"/>
      <c r="O6" s="1034"/>
      <c r="P6" s="1035"/>
      <c r="Q6" s="1047" t="s">
        <v>57</v>
      </c>
      <c r="R6" s="1047" t="s">
        <v>20</v>
      </c>
      <c r="S6" s="44"/>
    </row>
    <row r="7" spans="2:19" x14ac:dyDescent="0.2">
      <c r="B7" s="1023"/>
      <c r="C7" s="1024"/>
      <c r="D7" s="1024"/>
      <c r="E7" s="1025"/>
      <c r="F7" s="1032"/>
      <c r="G7" s="1036"/>
      <c r="H7" s="1037"/>
      <c r="I7" s="1037"/>
      <c r="J7" s="1037"/>
      <c r="K7" s="1038"/>
      <c r="L7" s="1036"/>
      <c r="M7" s="1037"/>
      <c r="N7" s="1037"/>
      <c r="O7" s="1037"/>
      <c r="P7" s="1038"/>
      <c r="Q7" s="1048"/>
      <c r="R7" s="1048"/>
      <c r="S7" s="44"/>
    </row>
    <row r="8" spans="2:19" ht="29.25" customHeight="1" x14ac:dyDescent="0.2">
      <c r="B8" s="126"/>
      <c r="C8" s="127"/>
      <c r="D8" s="127"/>
      <c r="E8" s="127"/>
      <c r="F8" s="128"/>
      <c r="G8" s="1043" t="s">
        <v>79</v>
      </c>
      <c r="H8" s="1044"/>
      <c r="I8" s="1044"/>
      <c r="J8" s="1045"/>
      <c r="K8" s="49" t="s">
        <v>57</v>
      </c>
      <c r="L8" s="1043" t="s">
        <v>79</v>
      </c>
      <c r="M8" s="1044"/>
      <c r="N8" s="1044"/>
      <c r="O8" s="1046"/>
      <c r="P8" s="129" t="s">
        <v>57</v>
      </c>
      <c r="Q8" s="782"/>
      <c r="R8" s="782"/>
      <c r="S8" s="44"/>
    </row>
    <row r="9" spans="2:19" ht="31.5" customHeight="1" x14ac:dyDescent="0.2">
      <c r="B9" s="45"/>
      <c r="C9" s="46"/>
      <c r="D9" s="47"/>
      <c r="E9" s="47"/>
      <c r="F9" s="48"/>
      <c r="G9" s="49" t="s">
        <v>159</v>
      </c>
      <c r="H9" s="49" t="s">
        <v>160</v>
      </c>
      <c r="I9" s="49" t="s">
        <v>161</v>
      </c>
      <c r="J9" s="49" t="s">
        <v>78</v>
      </c>
      <c r="K9" s="49"/>
      <c r="L9" s="49" t="s">
        <v>159</v>
      </c>
      <c r="M9" s="49" t="s">
        <v>160</v>
      </c>
      <c r="N9" s="49" t="s">
        <v>161</v>
      </c>
      <c r="O9" s="49" t="s">
        <v>78</v>
      </c>
      <c r="P9" s="49"/>
      <c r="Q9" s="50"/>
      <c r="R9" s="50"/>
      <c r="S9" s="44"/>
    </row>
    <row r="10" spans="2:19" x14ac:dyDescent="0.2">
      <c r="B10" s="45"/>
      <c r="C10" s="46"/>
      <c r="D10" s="47"/>
      <c r="E10" s="47"/>
      <c r="F10" s="48"/>
      <c r="G10" s="51"/>
      <c r="H10" s="51"/>
      <c r="I10" s="51"/>
      <c r="J10" s="51"/>
      <c r="K10" s="51"/>
      <c r="L10" s="51"/>
      <c r="M10" s="51"/>
      <c r="N10" s="51"/>
      <c r="O10" s="51"/>
      <c r="P10" s="51"/>
      <c r="Q10" s="51"/>
      <c r="R10" s="51"/>
      <c r="S10" s="44"/>
    </row>
    <row r="11" spans="2:19" x14ac:dyDescent="0.2">
      <c r="B11" s="52"/>
      <c r="C11" s="53"/>
      <c r="D11" s="53"/>
      <c r="E11" s="53"/>
      <c r="F11" s="783"/>
      <c r="G11" s="54"/>
      <c r="H11" s="54"/>
      <c r="I11" s="54"/>
      <c r="J11" s="54"/>
      <c r="K11" s="54"/>
      <c r="L11" s="54"/>
      <c r="M11" s="54"/>
      <c r="N11" s="54"/>
      <c r="O11" s="54"/>
      <c r="P11" s="54"/>
      <c r="Q11" s="54"/>
      <c r="R11" s="54"/>
      <c r="S11" s="44"/>
    </row>
    <row r="12" spans="2:19" x14ac:dyDescent="0.2">
      <c r="B12" s="55" t="s">
        <v>144</v>
      </c>
      <c r="C12" s="56"/>
      <c r="D12" s="56"/>
      <c r="E12" s="56"/>
      <c r="F12" s="57" t="s">
        <v>440</v>
      </c>
      <c r="G12" s="130">
        <f>SUM(G14,G17,G18,G19,G20)</f>
        <v>0</v>
      </c>
      <c r="H12" s="130">
        <f t="shared" ref="H12:R12" si="0">SUM(H14,H17,H18,H19,H20)</f>
        <v>0</v>
      </c>
      <c r="I12" s="130">
        <f t="shared" si="0"/>
        <v>0</v>
      </c>
      <c r="J12" s="130">
        <f t="shared" si="0"/>
        <v>0</v>
      </c>
      <c r="K12" s="130">
        <f t="shared" si="0"/>
        <v>0</v>
      </c>
      <c r="L12" s="130">
        <f t="shared" si="0"/>
        <v>0</v>
      </c>
      <c r="M12" s="130">
        <f t="shared" si="0"/>
        <v>0</v>
      </c>
      <c r="N12" s="130">
        <f t="shared" si="0"/>
        <v>0</v>
      </c>
      <c r="O12" s="130">
        <f t="shared" si="0"/>
        <v>0</v>
      </c>
      <c r="P12" s="130">
        <f t="shared" si="0"/>
        <v>0</v>
      </c>
      <c r="Q12" s="130">
        <f t="shared" si="0"/>
        <v>0</v>
      </c>
      <c r="R12" s="130">
        <f t="shared" si="0"/>
        <v>0</v>
      </c>
      <c r="S12" s="58"/>
    </row>
    <row r="13" spans="2:19" x14ac:dyDescent="0.2">
      <c r="B13" s="59"/>
      <c r="C13" s="60"/>
      <c r="D13" s="60"/>
      <c r="E13" s="60"/>
      <c r="F13" s="61"/>
      <c r="G13" s="131"/>
      <c r="H13" s="131"/>
      <c r="I13" s="131"/>
      <c r="J13" s="131"/>
      <c r="K13" s="131"/>
      <c r="L13" s="131"/>
      <c r="M13" s="131"/>
      <c r="N13" s="131"/>
      <c r="O13" s="131"/>
      <c r="P13" s="131"/>
      <c r="Q13" s="131"/>
      <c r="R13" s="132"/>
      <c r="S13" s="58"/>
    </row>
    <row r="14" spans="2:19" x14ac:dyDescent="0.2">
      <c r="B14" s="62"/>
      <c r="C14" s="60" t="s">
        <v>44</v>
      </c>
      <c r="D14" s="60"/>
      <c r="E14" s="60"/>
      <c r="F14" s="61">
        <v>70</v>
      </c>
      <c r="G14" s="795">
        <v>0</v>
      </c>
      <c r="H14" s="795">
        <v>0</v>
      </c>
      <c r="I14" s="795">
        <v>0</v>
      </c>
      <c r="J14" s="795">
        <v>0</v>
      </c>
      <c r="K14" s="795">
        <v>0</v>
      </c>
      <c r="L14" s="795">
        <v>0</v>
      </c>
      <c r="M14" s="795">
        <v>0</v>
      </c>
      <c r="N14" s="795">
        <v>0</v>
      </c>
      <c r="O14" s="795">
        <v>0</v>
      </c>
      <c r="P14" s="795">
        <v>0</v>
      </c>
      <c r="Q14" s="795">
        <v>0</v>
      </c>
      <c r="R14" s="131">
        <f>SUM(G14:Q14)</f>
        <v>0</v>
      </c>
      <c r="S14" s="58"/>
    </row>
    <row r="15" spans="2:19" x14ac:dyDescent="0.2">
      <c r="B15" s="62"/>
      <c r="C15" s="1013" t="s">
        <v>146</v>
      </c>
      <c r="D15" s="1013"/>
      <c r="E15" s="1014"/>
      <c r="F15" s="1039">
        <v>71</v>
      </c>
      <c r="G15" s="131"/>
      <c r="H15" s="131"/>
      <c r="I15" s="131"/>
      <c r="J15" s="131"/>
      <c r="K15" s="131"/>
      <c r="L15" s="131"/>
      <c r="M15" s="131"/>
      <c r="N15" s="131"/>
      <c r="O15" s="131"/>
      <c r="P15" s="131"/>
      <c r="Q15" s="131"/>
      <c r="R15" s="131"/>
      <c r="S15" s="58"/>
    </row>
    <row r="16" spans="2:19" x14ac:dyDescent="0.2">
      <c r="B16" s="62"/>
      <c r="C16" s="1013"/>
      <c r="D16" s="1013"/>
      <c r="E16" s="1014"/>
      <c r="F16" s="1039"/>
      <c r="G16" s="131"/>
      <c r="H16" s="131"/>
      <c r="I16" s="131"/>
      <c r="J16" s="131"/>
      <c r="K16" s="131"/>
      <c r="L16" s="131"/>
      <c r="M16" s="131"/>
      <c r="N16" s="131"/>
      <c r="O16" s="131"/>
      <c r="P16" s="131"/>
      <c r="Q16" s="131"/>
      <c r="R16" s="131"/>
      <c r="S16" s="58"/>
    </row>
    <row r="17" spans="2:19" x14ac:dyDescent="0.2">
      <c r="B17" s="62"/>
      <c r="C17" s="1013"/>
      <c r="D17" s="1013"/>
      <c r="E17" s="1014"/>
      <c r="F17" s="1039"/>
      <c r="G17" s="795">
        <v>0</v>
      </c>
      <c r="H17" s="795">
        <v>0</v>
      </c>
      <c r="I17" s="795">
        <v>0</v>
      </c>
      <c r="J17" s="795">
        <v>0</v>
      </c>
      <c r="K17" s="795">
        <v>0</v>
      </c>
      <c r="L17" s="795">
        <v>0</v>
      </c>
      <c r="M17" s="795">
        <v>0</v>
      </c>
      <c r="N17" s="795">
        <v>0</v>
      </c>
      <c r="O17" s="795">
        <v>0</v>
      </c>
      <c r="P17" s="795">
        <v>0</v>
      </c>
      <c r="Q17" s="795">
        <v>0</v>
      </c>
      <c r="R17" s="131">
        <f>SUM(G17:Q17)</f>
        <v>0</v>
      </c>
      <c r="S17" s="58"/>
    </row>
    <row r="18" spans="2:19" x14ac:dyDescent="0.2">
      <c r="B18" s="62"/>
      <c r="C18" s="60" t="s">
        <v>45</v>
      </c>
      <c r="D18" s="60"/>
      <c r="E18" s="60"/>
      <c r="F18" s="61">
        <v>72</v>
      </c>
      <c r="G18" s="795">
        <v>0</v>
      </c>
      <c r="H18" s="795">
        <v>0</v>
      </c>
      <c r="I18" s="795">
        <v>0</v>
      </c>
      <c r="J18" s="795">
        <v>0</v>
      </c>
      <c r="K18" s="795">
        <v>0</v>
      </c>
      <c r="L18" s="795">
        <v>0</v>
      </c>
      <c r="M18" s="795">
        <v>0</v>
      </c>
      <c r="N18" s="795">
        <v>0</v>
      </c>
      <c r="O18" s="795">
        <v>0</v>
      </c>
      <c r="P18" s="795">
        <v>0</v>
      </c>
      <c r="Q18" s="795">
        <v>0</v>
      </c>
      <c r="R18" s="131">
        <f>SUM(G18:Q18)</f>
        <v>0</v>
      </c>
      <c r="S18" s="58"/>
    </row>
    <row r="19" spans="2:19" x14ac:dyDescent="0.2">
      <c r="B19" s="62"/>
      <c r="C19" s="60" t="s">
        <v>46</v>
      </c>
      <c r="D19" s="63"/>
      <c r="E19" s="60"/>
      <c r="F19" s="61">
        <v>74</v>
      </c>
      <c r="G19" s="795">
        <v>0</v>
      </c>
      <c r="H19" s="795">
        <v>0</v>
      </c>
      <c r="I19" s="795">
        <v>0</v>
      </c>
      <c r="J19" s="795">
        <v>0</v>
      </c>
      <c r="K19" s="795">
        <v>0</v>
      </c>
      <c r="L19" s="795">
        <v>0</v>
      </c>
      <c r="M19" s="795">
        <v>0</v>
      </c>
      <c r="N19" s="795">
        <v>0</v>
      </c>
      <c r="O19" s="795">
        <v>0</v>
      </c>
      <c r="P19" s="795">
        <v>0</v>
      </c>
      <c r="Q19" s="795">
        <v>0</v>
      </c>
      <c r="R19" s="131">
        <f>SUM(G19:Q19)</f>
        <v>0</v>
      </c>
      <c r="S19" s="58"/>
    </row>
    <row r="20" spans="2:19" s="937" customFormat="1" x14ac:dyDescent="0.2">
      <c r="B20" s="938"/>
      <c r="C20" s="939" t="s">
        <v>438</v>
      </c>
      <c r="D20" s="940"/>
      <c r="E20" s="939"/>
      <c r="F20" s="941" t="s">
        <v>439</v>
      </c>
      <c r="G20" s="942">
        <v>0</v>
      </c>
      <c r="H20" s="942">
        <v>0</v>
      </c>
      <c r="I20" s="942">
        <v>0</v>
      </c>
      <c r="J20" s="942">
        <v>0</v>
      </c>
      <c r="K20" s="942">
        <v>0</v>
      </c>
      <c r="L20" s="942">
        <v>0</v>
      </c>
      <c r="M20" s="942">
        <v>0</v>
      </c>
      <c r="N20" s="942">
        <v>0</v>
      </c>
      <c r="O20" s="942">
        <v>0</v>
      </c>
      <c r="P20" s="942">
        <v>0</v>
      </c>
      <c r="Q20" s="942">
        <v>0</v>
      </c>
      <c r="R20" s="943">
        <f>SUM(G20:Q20)</f>
        <v>0</v>
      </c>
      <c r="S20" s="944"/>
    </row>
    <row r="21" spans="2:19" x14ac:dyDescent="0.2">
      <c r="B21" s="62"/>
      <c r="C21" s="63"/>
      <c r="D21" s="60"/>
      <c r="E21" s="60"/>
      <c r="F21" s="61"/>
      <c r="G21" s="131"/>
      <c r="H21" s="131"/>
      <c r="I21" s="131"/>
      <c r="J21" s="131"/>
      <c r="K21" s="131"/>
      <c r="L21" s="131"/>
      <c r="M21" s="131"/>
      <c r="N21" s="131"/>
      <c r="O21" s="131"/>
      <c r="P21" s="131"/>
      <c r="Q21" s="131"/>
      <c r="R21" s="131"/>
      <c r="S21" s="58"/>
    </row>
    <row r="22" spans="2:19" x14ac:dyDescent="0.2">
      <c r="B22" s="64" t="s">
        <v>145</v>
      </c>
      <c r="C22" s="65"/>
      <c r="D22" s="56"/>
      <c r="E22" s="56"/>
      <c r="F22" s="57" t="s">
        <v>444</v>
      </c>
      <c r="G22" s="945">
        <f>+SUM(G23:G24)</f>
        <v>0</v>
      </c>
      <c r="H22" s="945">
        <f t="shared" ref="H22:R22" si="1">+SUM(H23:H24)</f>
        <v>0</v>
      </c>
      <c r="I22" s="945">
        <f t="shared" si="1"/>
        <v>0</v>
      </c>
      <c r="J22" s="945">
        <f t="shared" si="1"/>
        <v>0</v>
      </c>
      <c r="K22" s="945">
        <f t="shared" si="1"/>
        <v>0</v>
      </c>
      <c r="L22" s="945">
        <f t="shared" si="1"/>
        <v>0</v>
      </c>
      <c r="M22" s="945">
        <f t="shared" si="1"/>
        <v>0</v>
      </c>
      <c r="N22" s="945">
        <f t="shared" si="1"/>
        <v>0</v>
      </c>
      <c r="O22" s="945">
        <f t="shared" si="1"/>
        <v>0</v>
      </c>
      <c r="P22" s="945">
        <f t="shared" si="1"/>
        <v>0</v>
      </c>
      <c r="Q22" s="945">
        <f t="shared" si="1"/>
        <v>0</v>
      </c>
      <c r="R22" s="130">
        <f t="shared" si="1"/>
        <v>0</v>
      </c>
      <c r="S22" s="58"/>
    </row>
    <row r="23" spans="2:19" s="937" customFormat="1" ht="14.1" customHeight="1" x14ac:dyDescent="0.2">
      <c r="B23" s="938"/>
      <c r="C23" s="939" t="s">
        <v>441</v>
      </c>
      <c r="D23" s="939"/>
      <c r="E23" s="939"/>
      <c r="F23" s="941">
        <v>75</v>
      </c>
      <c r="G23" s="942">
        <v>0</v>
      </c>
      <c r="H23" s="942">
        <v>0</v>
      </c>
      <c r="I23" s="942">
        <v>0</v>
      </c>
      <c r="J23" s="942">
        <v>0</v>
      </c>
      <c r="K23" s="942">
        <v>0</v>
      </c>
      <c r="L23" s="942">
        <v>0</v>
      </c>
      <c r="M23" s="942">
        <v>0</v>
      </c>
      <c r="N23" s="942">
        <v>0</v>
      </c>
      <c r="O23" s="942">
        <v>0</v>
      </c>
      <c r="P23" s="942">
        <v>0</v>
      </c>
      <c r="Q23" s="942">
        <v>0</v>
      </c>
      <c r="R23" s="943">
        <f>SUM(G23:Q23)</f>
        <v>0</v>
      </c>
      <c r="S23" s="944"/>
    </row>
    <row r="24" spans="2:19" s="937" customFormat="1" ht="14.1" customHeight="1" x14ac:dyDescent="0.2">
      <c r="B24" s="938"/>
      <c r="C24" s="939" t="s">
        <v>442</v>
      </c>
      <c r="D24" s="939"/>
      <c r="E24" s="939"/>
      <c r="F24" s="941" t="s">
        <v>443</v>
      </c>
      <c r="G24" s="942">
        <v>0</v>
      </c>
      <c r="H24" s="942">
        <v>0</v>
      </c>
      <c r="I24" s="942">
        <v>0</v>
      </c>
      <c r="J24" s="942">
        <v>0</v>
      </c>
      <c r="K24" s="942">
        <v>0</v>
      </c>
      <c r="L24" s="942">
        <v>0</v>
      </c>
      <c r="M24" s="942">
        <v>0</v>
      </c>
      <c r="N24" s="942">
        <v>0</v>
      </c>
      <c r="O24" s="942">
        <v>0</v>
      </c>
      <c r="P24" s="942">
        <v>0</v>
      </c>
      <c r="Q24" s="942">
        <v>0</v>
      </c>
      <c r="R24" s="943">
        <f>SUM(G24:Q24)</f>
        <v>0</v>
      </c>
      <c r="S24" s="944"/>
    </row>
    <row r="25" spans="2:19" x14ac:dyDescent="0.2">
      <c r="B25" s="66"/>
      <c r="C25" s="67"/>
      <c r="D25" s="68"/>
      <c r="E25" s="68"/>
      <c r="F25" s="69"/>
      <c r="G25" s="133"/>
      <c r="H25" s="133"/>
      <c r="I25" s="133"/>
      <c r="J25" s="133"/>
      <c r="K25" s="133"/>
      <c r="L25" s="133"/>
      <c r="M25" s="133"/>
      <c r="N25" s="133"/>
      <c r="O25" s="133"/>
      <c r="P25" s="133"/>
      <c r="Q25" s="133"/>
      <c r="R25" s="130"/>
      <c r="S25" s="58"/>
    </row>
    <row r="26" spans="2:19" x14ac:dyDescent="0.2">
      <c r="B26" s="1040" t="s">
        <v>148</v>
      </c>
      <c r="C26" s="1041"/>
      <c r="D26" s="1041"/>
      <c r="E26" s="1042"/>
      <c r="F26" s="1019">
        <v>780</v>
      </c>
      <c r="G26" s="130"/>
      <c r="H26" s="130"/>
      <c r="I26" s="130"/>
      <c r="J26" s="130"/>
      <c r="K26" s="130"/>
      <c r="L26" s="130"/>
      <c r="M26" s="130"/>
      <c r="N26" s="130"/>
      <c r="O26" s="130"/>
      <c r="P26" s="130"/>
      <c r="Q26" s="130"/>
      <c r="R26" s="130"/>
      <c r="S26" s="58"/>
    </row>
    <row r="27" spans="2:19" x14ac:dyDescent="0.2">
      <c r="B27" s="1040"/>
      <c r="C27" s="1041"/>
      <c r="D27" s="1041"/>
      <c r="E27" s="1042"/>
      <c r="F27" s="1019"/>
      <c r="G27" s="796">
        <v>0</v>
      </c>
      <c r="H27" s="796">
        <v>0</v>
      </c>
      <c r="I27" s="796">
        <v>0</v>
      </c>
      <c r="J27" s="796">
        <v>0</v>
      </c>
      <c r="K27" s="796">
        <v>0</v>
      </c>
      <c r="L27" s="796">
        <v>0</v>
      </c>
      <c r="M27" s="796">
        <v>0</v>
      </c>
      <c r="N27" s="796">
        <v>0</v>
      </c>
      <c r="O27" s="796">
        <v>0</v>
      </c>
      <c r="P27" s="796">
        <v>0</v>
      </c>
      <c r="Q27" s="796">
        <v>0</v>
      </c>
      <c r="R27" s="130">
        <f>SUM(G27:Q27)</f>
        <v>0</v>
      </c>
      <c r="S27" s="58"/>
    </row>
    <row r="28" spans="2:19" x14ac:dyDescent="0.2">
      <c r="B28" s="66"/>
      <c r="C28" s="68"/>
      <c r="D28" s="68"/>
      <c r="E28" s="68"/>
      <c r="F28" s="69"/>
      <c r="G28" s="133"/>
      <c r="H28" s="133"/>
      <c r="I28" s="133"/>
      <c r="J28" s="133"/>
      <c r="K28" s="133"/>
      <c r="L28" s="133"/>
      <c r="M28" s="133"/>
      <c r="N28" s="133"/>
      <c r="O28" s="133"/>
      <c r="P28" s="133"/>
      <c r="Q28" s="133"/>
      <c r="R28" s="130"/>
      <c r="S28" s="58"/>
    </row>
    <row r="29" spans="2:19" x14ac:dyDescent="0.2">
      <c r="B29" s="1040" t="s">
        <v>147</v>
      </c>
      <c r="C29" s="1041"/>
      <c r="D29" s="1041"/>
      <c r="E29" s="1042"/>
      <c r="F29" s="1019">
        <v>77</v>
      </c>
      <c r="G29" s="130"/>
      <c r="H29" s="130"/>
      <c r="I29" s="130"/>
      <c r="J29" s="130"/>
      <c r="K29" s="130"/>
      <c r="L29" s="130"/>
      <c r="M29" s="130"/>
      <c r="N29" s="130"/>
      <c r="O29" s="130"/>
      <c r="P29" s="130"/>
      <c r="Q29" s="130"/>
      <c r="R29" s="130"/>
      <c r="S29" s="44"/>
    </row>
    <row r="30" spans="2:19" x14ac:dyDescent="0.2">
      <c r="B30" s="1040"/>
      <c r="C30" s="1041"/>
      <c r="D30" s="1041"/>
      <c r="E30" s="1042"/>
      <c r="F30" s="1019"/>
      <c r="G30" s="796">
        <v>0</v>
      </c>
      <c r="H30" s="796">
        <v>0</v>
      </c>
      <c r="I30" s="796">
        <v>0</v>
      </c>
      <c r="J30" s="796">
        <v>0</v>
      </c>
      <c r="K30" s="796">
        <v>0</v>
      </c>
      <c r="L30" s="796">
        <v>0</v>
      </c>
      <c r="M30" s="796">
        <v>0</v>
      </c>
      <c r="N30" s="796">
        <v>0</v>
      </c>
      <c r="O30" s="796">
        <v>0</v>
      </c>
      <c r="P30" s="796">
        <v>0</v>
      </c>
      <c r="Q30" s="796">
        <v>0</v>
      </c>
      <c r="R30" s="130">
        <f>SUM(G30:Q30)</f>
        <v>0</v>
      </c>
      <c r="S30" s="58"/>
    </row>
    <row r="31" spans="2:19" x14ac:dyDescent="0.2">
      <c r="B31" s="66"/>
      <c r="C31" s="68"/>
      <c r="D31" s="68"/>
      <c r="E31" s="68"/>
      <c r="F31" s="69"/>
      <c r="G31" s="133"/>
      <c r="H31" s="133"/>
      <c r="I31" s="133"/>
      <c r="J31" s="133"/>
      <c r="K31" s="133"/>
      <c r="L31" s="133"/>
      <c r="M31" s="133"/>
      <c r="N31" s="133"/>
      <c r="O31" s="133"/>
      <c r="P31" s="133"/>
      <c r="Q31" s="133"/>
      <c r="R31" s="130"/>
      <c r="S31" s="44"/>
    </row>
    <row r="32" spans="2:19" x14ac:dyDescent="0.2">
      <c r="B32" s="64" t="s">
        <v>149</v>
      </c>
      <c r="C32" s="56"/>
      <c r="D32" s="65"/>
      <c r="E32" s="56"/>
      <c r="F32" s="57"/>
      <c r="G32" s="796">
        <v>0</v>
      </c>
      <c r="H32" s="796">
        <v>0</v>
      </c>
      <c r="I32" s="796">
        <v>0</v>
      </c>
      <c r="J32" s="796">
        <v>0</v>
      </c>
      <c r="K32" s="796">
        <v>0</v>
      </c>
      <c r="L32" s="796">
        <v>0</v>
      </c>
      <c r="M32" s="796">
        <v>0</v>
      </c>
      <c r="N32" s="796">
        <v>0</v>
      </c>
      <c r="O32" s="796">
        <v>0</v>
      </c>
      <c r="P32" s="796">
        <v>0</v>
      </c>
      <c r="Q32" s="796">
        <v>0</v>
      </c>
      <c r="R32" s="130">
        <f>SUM(G32:Q32)</f>
        <v>0</v>
      </c>
      <c r="S32" s="58"/>
    </row>
    <row r="33" spans="2:19" x14ac:dyDescent="0.2">
      <c r="B33" s="62"/>
      <c r="C33" s="60"/>
      <c r="D33" s="60"/>
      <c r="E33" s="60"/>
      <c r="F33" s="61"/>
      <c r="G33" s="134"/>
      <c r="H33" s="134"/>
      <c r="I33" s="134"/>
      <c r="J33" s="134"/>
      <c r="K33" s="134"/>
      <c r="L33" s="134"/>
      <c r="M33" s="134"/>
      <c r="N33" s="134"/>
      <c r="O33" s="134"/>
      <c r="P33" s="134"/>
      <c r="Q33" s="134"/>
      <c r="R33" s="134"/>
      <c r="S33" s="58"/>
    </row>
    <row r="34" spans="2:19" ht="15.75" x14ac:dyDescent="0.2">
      <c r="B34" s="70"/>
      <c r="C34" s="71"/>
      <c r="D34" s="71"/>
      <c r="E34" s="72"/>
      <c r="F34" s="73"/>
      <c r="G34" s="135"/>
      <c r="H34" s="135"/>
      <c r="I34" s="135"/>
      <c r="J34" s="135"/>
      <c r="K34" s="135"/>
      <c r="L34" s="135"/>
      <c r="M34" s="135"/>
      <c r="N34" s="135"/>
      <c r="O34" s="135"/>
      <c r="P34" s="135"/>
      <c r="Q34" s="135"/>
      <c r="R34" s="135"/>
      <c r="S34" s="58"/>
    </row>
    <row r="35" spans="2:19" ht="15" x14ac:dyDescent="0.2">
      <c r="B35" s="74"/>
      <c r="C35" s="75"/>
      <c r="D35" s="75"/>
      <c r="E35" s="76" t="s">
        <v>20</v>
      </c>
      <c r="F35" s="77"/>
      <c r="G35" s="136">
        <f>SUM(G12,G22,G27,G30,G32)</f>
        <v>0</v>
      </c>
      <c r="H35" s="136">
        <f t="shared" ref="H35:R35" si="2">SUM(H12,H22,H27,H30,H32)</f>
        <v>0</v>
      </c>
      <c r="I35" s="136">
        <f t="shared" si="2"/>
        <v>0</v>
      </c>
      <c r="J35" s="136">
        <f t="shared" si="2"/>
        <v>0</v>
      </c>
      <c r="K35" s="136">
        <f t="shared" si="2"/>
        <v>0</v>
      </c>
      <c r="L35" s="136">
        <f t="shared" si="2"/>
        <v>0</v>
      </c>
      <c r="M35" s="136">
        <f t="shared" si="2"/>
        <v>0</v>
      </c>
      <c r="N35" s="136">
        <f t="shared" si="2"/>
        <v>0</v>
      </c>
      <c r="O35" s="136">
        <f t="shared" si="2"/>
        <v>0</v>
      </c>
      <c r="P35" s="136">
        <f t="shared" si="2"/>
        <v>0</v>
      </c>
      <c r="Q35" s="136">
        <f t="shared" si="2"/>
        <v>0</v>
      </c>
      <c r="R35" s="136">
        <f t="shared" si="2"/>
        <v>0</v>
      </c>
      <c r="S35" s="58"/>
    </row>
    <row r="36" spans="2:19" ht="16.5" thickBot="1" x14ac:dyDescent="0.25">
      <c r="B36" s="78"/>
      <c r="C36" s="79"/>
      <c r="D36" s="79"/>
      <c r="E36" s="80"/>
      <c r="F36" s="81"/>
      <c r="G36" s="82"/>
      <c r="H36" s="82"/>
      <c r="I36" s="82"/>
      <c r="J36" s="82"/>
      <c r="K36" s="82"/>
      <c r="L36" s="82"/>
      <c r="M36" s="82"/>
      <c r="N36" s="82"/>
      <c r="O36" s="82"/>
      <c r="P36" s="82"/>
      <c r="Q36" s="82"/>
      <c r="R36" s="82"/>
      <c r="S36" s="44"/>
    </row>
    <row r="37" spans="2:19" ht="13.5" thickTop="1" x14ac:dyDescent="0.2">
      <c r="B37" s="83"/>
      <c r="C37" s="84"/>
      <c r="D37" s="84"/>
      <c r="E37" s="84"/>
      <c r="F37" s="85"/>
      <c r="G37" s="86"/>
      <c r="H37" s="86"/>
      <c r="I37" s="86"/>
      <c r="J37" s="86"/>
      <c r="K37" s="86"/>
      <c r="L37" s="86"/>
      <c r="M37" s="86"/>
      <c r="N37" s="86"/>
      <c r="O37" s="86"/>
      <c r="P37" s="86"/>
      <c r="Q37" s="86"/>
      <c r="R37" s="84"/>
      <c r="S37" s="44"/>
    </row>
    <row r="38" spans="2:19" ht="13.5" thickBot="1" x14ac:dyDescent="0.25">
      <c r="B38" s="83"/>
      <c r="C38" s="84"/>
      <c r="D38" s="84"/>
      <c r="E38" s="84"/>
      <c r="F38" s="85"/>
      <c r="G38" s="86"/>
      <c r="H38" s="86"/>
      <c r="I38" s="86"/>
      <c r="J38" s="86"/>
      <c r="K38" s="86"/>
      <c r="L38" s="86"/>
      <c r="M38" s="86"/>
      <c r="N38" s="86"/>
      <c r="O38" s="86"/>
      <c r="P38" s="86"/>
      <c r="Q38" s="86"/>
      <c r="R38" s="84"/>
      <c r="S38" s="44"/>
    </row>
    <row r="39" spans="2:19" ht="13.5" thickTop="1" x14ac:dyDescent="0.2">
      <c r="B39" s="1020" t="s">
        <v>47</v>
      </c>
      <c r="C39" s="1021"/>
      <c r="D39" s="1021"/>
      <c r="E39" s="1022"/>
      <c r="F39" s="1026" t="s">
        <v>3</v>
      </c>
      <c r="G39" s="1033" t="s">
        <v>55</v>
      </c>
      <c r="H39" s="1034"/>
      <c r="I39" s="1034"/>
      <c r="J39" s="1034"/>
      <c r="K39" s="1035"/>
      <c r="L39" s="1033" t="s">
        <v>56</v>
      </c>
      <c r="M39" s="1034"/>
      <c r="N39" s="1034"/>
      <c r="O39" s="1034"/>
      <c r="P39" s="1035"/>
      <c r="Q39" s="1047" t="s">
        <v>57</v>
      </c>
      <c r="R39" s="1047" t="s">
        <v>20</v>
      </c>
      <c r="S39" s="44"/>
    </row>
    <row r="40" spans="2:19" x14ac:dyDescent="0.2">
      <c r="B40" s="1023"/>
      <c r="C40" s="1024"/>
      <c r="D40" s="1024"/>
      <c r="E40" s="1025"/>
      <c r="F40" s="1027"/>
      <c r="G40" s="1036"/>
      <c r="H40" s="1037"/>
      <c r="I40" s="1037"/>
      <c r="J40" s="1037"/>
      <c r="K40" s="1038"/>
      <c r="L40" s="1036"/>
      <c r="M40" s="1037"/>
      <c r="N40" s="1037"/>
      <c r="O40" s="1037"/>
      <c r="P40" s="1038"/>
      <c r="Q40" s="1048"/>
      <c r="R40" s="1048"/>
      <c r="S40" s="44"/>
    </row>
    <row r="41" spans="2:19" ht="25.5" x14ac:dyDescent="0.2">
      <c r="B41" s="126"/>
      <c r="C41" s="127"/>
      <c r="D41" s="127"/>
      <c r="E41" s="127"/>
      <c r="F41" s="57"/>
      <c r="G41" s="1043" t="s">
        <v>79</v>
      </c>
      <c r="H41" s="1044"/>
      <c r="I41" s="1044"/>
      <c r="J41" s="1045"/>
      <c r="K41" s="49" t="s">
        <v>57</v>
      </c>
      <c r="L41" s="1043" t="s">
        <v>79</v>
      </c>
      <c r="M41" s="1044"/>
      <c r="N41" s="1044"/>
      <c r="O41" s="1046"/>
      <c r="P41" s="129" t="s">
        <v>57</v>
      </c>
      <c r="Q41" s="782"/>
      <c r="R41" s="782"/>
      <c r="S41" s="44"/>
    </row>
    <row r="42" spans="2:19" ht="31.5" customHeight="1" x14ac:dyDescent="0.2">
      <c r="B42" s="45"/>
      <c r="C42" s="46"/>
      <c r="D42" s="47"/>
      <c r="E42" s="47"/>
      <c r="F42" s="48"/>
      <c r="G42" s="49" t="s">
        <v>162</v>
      </c>
      <c r="H42" s="49" t="s">
        <v>163</v>
      </c>
      <c r="I42" s="49" t="s">
        <v>164</v>
      </c>
      <c r="J42" s="49" t="s">
        <v>78</v>
      </c>
      <c r="K42" s="49"/>
      <c r="L42" s="49" t="s">
        <v>162</v>
      </c>
      <c r="M42" s="49" t="s">
        <v>163</v>
      </c>
      <c r="N42" s="49" t="s">
        <v>164</v>
      </c>
      <c r="O42" s="49" t="s">
        <v>78</v>
      </c>
      <c r="P42" s="49"/>
      <c r="Q42" s="50"/>
      <c r="R42" s="50"/>
      <c r="S42" s="44"/>
    </row>
    <row r="43" spans="2:19" x14ac:dyDescent="0.2">
      <c r="B43" s="45"/>
      <c r="C43" s="46"/>
      <c r="D43" s="47"/>
      <c r="E43" s="47"/>
      <c r="F43" s="48"/>
      <c r="G43" s="51"/>
      <c r="H43" s="51"/>
      <c r="I43" s="51"/>
      <c r="J43" s="51"/>
      <c r="K43" s="51"/>
      <c r="L43" s="51"/>
      <c r="M43" s="51"/>
      <c r="N43" s="51"/>
      <c r="O43" s="51"/>
      <c r="P43" s="51"/>
      <c r="Q43" s="51"/>
      <c r="R43" s="51"/>
      <c r="S43" s="44"/>
    </row>
    <row r="44" spans="2:19" x14ac:dyDescent="0.2">
      <c r="B44" s="52"/>
      <c r="C44" s="53"/>
      <c r="D44" s="53"/>
      <c r="E44" s="53"/>
      <c r="F44" s="783"/>
      <c r="G44" s="54"/>
      <c r="H44" s="54"/>
      <c r="I44" s="54"/>
      <c r="J44" s="54"/>
      <c r="K44" s="54"/>
      <c r="L44" s="54"/>
      <c r="M44" s="54"/>
      <c r="N44" s="54"/>
      <c r="O44" s="54"/>
      <c r="P44" s="54"/>
      <c r="Q44" s="54"/>
      <c r="R44" s="54"/>
      <c r="S44" s="44"/>
    </row>
    <row r="45" spans="2:19" x14ac:dyDescent="0.2">
      <c r="B45" s="55" t="s">
        <v>150</v>
      </c>
      <c r="C45" s="56"/>
      <c r="D45" s="56"/>
      <c r="E45" s="56"/>
      <c r="F45" s="57" t="s">
        <v>451</v>
      </c>
      <c r="G45" s="130">
        <f>SUM(G47,G48,G49,G51,G54,G56,G57,G59,G60)</f>
        <v>0</v>
      </c>
      <c r="H45" s="130">
        <f t="shared" ref="H45:R45" si="3">SUM(H47,H48,H49,H51,H54,H56,H57,H59,H60)</f>
        <v>0</v>
      </c>
      <c r="I45" s="130">
        <f t="shared" si="3"/>
        <v>0</v>
      </c>
      <c r="J45" s="130">
        <f t="shared" si="3"/>
        <v>0</v>
      </c>
      <c r="K45" s="130">
        <f t="shared" si="3"/>
        <v>0</v>
      </c>
      <c r="L45" s="130">
        <f t="shared" si="3"/>
        <v>0</v>
      </c>
      <c r="M45" s="130">
        <f t="shared" si="3"/>
        <v>0</v>
      </c>
      <c r="N45" s="130">
        <f t="shared" si="3"/>
        <v>0</v>
      </c>
      <c r="O45" s="130">
        <f t="shared" si="3"/>
        <v>0</v>
      </c>
      <c r="P45" s="130">
        <f t="shared" si="3"/>
        <v>0</v>
      </c>
      <c r="Q45" s="130">
        <f t="shared" si="3"/>
        <v>0</v>
      </c>
      <c r="R45" s="130">
        <f t="shared" si="3"/>
        <v>0</v>
      </c>
      <c r="S45" s="44"/>
    </row>
    <row r="46" spans="2:19" x14ac:dyDescent="0.2">
      <c r="B46" s="59"/>
      <c r="C46" s="60"/>
      <c r="D46" s="60"/>
      <c r="E46" s="60"/>
      <c r="F46" s="61"/>
      <c r="G46" s="131"/>
      <c r="H46" s="131"/>
      <c r="I46" s="131"/>
      <c r="J46" s="131"/>
      <c r="K46" s="131"/>
      <c r="L46" s="131"/>
      <c r="M46" s="131"/>
      <c r="N46" s="131"/>
      <c r="O46" s="131"/>
      <c r="P46" s="131"/>
      <c r="Q46" s="131"/>
      <c r="R46" s="131"/>
      <c r="S46" s="44"/>
    </row>
    <row r="47" spans="2:19" x14ac:dyDescent="0.2">
      <c r="B47" s="62"/>
      <c r="C47" s="60" t="s">
        <v>48</v>
      </c>
      <c r="D47" s="60"/>
      <c r="E47" s="60"/>
      <c r="F47" s="61">
        <v>60</v>
      </c>
      <c r="G47" s="795">
        <v>0</v>
      </c>
      <c r="H47" s="795">
        <v>0</v>
      </c>
      <c r="I47" s="795">
        <v>0</v>
      </c>
      <c r="J47" s="795">
        <v>0</v>
      </c>
      <c r="K47" s="795">
        <v>0</v>
      </c>
      <c r="L47" s="795">
        <v>0</v>
      </c>
      <c r="M47" s="795">
        <v>0</v>
      </c>
      <c r="N47" s="795">
        <v>0</v>
      </c>
      <c r="O47" s="795">
        <v>0</v>
      </c>
      <c r="P47" s="795">
        <v>0</v>
      </c>
      <c r="Q47" s="795">
        <v>0</v>
      </c>
      <c r="R47" s="131">
        <f>SUM(G47:Q47)</f>
        <v>0</v>
      </c>
      <c r="S47" s="44"/>
    </row>
    <row r="48" spans="2:19" x14ac:dyDescent="0.2">
      <c r="B48" s="62"/>
      <c r="C48" s="63" t="s">
        <v>49</v>
      </c>
      <c r="D48" s="60"/>
      <c r="E48" s="60"/>
      <c r="F48" s="61">
        <v>61</v>
      </c>
      <c r="G48" s="795">
        <v>0</v>
      </c>
      <c r="H48" s="795">
        <v>0</v>
      </c>
      <c r="I48" s="795">
        <v>0</v>
      </c>
      <c r="J48" s="795">
        <v>0</v>
      </c>
      <c r="K48" s="795">
        <v>0</v>
      </c>
      <c r="L48" s="795">
        <v>0</v>
      </c>
      <c r="M48" s="795">
        <v>0</v>
      </c>
      <c r="N48" s="795">
        <v>0</v>
      </c>
      <c r="O48" s="795">
        <v>0</v>
      </c>
      <c r="P48" s="795">
        <v>0</v>
      </c>
      <c r="Q48" s="795">
        <v>0</v>
      </c>
      <c r="R48" s="131">
        <f>SUM(G48:Q48)</f>
        <v>0</v>
      </c>
      <c r="S48" s="44"/>
    </row>
    <row r="49" spans="2:19" x14ac:dyDescent="0.2">
      <c r="B49" s="62"/>
      <c r="C49" s="60" t="s">
        <v>50</v>
      </c>
      <c r="D49" s="60"/>
      <c r="E49" s="60"/>
      <c r="F49" s="61">
        <v>62</v>
      </c>
      <c r="G49" s="795">
        <v>0</v>
      </c>
      <c r="H49" s="795">
        <v>0</v>
      </c>
      <c r="I49" s="795">
        <v>0</v>
      </c>
      <c r="J49" s="795">
        <v>0</v>
      </c>
      <c r="K49" s="795">
        <v>0</v>
      </c>
      <c r="L49" s="795">
        <v>0</v>
      </c>
      <c r="M49" s="795">
        <v>0</v>
      </c>
      <c r="N49" s="795">
        <v>0</v>
      </c>
      <c r="O49" s="795">
        <v>0</v>
      </c>
      <c r="P49" s="795">
        <v>0</v>
      </c>
      <c r="Q49" s="795">
        <v>0</v>
      </c>
      <c r="R49" s="131">
        <f>SUM(G49:Q49)</f>
        <v>0</v>
      </c>
      <c r="S49" s="44"/>
    </row>
    <row r="50" spans="2:19" x14ac:dyDescent="0.2">
      <c r="B50" s="62"/>
      <c r="C50" s="1013" t="s">
        <v>151</v>
      </c>
      <c r="D50" s="1013"/>
      <c r="E50" s="1014"/>
      <c r="F50" s="1015">
        <v>630</v>
      </c>
      <c r="G50" s="131"/>
      <c r="H50" s="131"/>
      <c r="I50" s="131"/>
      <c r="J50" s="131"/>
      <c r="K50" s="131"/>
      <c r="L50" s="131"/>
      <c r="M50" s="131"/>
      <c r="N50" s="131"/>
      <c r="O50" s="131"/>
      <c r="P50" s="131"/>
      <c r="Q50" s="131"/>
      <c r="R50" s="131"/>
      <c r="S50" s="44"/>
    </row>
    <row r="51" spans="2:19" x14ac:dyDescent="0.2">
      <c r="B51" s="62"/>
      <c r="C51" s="1013"/>
      <c r="D51" s="1013"/>
      <c r="E51" s="1014"/>
      <c r="F51" s="1015"/>
      <c r="G51" s="795">
        <v>0</v>
      </c>
      <c r="H51" s="795">
        <v>0</v>
      </c>
      <c r="I51" s="795">
        <v>0</v>
      </c>
      <c r="J51" s="795">
        <v>0</v>
      </c>
      <c r="K51" s="795">
        <v>0</v>
      </c>
      <c r="L51" s="795">
        <v>0</v>
      </c>
      <c r="M51" s="795">
        <v>0</v>
      </c>
      <c r="N51" s="795">
        <v>0</v>
      </c>
      <c r="O51" s="795">
        <v>0</v>
      </c>
      <c r="P51" s="795">
        <v>0</v>
      </c>
      <c r="Q51" s="795">
        <v>0</v>
      </c>
      <c r="R51" s="131">
        <f>SUM(G51:Q51)</f>
        <v>0</v>
      </c>
      <c r="S51" s="44"/>
    </row>
    <row r="52" spans="2:19" x14ac:dyDescent="0.2">
      <c r="B52" s="62"/>
      <c r="C52" s="1013" t="s">
        <v>152</v>
      </c>
      <c r="D52" s="1013"/>
      <c r="E52" s="1014"/>
      <c r="F52" s="1015" t="s">
        <v>51</v>
      </c>
      <c r="G52" s="131"/>
      <c r="H52" s="131"/>
      <c r="I52" s="131"/>
      <c r="J52" s="131"/>
      <c r="K52" s="131"/>
      <c r="L52" s="131"/>
      <c r="M52" s="131"/>
      <c r="N52" s="131"/>
      <c r="O52" s="131"/>
      <c r="P52" s="131"/>
      <c r="Q52" s="131"/>
      <c r="R52" s="131"/>
      <c r="S52" s="44"/>
    </row>
    <row r="53" spans="2:19" x14ac:dyDescent="0.2">
      <c r="B53" s="62"/>
      <c r="C53" s="1013"/>
      <c r="D53" s="1013"/>
      <c r="E53" s="1014"/>
      <c r="F53" s="1015"/>
      <c r="G53" s="131"/>
      <c r="H53" s="131"/>
      <c r="I53" s="131"/>
      <c r="J53" s="131"/>
      <c r="K53" s="131"/>
      <c r="L53" s="131"/>
      <c r="M53" s="131"/>
      <c r="N53" s="131"/>
      <c r="O53" s="131"/>
      <c r="P53" s="131"/>
      <c r="Q53" s="131"/>
      <c r="R53" s="131"/>
      <c r="S53" s="44"/>
    </row>
    <row r="54" spans="2:19" ht="15" customHeight="1" x14ac:dyDescent="0.2">
      <c r="B54" s="62"/>
      <c r="C54" s="1013"/>
      <c r="D54" s="1013"/>
      <c r="E54" s="1014"/>
      <c r="F54" s="1015"/>
      <c r="G54" s="795">
        <v>0</v>
      </c>
      <c r="H54" s="795">
        <v>0</v>
      </c>
      <c r="I54" s="795">
        <v>0</v>
      </c>
      <c r="J54" s="795">
        <v>0</v>
      </c>
      <c r="K54" s="795">
        <v>0</v>
      </c>
      <c r="L54" s="795">
        <v>0</v>
      </c>
      <c r="M54" s="795">
        <v>0</v>
      </c>
      <c r="N54" s="795">
        <v>0</v>
      </c>
      <c r="O54" s="795">
        <v>0</v>
      </c>
      <c r="P54" s="795">
        <v>0</v>
      </c>
      <c r="Q54" s="795">
        <v>0</v>
      </c>
      <c r="R54" s="131">
        <f>SUM(G54:Q54)</f>
        <v>0</v>
      </c>
      <c r="S54" s="44"/>
    </row>
    <row r="55" spans="2:19" x14ac:dyDescent="0.2">
      <c r="B55" s="62"/>
      <c r="C55" s="1013" t="s">
        <v>153</v>
      </c>
      <c r="D55" s="1013"/>
      <c r="E55" s="1014"/>
      <c r="F55" s="1015" t="s">
        <v>400</v>
      </c>
      <c r="G55" s="131"/>
      <c r="H55" s="131"/>
      <c r="I55" s="131"/>
      <c r="J55" s="131"/>
      <c r="K55" s="131"/>
      <c r="L55" s="131"/>
      <c r="M55" s="131"/>
      <c r="N55" s="131"/>
      <c r="O55" s="131"/>
      <c r="P55" s="131"/>
      <c r="Q55" s="131"/>
      <c r="R55" s="131"/>
      <c r="S55" s="44"/>
    </row>
    <row r="56" spans="2:19" ht="16.5" customHeight="1" x14ac:dyDescent="0.2">
      <c r="B56" s="62"/>
      <c r="C56" s="1013"/>
      <c r="D56" s="1013"/>
      <c r="E56" s="1014"/>
      <c r="F56" s="1015"/>
      <c r="G56" s="795">
        <v>0</v>
      </c>
      <c r="H56" s="795">
        <v>0</v>
      </c>
      <c r="I56" s="795">
        <v>0</v>
      </c>
      <c r="J56" s="795">
        <v>0</v>
      </c>
      <c r="K56" s="795">
        <v>0</v>
      </c>
      <c r="L56" s="795">
        <v>0</v>
      </c>
      <c r="M56" s="795">
        <v>0</v>
      </c>
      <c r="N56" s="795">
        <v>0</v>
      </c>
      <c r="O56" s="795">
        <v>0</v>
      </c>
      <c r="P56" s="795">
        <v>0</v>
      </c>
      <c r="Q56" s="795">
        <v>0</v>
      </c>
      <c r="R56" s="131">
        <f>SUM(G56:Q56)</f>
        <v>0</v>
      </c>
      <c r="S56" s="44"/>
    </row>
    <row r="57" spans="2:19" x14ac:dyDescent="0.2">
      <c r="B57" s="62"/>
      <c r="C57" s="60" t="s">
        <v>52</v>
      </c>
      <c r="D57" s="60"/>
      <c r="E57" s="60"/>
      <c r="F57" s="61" t="s">
        <v>53</v>
      </c>
      <c r="G57" s="795">
        <v>0</v>
      </c>
      <c r="H57" s="795">
        <v>0</v>
      </c>
      <c r="I57" s="795">
        <v>0</v>
      </c>
      <c r="J57" s="795">
        <v>0</v>
      </c>
      <c r="K57" s="795">
        <v>0</v>
      </c>
      <c r="L57" s="795">
        <v>0</v>
      </c>
      <c r="M57" s="795">
        <v>0</v>
      </c>
      <c r="N57" s="795">
        <v>0</v>
      </c>
      <c r="O57" s="795">
        <v>0</v>
      </c>
      <c r="P57" s="795">
        <v>0</v>
      </c>
      <c r="Q57" s="795">
        <v>0</v>
      </c>
      <c r="R57" s="131">
        <f>SUM(G57:Q57)</f>
        <v>0</v>
      </c>
      <c r="S57" s="44"/>
    </row>
    <row r="58" spans="2:19" ht="12.6" customHeight="1" x14ac:dyDescent="0.2">
      <c r="B58" s="62"/>
      <c r="C58" s="1013" t="s">
        <v>398</v>
      </c>
      <c r="D58" s="1013"/>
      <c r="E58" s="1014"/>
      <c r="F58" s="1015">
        <v>649</v>
      </c>
      <c r="G58" s="131"/>
      <c r="H58" s="131"/>
      <c r="I58" s="131"/>
      <c r="J58" s="131"/>
      <c r="K58" s="131"/>
      <c r="L58" s="131"/>
      <c r="M58" s="131"/>
      <c r="N58" s="131"/>
      <c r="O58" s="131"/>
      <c r="P58" s="131"/>
      <c r="Q58" s="131"/>
      <c r="R58" s="131"/>
      <c r="S58" s="44"/>
    </row>
    <row r="59" spans="2:19" x14ac:dyDescent="0.2">
      <c r="B59" s="62"/>
      <c r="C59" s="1013"/>
      <c r="D59" s="1013"/>
      <c r="E59" s="1014"/>
      <c r="F59" s="1015"/>
      <c r="G59" s="795">
        <v>0</v>
      </c>
      <c r="H59" s="795">
        <v>0</v>
      </c>
      <c r="I59" s="795">
        <v>0</v>
      </c>
      <c r="J59" s="795">
        <v>0</v>
      </c>
      <c r="K59" s="795">
        <v>0</v>
      </c>
      <c r="L59" s="795">
        <v>0</v>
      </c>
      <c r="M59" s="795">
        <v>0</v>
      </c>
      <c r="N59" s="795">
        <v>0</v>
      </c>
      <c r="O59" s="795">
        <v>0</v>
      </c>
      <c r="P59" s="795">
        <v>0</v>
      </c>
      <c r="Q59" s="795">
        <v>0</v>
      </c>
      <c r="R59" s="131">
        <f>SUM(G59:Q59)</f>
        <v>0</v>
      </c>
      <c r="S59" s="44"/>
    </row>
    <row r="60" spans="2:19" s="937" customFormat="1" x14ac:dyDescent="0.2">
      <c r="B60" s="938"/>
      <c r="C60" s="939" t="s">
        <v>445</v>
      </c>
      <c r="D60" s="939"/>
      <c r="E60" s="939"/>
      <c r="F60" s="941" t="s">
        <v>446</v>
      </c>
      <c r="G60" s="942">
        <v>0</v>
      </c>
      <c r="H60" s="942">
        <v>0</v>
      </c>
      <c r="I60" s="942">
        <v>0</v>
      </c>
      <c r="J60" s="942">
        <v>0</v>
      </c>
      <c r="K60" s="942">
        <v>0</v>
      </c>
      <c r="L60" s="942">
        <v>0</v>
      </c>
      <c r="M60" s="942">
        <v>0</v>
      </c>
      <c r="N60" s="942">
        <v>0</v>
      </c>
      <c r="O60" s="942">
        <v>0</v>
      </c>
      <c r="P60" s="942">
        <v>0</v>
      </c>
      <c r="Q60" s="942">
        <v>0</v>
      </c>
      <c r="R60" s="943">
        <f>SUM(G60:Q60)</f>
        <v>0</v>
      </c>
      <c r="S60" s="944"/>
    </row>
    <row r="61" spans="2:19" x14ac:dyDescent="0.2">
      <c r="B61" s="62"/>
      <c r="C61" s="63"/>
      <c r="D61" s="60"/>
      <c r="E61" s="60"/>
      <c r="F61" s="61"/>
      <c r="G61" s="131"/>
      <c r="H61" s="131"/>
      <c r="I61" s="131"/>
      <c r="J61" s="131"/>
      <c r="K61" s="131"/>
      <c r="L61" s="131"/>
      <c r="M61" s="131"/>
      <c r="N61" s="131"/>
      <c r="O61" s="131"/>
      <c r="P61" s="131"/>
      <c r="Q61" s="131"/>
      <c r="R61" s="131"/>
      <c r="S61" s="44"/>
    </row>
    <row r="62" spans="2:19" x14ac:dyDescent="0.2">
      <c r="B62" s="64" t="s">
        <v>154</v>
      </c>
      <c r="C62" s="65"/>
      <c r="D62" s="56"/>
      <c r="E62" s="56"/>
      <c r="F62" s="57" t="s">
        <v>450</v>
      </c>
      <c r="G62" s="945">
        <f>SUM(G63:G64)</f>
        <v>0</v>
      </c>
      <c r="H62" s="945">
        <f t="shared" ref="H62:R62" si="4">SUM(H63:H64)</f>
        <v>0</v>
      </c>
      <c r="I62" s="945">
        <f t="shared" si="4"/>
        <v>0</v>
      </c>
      <c r="J62" s="945">
        <f t="shared" si="4"/>
        <v>0</v>
      </c>
      <c r="K62" s="945">
        <f t="shared" si="4"/>
        <v>0</v>
      </c>
      <c r="L62" s="945">
        <f t="shared" si="4"/>
        <v>0</v>
      </c>
      <c r="M62" s="945">
        <f t="shared" si="4"/>
        <v>0</v>
      </c>
      <c r="N62" s="945">
        <f t="shared" si="4"/>
        <v>0</v>
      </c>
      <c r="O62" s="945">
        <f t="shared" si="4"/>
        <v>0</v>
      </c>
      <c r="P62" s="945">
        <f t="shared" si="4"/>
        <v>0</v>
      </c>
      <c r="Q62" s="945">
        <f t="shared" si="4"/>
        <v>0</v>
      </c>
      <c r="R62" s="130">
        <f t="shared" si="4"/>
        <v>0</v>
      </c>
      <c r="S62" s="44"/>
    </row>
    <row r="63" spans="2:19" s="937" customFormat="1" ht="14.1" customHeight="1" x14ac:dyDescent="0.2">
      <c r="B63" s="938"/>
      <c r="C63" s="939" t="s">
        <v>447</v>
      </c>
      <c r="D63" s="939"/>
      <c r="E63" s="939"/>
      <c r="F63" s="941">
        <v>65</v>
      </c>
      <c r="G63" s="942">
        <v>0</v>
      </c>
      <c r="H63" s="942">
        <v>0</v>
      </c>
      <c r="I63" s="942">
        <v>0</v>
      </c>
      <c r="J63" s="942">
        <v>0</v>
      </c>
      <c r="K63" s="942">
        <v>0</v>
      </c>
      <c r="L63" s="942">
        <v>0</v>
      </c>
      <c r="M63" s="942">
        <v>0</v>
      </c>
      <c r="N63" s="942">
        <v>0</v>
      </c>
      <c r="O63" s="942">
        <v>0</v>
      </c>
      <c r="P63" s="942">
        <v>0</v>
      </c>
      <c r="Q63" s="942">
        <v>0</v>
      </c>
      <c r="R63" s="943">
        <f>SUM(G63:Q63)</f>
        <v>0</v>
      </c>
      <c r="S63" s="944"/>
    </row>
    <row r="64" spans="2:19" s="937" customFormat="1" ht="14.1" customHeight="1" x14ac:dyDescent="0.2">
      <c r="B64" s="938"/>
      <c r="C64" s="939" t="s">
        <v>448</v>
      </c>
      <c r="D64" s="939"/>
      <c r="E64" s="939"/>
      <c r="F64" s="941" t="s">
        <v>449</v>
      </c>
      <c r="G64" s="942">
        <v>0</v>
      </c>
      <c r="H64" s="942">
        <v>0</v>
      </c>
      <c r="I64" s="942">
        <v>0</v>
      </c>
      <c r="J64" s="942">
        <v>0</v>
      </c>
      <c r="K64" s="942">
        <v>0</v>
      </c>
      <c r="L64" s="942">
        <v>0</v>
      </c>
      <c r="M64" s="942">
        <v>0</v>
      </c>
      <c r="N64" s="942">
        <v>0</v>
      </c>
      <c r="O64" s="942">
        <v>0</v>
      </c>
      <c r="P64" s="942">
        <v>0</v>
      </c>
      <c r="Q64" s="942">
        <v>0</v>
      </c>
      <c r="R64" s="943">
        <f>SUM(G64:Q64)</f>
        <v>0</v>
      </c>
      <c r="S64" s="944"/>
    </row>
    <row r="65" spans="2:19" x14ac:dyDescent="0.2">
      <c r="B65" s="66"/>
      <c r="C65" s="67"/>
      <c r="D65" s="68"/>
      <c r="E65" s="68"/>
      <c r="F65" s="69"/>
      <c r="G65" s="133"/>
      <c r="H65" s="133"/>
      <c r="I65" s="133"/>
      <c r="J65" s="133"/>
      <c r="K65" s="133"/>
      <c r="L65" s="133"/>
      <c r="M65" s="133"/>
      <c r="N65" s="133"/>
      <c r="O65" s="133"/>
      <c r="P65" s="133"/>
      <c r="Q65" s="133"/>
      <c r="R65" s="130"/>
      <c r="S65" s="44"/>
    </row>
    <row r="66" spans="2:19" x14ac:dyDescent="0.2">
      <c r="B66" s="1016" t="s">
        <v>155</v>
      </c>
      <c r="C66" s="1017"/>
      <c r="D66" s="1017"/>
      <c r="E66" s="1018"/>
      <c r="F66" s="1019">
        <v>680</v>
      </c>
      <c r="G66" s="130"/>
      <c r="H66" s="130"/>
      <c r="I66" s="130"/>
      <c r="J66" s="130"/>
      <c r="K66" s="130"/>
      <c r="L66" s="130"/>
      <c r="M66" s="130"/>
      <c r="N66" s="130"/>
      <c r="O66" s="130"/>
      <c r="P66" s="130"/>
      <c r="Q66" s="130"/>
      <c r="R66" s="130"/>
      <c r="S66" s="44"/>
    </row>
    <row r="67" spans="2:19" x14ac:dyDescent="0.2">
      <c r="B67" s="1016"/>
      <c r="C67" s="1017"/>
      <c r="D67" s="1017"/>
      <c r="E67" s="1018"/>
      <c r="F67" s="1019"/>
      <c r="G67" s="796">
        <v>0</v>
      </c>
      <c r="H67" s="796">
        <v>0</v>
      </c>
      <c r="I67" s="796">
        <v>0</v>
      </c>
      <c r="J67" s="796">
        <v>0</v>
      </c>
      <c r="K67" s="796">
        <v>0</v>
      </c>
      <c r="L67" s="796">
        <v>0</v>
      </c>
      <c r="M67" s="796">
        <v>0</v>
      </c>
      <c r="N67" s="796">
        <v>0</v>
      </c>
      <c r="O67" s="796">
        <v>0</v>
      </c>
      <c r="P67" s="796">
        <v>0</v>
      </c>
      <c r="Q67" s="796">
        <v>0</v>
      </c>
      <c r="R67" s="130">
        <f>SUM(G67:Q67)</f>
        <v>0</v>
      </c>
      <c r="S67" s="44"/>
    </row>
    <row r="68" spans="2:19" x14ac:dyDescent="0.2">
      <c r="B68" s="66"/>
      <c r="C68" s="68"/>
      <c r="D68" s="68"/>
      <c r="E68" s="68"/>
      <c r="F68" s="69"/>
      <c r="G68" s="133"/>
      <c r="H68" s="133"/>
      <c r="I68" s="133"/>
      <c r="J68" s="133"/>
      <c r="K68" s="133"/>
      <c r="L68" s="133"/>
      <c r="M68" s="133"/>
      <c r="N68" s="133"/>
      <c r="O68" s="133"/>
      <c r="P68" s="133"/>
      <c r="Q68" s="133"/>
      <c r="R68" s="133"/>
      <c r="S68" s="44"/>
    </row>
    <row r="69" spans="2:19" x14ac:dyDescent="0.2">
      <c r="B69" s="64" t="s">
        <v>156</v>
      </c>
      <c r="C69" s="56"/>
      <c r="D69" s="56"/>
      <c r="E69" s="56"/>
      <c r="F69" s="57" t="s">
        <v>54</v>
      </c>
      <c r="G69" s="796">
        <v>0</v>
      </c>
      <c r="H69" s="796">
        <v>0</v>
      </c>
      <c r="I69" s="796">
        <v>0</v>
      </c>
      <c r="J69" s="796">
        <v>0</v>
      </c>
      <c r="K69" s="796">
        <v>0</v>
      </c>
      <c r="L69" s="796">
        <v>0</v>
      </c>
      <c r="M69" s="796">
        <v>0</v>
      </c>
      <c r="N69" s="796">
        <v>0</v>
      </c>
      <c r="O69" s="796">
        <v>0</v>
      </c>
      <c r="P69" s="796">
        <v>0</v>
      </c>
      <c r="Q69" s="796">
        <v>0</v>
      </c>
      <c r="R69" s="130">
        <f>SUM(G69:Q69)</f>
        <v>0</v>
      </c>
      <c r="S69" s="44"/>
    </row>
    <row r="70" spans="2:19" x14ac:dyDescent="0.2">
      <c r="B70" s="66"/>
      <c r="C70" s="68"/>
      <c r="D70" s="68"/>
      <c r="E70" s="68"/>
      <c r="F70" s="69"/>
      <c r="G70" s="133"/>
      <c r="H70" s="133"/>
      <c r="I70" s="133"/>
      <c r="J70" s="133"/>
      <c r="K70" s="133"/>
      <c r="L70" s="133"/>
      <c r="M70" s="133"/>
      <c r="N70" s="133"/>
      <c r="O70" s="133"/>
      <c r="P70" s="133"/>
      <c r="Q70" s="133"/>
      <c r="R70" s="133"/>
      <c r="S70" s="44"/>
    </row>
    <row r="71" spans="2:19" x14ac:dyDescent="0.2">
      <c r="B71" s="64" t="s">
        <v>157</v>
      </c>
      <c r="C71" s="56"/>
      <c r="D71" s="65"/>
      <c r="E71" s="56"/>
      <c r="F71" s="57"/>
      <c r="G71" s="796">
        <v>0</v>
      </c>
      <c r="H71" s="796">
        <v>0</v>
      </c>
      <c r="I71" s="796">
        <v>0</v>
      </c>
      <c r="J71" s="796">
        <v>0</v>
      </c>
      <c r="K71" s="796">
        <v>0</v>
      </c>
      <c r="L71" s="796">
        <v>0</v>
      </c>
      <c r="M71" s="796">
        <v>0</v>
      </c>
      <c r="N71" s="796">
        <v>0</v>
      </c>
      <c r="O71" s="796">
        <v>0</v>
      </c>
      <c r="P71" s="796">
        <v>0</v>
      </c>
      <c r="Q71" s="796">
        <v>0</v>
      </c>
      <c r="R71" s="130">
        <f>SUM(G71:Q71)</f>
        <v>0</v>
      </c>
      <c r="S71" s="44"/>
    </row>
    <row r="72" spans="2:19" x14ac:dyDescent="0.2">
      <c r="B72" s="62"/>
      <c r="C72" s="60"/>
      <c r="D72" s="60"/>
      <c r="E72" s="60"/>
      <c r="F72" s="61"/>
      <c r="G72" s="131"/>
      <c r="H72" s="131"/>
      <c r="I72" s="131"/>
      <c r="J72" s="131"/>
      <c r="K72" s="131"/>
      <c r="L72" s="131"/>
      <c r="M72" s="131"/>
      <c r="N72" s="131"/>
      <c r="O72" s="131"/>
      <c r="P72" s="131"/>
      <c r="Q72" s="131"/>
      <c r="R72" s="131"/>
      <c r="S72" s="44"/>
    </row>
    <row r="73" spans="2:19" ht="15.75" x14ac:dyDescent="0.2">
      <c r="B73" s="70"/>
      <c r="C73" s="71"/>
      <c r="D73" s="71"/>
      <c r="E73" s="72"/>
      <c r="F73" s="73"/>
      <c r="G73" s="135"/>
      <c r="H73" s="135"/>
      <c r="I73" s="135"/>
      <c r="J73" s="135"/>
      <c r="K73" s="135"/>
      <c r="L73" s="135"/>
      <c r="M73" s="135"/>
      <c r="N73" s="135"/>
      <c r="O73" s="135"/>
      <c r="P73" s="135"/>
      <c r="Q73" s="135"/>
      <c r="R73" s="135"/>
      <c r="S73" s="44"/>
    </row>
    <row r="74" spans="2:19" ht="15" x14ac:dyDescent="0.2">
      <c r="B74" s="74"/>
      <c r="C74" s="75"/>
      <c r="D74" s="75"/>
      <c r="E74" s="76" t="s">
        <v>20</v>
      </c>
      <c r="F74" s="77"/>
      <c r="G74" s="136">
        <f>SUM(G45,G62,G67,G69,G71)</f>
        <v>0</v>
      </c>
      <c r="H74" s="136">
        <f t="shared" ref="H74:R74" si="5">SUM(H45,H62,H67,H69,H71)</f>
        <v>0</v>
      </c>
      <c r="I74" s="136">
        <f t="shared" si="5"/>
        <v>0</v>
      </c>
      <c r="J74" s="136">
        <f t="shared" si="5"/>
        <v>0</v>
      </c>
      <c r="K74" s="136">
        <f t="shared" si="5"/>
        <v>0</v>
      </c>
      <c r="L74" s="136">
        <f t="shared" si="5"/>
        <v>0</v>
      </c>
      <c r="M74" s="136">
        <f t="shared" si="5"/>
        <v>0</v>
      </c>
      <c r="N74" s="136">
        <f t="shared" si="5"/>
        <v>0</v>
      </c>
      <c r="O74" s="136">
        <f t="shared" si="5"/>
        <v>0</v>
      </c>
      <c r="P74" s="136">
        <f t="shared" si="5"/>
        <v>0</v>
      </c>
      <c r="Q74" s="136">
        <f t="shared" si="5"/>
        <v>0</v>
      </c>
      <c r="R74" s="136">
        <f t="shared" si="5"/>
        <v>0</v>
      </c>
      <c r="S74" s="44"/>
    </row>
    <row r="75" spans="2:19" ht="16.5" thickBot="1" x14ac:dyDescent="0.25">
      <c r="B75" s="78"/>
      <c r="C75" s="79"/>
      <c r="D75" s="79"/>
      <c r="E75" s="80"/>
      <c r="F75" s="81"/>
      <c r="G75" s="82"/>
      <c r="H75" s="82"/>
      <c r="I75" s="82"/>
      <c r="J75" s="82"/>
      <c r="K75" s="82"/>
      <c r="L75" s="82"/>
      <c r="M75" s="82"/>
      <c r="N75" s="82"/>
      <c r="O75" s="82"/>
      <c r="P75" s="82"/>
      <c r="Q75" s="82"/>
      <c r="R75" s="82"/>
      <c r="S75" s="58"/>
    </row>
    <row r="76" spans="2:19" ht="13.5" thickTop="1" x14ac:dyDescent="0.2">
      <c r="B76" s="87"/>
      <c r="C76" s="87"/>
      <c r="D76" s="87"/>
      <c r="E76" s="87"/>
      <c r="F76" s="88"/>
      <c r="G76" s="89"/>
      <c r="H76" s="89"/>
      <c r="I76" s="89"/>
      <c r="J76" s="89"/>
      <c r="K76" s="89"/>
      <c r="L76" s="89"/>
      <c r="M76" s="89"/>
      <c r="N76" s="89"/>
      <c r="O76" s="89"/>
      <c r="P76" s="89"/>
      <c r="Q76" s="89"/>
      <c r="R76" s="89"/>
      <c r="S76" s="58"/>
    </row>
    <row r="77" spans="2:19" x14ac:dyDescent="0.2">
      <c r="B77" s="87"/>
      <c r="C77" s="87"/>
      <c r="D77" s="87"/>
      <c r="E77" s="87" t="s">
        <v>58</v>
      </c>
      <c r="F77" s="88"/>
      <c r="G77" s="89">
        <f>SUM(G12,G22,G27,G30)</f>
        <v>0</v>
      </c>
      <c r="H77" s="89">
        <f t="shared" ref="H77:R77" si="6">SUM(H12,H22,H27,H30)</f>
        <v>0</v>
      </c>
      <c r="I77" s="89">
        <f t="shared" si="6"/>
        <v>0</v>
      </c>
      <c r="J77" s="89">
        <f t="shared" si="6"/>
        <v>0</v>
      </c>
      <c r="K77" s="89">
        <f t="shared" si="6"/>
        <v>0</v>
      </c>
      <c r="L77" s="89">
        <f t="shared" si="6"/>
        <v>0</v>
      </c>
      <c r="M77" s="89">
        <f t="shared" si="6"/>
        <v>0</v>
      </c>
      <c r="N77" s="89">
        <f t="shared" si="6"/>
        <v>0</v>
      </c>
      <c r="O77" s="89">
        <f t="shared" si="6"/>
        <v>0</v>
      </c>
      <c r="P77" s="89">
        <f t="shared" si="6"/>
        <v>0</v>
      </c>
      <c r="Q77" s="89">
        <f t="shared" si="6"/>
        <v>0</v>
      </c>
      <c r="R77" s="137">
        <f t="shared" si="6"/>
        <v>0</v>
      </c>
      <c r="S77" s="58"/>
    </row>
    <row r="78" spans="2:19" x14ac:dyDescent="0.2">
      <c r="B78" s="87"/>
      <c r="C78" s="87"/>
      <c r="D78" s="87"/>
      <c r="E78" s="87" t="s">
        <v>59</v>
      </c>
      <c r="F78" s="88"/>
      <c r="G78" s="89">
        <f>SUM(G45,G62,G67,G69)</f>
        <v>0</v>
      </c>
      <c r="H78" s="89">
        <f t="shared" ref="H78:R78" si="7">SUM(H45,H62,H67,H69)</f>
        <v>0</v>
      </c>
      <c r="I78" s="89">
        <f t="shared" si="7"/>
        <v>0</v>
      </c>
      <c r="J78" s="89">
        <f t="shared" si="7"/>
        <v>0</v>
      </c>
      <c r="K78" s="89">
        <f t="shared" si="7"/>
        <v>0</v>
      </c>
      <c r="L78" s="89">
        <f t="shared" si="7"/>
        <v>0</v>
      </c>
      <c r="M78" s="89">
        <f t="shared" si="7"/>
        <v>0</v>
      </c>
      <c r="N78" s="89">
        <f t="shared" si="7"/>
        <v>0</v>
      </c>
      <c r="O78" s="89">
        <f t="shared" si="7"/>
        <v>0</v>
      </c>
      <c r="P78" s="89">
        <f t="shared" si="7"/>
        <v>0</v>
      </c>
      <c r="Q78" s="89">
        <f t="shared" si="7"/>
        <v>0</v>
      </c>
      <c r="R78" s="137">
        <f t="shared" si="7"/>
        <v>0</v>
      </c>
      <c r="S78" s="58"/>
    </row>
    <row r="79" spans="2:19" x14ac:dyDescent="0.2">
      <c r="B79" s="87"/>
      <c r="C79" s="87"/>
      <c r="D79" s="87"/>
      <c r="E79" s="87" t="s">
        <v>60</v>
      </c>
      <c r="F79" s="88"/>
      <c r="G79" s="89">
        <f t="shared" ref="G79:R79" si="8">G77-G78</f>
        <v>0</v>
      </c>
      <c r="H79" s="89">
        <f t="shared" si="8"/>
        <v>0</v>
      </c>
      <c r="I79" s="89">
        <f t="shared" si="8"/>
        <v>0</v>
      </c>
      <c r="J79" s="89">
        <f>J77-J78</f>
        <v>0</v>
      </c>
      <c r="K79" s="89">
        <f>K77-K78</f>
        <v>0</v>
      </c>
      <c r="L79" s="89">
        <f t="shared" si="8"/>
        <v>0</v>
      </c>
      <c r="M79" s="89">
        <f t="shared" si="8"/>
        <v>0</v>
      </c>
      <c r="N79" s="89">
        <f t="shared" si="8"/>
        <v>0</v>
      </c>
      <c r="O79" s="89">
        <f>O77-O78</f>
        <v>0</v>
      </c>
      <c r="P79" s="89">
        <f>P77-P78</f>
        <v>0</v>
      </c>
      <c r="Q79" s="89">
        <f t="shared" si="8"/>
        <v>0</v>
      </c>
      <c r="R79" s="137">
        <f t="shared" si="8"/>
        <v>0</v>
      </c>
      <c r="S79" s="58"/>
    </row>
    <row r="80" spans="2:19" x14ac:dyDescent="0.2">
      <c r="B80" s="87"/>
      <c r="C80" s="87"/>
      <c r="D80" s="87"/>
      <c r="E80" s="87"/>
      <c r="F80" s="88"/>
      <c r="G80" s="87"/>
      <c r="H80" s="87"/>
      <c r="I80" s="87"/>
      <c r="J80" s="87"/>
      <c r="K80" s="87"/>
      <c r="L80" s="87"/>
      <c r="M80" s="87"/>
      <c r="N80" s="87"/>
      <c r="O80" s="87"/>
      <c r="P80" s="87"/>
      <c r="Q80" s="87"/>
      <c r="R80" s="87"/>
      <c r="S80" s="87"/>
    </row>
    <row r="81" spans="2:19" x14ac:dyDescent="0.2">
      <c r="B81" s="87"/>
      <c r="C81" s="87"/>
      <c r="D81" s="87"/>
      <c r="E81" s="90"/>
      <c r="F81" s="88"/>
      <c r="G81" s="87"/>
      <c r="H81" s="87"/>
      <c r="I81" s="87"/>
      <c r="J81" s="87"/>
      <c r="K81" s="87"/>
      <c r="L81" s="87"/>
      <c r="M81" s="87"/>
      <c r="N81" s="87"/>
      <c r="O81" s="87"/>
      <c r="P81" s="87"/>
      <c r="Q81" s="87"/>
      <c r="R81" s="87"/>
      <c r="S81" s="87"/>
    </row>
    <row r="82" spans="2:19" x14ac:dyDescent="0.2">
      <c r="B82" s="87"/>
      <c r="C82" s="87"/>
      <c r="D82" s="87"/>
      <c r="E82" s="87"/>
      <c r="F82" s="88"/>
      <c r="G82" s="87"/>
      <c r="H82" s="87"/>
      <c r="I82" s="87"/>
      <c r="J82" s="87"/>
      <c r="K82" s="87"/>
      <c r="L82" s="87"/>
      <c r="M82" s="87"/>
      <c r="N82" s="87"/>
      <c r="O82" s="87"/>
      <c r="P82" s="87"/>
      <c r="Q82" s="87"/>
      <c r="R82" s="87"/>
      <c r="S82" s="87"/>
    </row>
    <row r="83" spans="2:19" x14ac:dyDescent="0.2">
      <c r="B83" s="87"/>
      <c r="C83" s="87"/>
      <c r="D83" s="87"/>
      <c r="E83" s="87"/>
      <c r="F83" s="88"/>
      <c r="G83" s="87"/>
      <c r="H83" s="87"/>
      <c r="I83" s="87"/>
      <c r="J83" s="87"/>
      <c r="K83" s="87"/>
      <c r="L83" s="87"/>
      <c r="M83" s="87"/>
      <c r="N83" s="87"/>
      <c r="O83" s="87"/>
      <c r="P83" s="87"/>
      <c r="Q83" s="87"/>
      <c r="R83" s="87"/>
      <c r="S83" s="87"/>
    </row>
    <row r="84" spans="2:19" x14ac:dyDescent="0.2">
      <c r="B84" s="87"/>
      <c r="C84" s="87"/>
      <c r="D84" s="87"/>
      <c r="E84" s="87"/>
      <c r="F84" s="88"/>
      <c r="G84" s="87"/>
      <c r="H84" s="87"/>
      <c r="I84" s="87"/>
      <c r="J84" s="87"/>
      <c r="K84" s="87"/>
      <c r="L84" s="87"/>
      <c r="M84" s="87"/>
      <c r="N84" s="87"/>
      <c r="O84" s="87"/>
      <c r="P84" s="87"/>
      <c r="Q84" s="87"/>
      <c r="R84" s="87"/>
      <c r="S84" s="87"/>
    </row>
    <row r="85" spans="2:19" x14ac:dyDescent="0.2">
      <c r="B85" s="87"/>
      <c r="C85" s="87"/>
      <c r="D85" s="87"/>
      <c r="E85" s="87"/>
      <c r="F85" s="88"/>
      <c r="G85" s="87"/>
      <c r="H85" s="87"/>
      <c r="I85" s="87"/>
      <c r="J85" s="87"/>
      <c r="K85" s="87"/>
      <c r="L85" s="87"/>
      <c r="M85" s="87"/>
      <c r="N85" s="87"/>
      <c r="O85" s="87"/>
      <c r="P85" s="87"/>
      <c r="Q85" s="87"/>
      <c r="R85" s="87"/>
      <c r="S85" s="87"/>
    </row>
    <row r="86" spans="2:19" x14ac:dyDescent="0.2">
      <c r="B86" s="87"/>
      <c r="C86" s="87"/>
      <c r="D86" s="87"/>
      <c r="E86" s="87"/>
      <c r="F86" s="88"/>
      <c r="G86" s="87"/>
      <c r="H86" s="87"/>
      <c r="I86" s="87"/>
      <c r="J86" s="87"/>
      <c r="K86" s="87"/>
      <c r="L86" s="87"/>
      <c r="M86" s="87"/>
      <c r="N86" s="87"/>
      <c r="O86" s="87"/>
      <c r="P86" s="87"/>
      <c r="Q86" s="87"/>
      <c r="R86" s="87"/>
      <c r="S86" s="87"/>
    </row>
    <row r="87" spans="2:19" x14ac:dyDescent="0.2">
      <c r="B87" s="87"/>
      <c r="C87" s="87"/>
      <c r="D87" s="87"/>
      <c r="E87" s="87"/>
      <c r="F87" s="88"/>
      <c r="G87" s="87"/>
      <c r="H87" s="87"/>
      <c r="I87" s="87"/>
      <c r="J87" s="87"/>
      <c r="K87" s="87"/>
      <c r="L87" s="87"/>
      <c r="M87" s="87"/>
      <c r="N87" s="87"/>
      <c r="O87" s="87"/>
      <c r="P87" s="87"/>
      <c r="Q87" s="87"/>
      <c r="R87" s="87"/>
      <c r="S87" s="87"/>
    </row>
    <row r="88" spans="2:19" x14ac:dyDescent="0.2">
      <c r="B88" s="87"/>
      <c r="C88" s="87"/>
      <c r="D88" s="87"/>
      <c r="E88" s="87"/>
      <c r="F88" s="88"/>
      <c r="G88" s="87"/>
      <c r="H88" s="87"/>
      <c r="I88" s="87"/>
      <c r="J88" s="87"/>
      <c r="K88" s="87"/>
      <c r="L88" s="87"/>
      <c r="M88" s="87"/>
      <c r="N88" s="87"/>
      <c r="O88" s="87"/>
      <c r="P88" s="87"/>
      <c r="Q88" s="87"/>
      <c r="R88" s="87"/>
      <c r="S88" s="87"/>
    </row>
    <row r="89" spans="2:19" x14ac:dyDescent="0.2">
      <c r="B89" s="87"/>
      <c r="C89" s="87"/>
      <c r="D89" s="87"/>
      <c r="E89" s="87"/>
      <c r="F89" s="88"/>
      <c r="G89" s="87"/>
      <c r="H89" s="87"/>
      <c r="I89" s="87"/>
      <c r="J89" s="87"/>
      <c r="K89" s="87"/>
      <c r="L89" s="87"/>
      <c r="M89" s="87"/>
      <c r="N89" s="87"/>
      <c r="O89" s="87"/>
      <c r="P89" s="87"/>
      <c r="Q89" s="87"/>
      <c r="R89" s="87"/>
      <c r="S89" s="87"/>
    </row>
    <row r="90" spans="2:19" x14ac:dyDescent="0.2">
      <c r="B90" s="87"/>
      <c r="C90" s="87"/>
      <c r="D90" s="87"/>
      <c r="E90" s="87"/>
      <c r="F90" s="88"/>
      <c r="G90" s="87"/>
      <c r="H90" s="87"/>
      <c r="I90" s="87"/>
      <c r="J90" s="87"/>
      <c r="K90" s="87"/>
      <c r="L90" s="87"/>
      <c r="M90" s="87"/>
      <c r="N90" s="87"/>
      <c r="O90" s="87"/>
      <c r="P90" s="87"/>
      <c r="Q90" s="87"/>
      <c r="R90" s="87"/>
      <c r="S90" s="87"/>
    </row>
    <row r="91" spans="2:19" x14ac:dyDescent="0.2">
      <c r="B91" s="87"/>
      <c r="C91" s="87"/>
      <c r="D91" s="87"/>
      <c r="E91" s="87"/>
      <c r="F91" s="88"/>
      <c r="G91" s="87"/>
      <c r="H91" s="87"/>
      <c r="I91" s="87"/>
      <c r="J91" s="87"/>
      <c r="K91" s="87"/>
      <c r="L91" s="87"/>
      <c r="M91" s="87"/>
      <c r="N91" s="87"/>
      <c r="O91" s="87"/>
      <c r="P91" s="87"/>
      <c r="Q91" s="87"/>
      <c r="R91" s="87"/>
      <c r="S91" s="87"/>
    </row>
    <row r="92" spans="2:19" x14ac:dyDescent="0.2">
      <c r="B92" s="87"/>
      <c r="C92" s="87"/>
      <c r="D92" s="87"/>
      <c r="E92" s="87"/>
      <c r="F92" s="88"/>
      <c r="G92" s="87"/>
      <c r="H92" s="87"/>
      <c r="I92" s="87"/>
      <c r="J92" s="87"/>
      <c r="K92" s="87"/>
      <c r="L92" s="87"/>
      <c r="M92" s="87"/>
      <c r="N92" s="87"/>
      <c r="O92" s="87"/>
      <c r="P92" s="87"/>
      <c r="Q92" s="87"/>
      <c r="R92" s="87"/>
      <c r="S92" s="87"/>
    </row>
    <row r="93" spans="2:19" x14ac:dyDescent="0.2">
      <c r="B93" s="87"/>
      <c r="C93" s="87"/>
      <c r="D93" s="87"/>
      <c r="E93" s="87"/>
      <c r="F93" s="88"/>
      <c r="G93" s="87"/>
      <c r="H93" s="87"/>
      <c r="I93" s="87"/>
      <c r="J93" s="87"/>
      <c r="K93" s="87"/>
      <c r="L93" s="87"/>
      <c r="M93" s="87"/>
      <c r="N93" s="87"/>
      <c r="O93" s="87"/>
      <c r="P93" s="87"/>
      <c r="Q93" s="87"/>
      <c r="R93" s="87"/>
      <c r="S93" s="87"/>
    </row>
    <row r="94" spans="2:19" x14ac:dyDescent="0.2">
      <c r="B94" s="87"/>
      <c r="C94" s="87"/>
      <c r="D94" s="87"/>
      <c r="E94" s="87"/>
      <c r="F94" s="88"/>
      <c r="G94" s="87"/>
      <c r="H94" s="87"/>
      <c r="I94" s="87"/>
      <c r="J94" s="87"/>
      <c r="K94" s="87"/>
      <c r="L94" s="87"/>
      <c r="M94" s="87"/>
      <c r="N94" s="87"/>
      <c r="O94" s="87"/>
      <c r="P94" s="87"/>
      <c r="Q94" s="87"/>
      <c r="R94" s="87"/>
      <c r="S94" s="87"/>
    </row>
    <row r="95" spans="2:19" x14ac:dyDescent="0.2">
      <c r="B95" s="87"/>
      <c r="C95" s="87"/>
      <c r="D95" s="87"/>
      <c r="E95" s="87"/>
      <c r="F95" s="88"/>
      <c r="G95" s="87"/>
      <c r="H95" s="87"/>
      <c r="I95" s="87"/>
      <c r="J95" s="87"/>
      <c r="K95" s="87"/>
      <c r="L95" s="87"/>
      <c r="M95" s="87"/>
      <c r="N95" s="87"/>
      <c r="O95" s="87"/>
      <c r="P95" s="87"/>
      <c r="Q95" s="87"/>
      <c r="R95" s="87"/>
      <c r="S95" s="87"/>
    </row>
    <row r="96" spans="2:19" x14ac:dyDescent="0.2">
      <c r="B96" s="87"/>
      <c r="C96" s="87"/>
      <c r="D96" s="87"/>
      <c r="E96" s="87"/>
      <c r="F96" s="88"/>
      <c r="G96" s="87"/>
      <c r="H96" s="87"/>
      <c r="I96" s="87"/>
      <c r="J96" s="87"/>
      <c r="K96" s="87"/>
      <c r="L96" s="87"/>
      <c r="M96" s="87"/>
      <c r="N96" s="87"/>
      <c r="O96" s="87"/>
      <c r="P96" s="87"/>
      <c r="Q96" s="87"/>
      <c r="R96" s="87"/>
      <c r="S96" s="87"/>
    </row>
    <row r="97" spans="2:19" x14ac:dyDescent="0.2">
      <c r="B97" s="87"/>
      <c r="C97" s="87"/>
      <c r="D97" s="87"/>
      <c r="E97" s="87"/>
      <c r="F97" s="88"/>
      <c r="G97" s="87"/>
      <c r="H97" s="87"/>
      <c r="I97" s="87"/>
      <c r="J97" s="87"/>
      <c r="K97" s="87"/>
      <c r="L97" s="87"/>
      <c r="M97" s="87"/>
      <c r="N97" s="87"/>
      <c r="O97" s="87"/>
      <c r="P97" s="87"/>
      <c r="Q97" s="87"/>
      <c r="R97" s="87"/>
      <c r="S97" s="87"/>
    </row>
    <row r="98" spans="2:19" x14ac:dyDescent="0.2">
      <c r="B98" s="87"/>
      <c r="C98" s="87"/>
      <c r="D98" s="87"/>
      <c r="E98" s="87"/>
      <c r="F98" s="88"/>
      <c r="G98" s="87"/>
      <c r="H98" s="87"/>
      <c r="I98" s="87"/>
      <c r="J98" s="87"/>
      <c r="K98" s="87"/>
      <c r="L98" s="87"/>
      <c r="M98" s="87"/>
      <c r="N98" s="87"/>
      <c r="O98" s="87"/>
      <c r="P98" s="87"/>
      <c r="Q98" s="87"/>
      <c r="R98" s="87"/>
      <c r="S98" s="87"/>
    </row>
    <row r="99" spans="2:19" x14ac:dyDescent="0.2">
      <c r="B99" s="87"/>
      <c r="C99" s="87"/>
      <c r="D99" s="87"/>
      <c r="E99" s="87"/>
      <c r="F99" s="88"/>
      <c r="G99" s="87"/>
      <c r="H99" s="87"/>
      <c r="I99" s="87"/>
      <c r="J99" s="87"/>
      <c r="K99" s="87"/>
      <c r="L99" s="87"/>
      <c r="M99" s="87"/>
      <c r="N99" s="87"/>
      <c r="O99" s="87"/>
      <c r="P99" s="87"/>
      <c r="Q99" s="87"/>
      <c r="R99" s="87"/>
      <c r="S99" s="87"/>
    </row>
    <row r="100" spans="2:19" x14ac:dyDescent="0.2">
      <c r="B100" s="87"/>
      <c r="C100" s="87"/>
      <c r="D100" s="87"/>
      <c r="E100" s="87"/>
      <c r="F100" s="88"/>
      <c r="G100" s="87"/>
      <c r="H100" s="87"/>
      <c r="I100" s="87"/>
      <c r="J100" s="87"/>
      <c r="K100" s="87"/>
      <c r="L100" s="87"/>
      <c r="M100" s="87"/>
      <c r="N100" s="87"/>
      <c r="O100" s="87"/>
      <c r="P100" s="87"/>
      <c r="Q100" s="87"/>
      <c r="R100" s="87"/>
      <c r="S100" s="87"/>
    </row>
    <row r="101" spans="2:19" x14ac:dyDescent="0.2">
      <c r="B101" s="87"/>
      <c r="C101" s="87"/>
      <c r="D101" s="87"/>
      <c r="E101" s="87"/>
      <c r="F101" s="88"/>
      <c r="G101" s="87"/>
      <c r="H101" s="87"/>
      <c r="I101" s="87"/>
      <c r="J101" s="87"/>
      <c r="K101" s="87"/>
      <c r="L101" s="87"/>
      <c r="M101" s="87"/>
      <c r="N101" s="87"/>
      <c r="O101" s="87"/>
      <c r="P101" s="87"/>
      <c r="Q101" s="87"/>
      <c r="R101" s="87"/>
      <c r="S101" s="87"/>
    </row>
    <row r="102" spans="2:19" x14ac:dyDescent="0.2">
      <c r="B102" s="87"/>
      <c r="C102" s="87"/>
      <c r="D102" s="87"/>
      <c r="E102" s="87"/>
      <c r="F102" s="88"/>
      <c r="G102" s="87"/>
      <c r="H102" s="87"/>
      <c r="I102" s="87"/>
      <c r="J102" s="87"/>
      <c r="K102" s="87"/>
      <c r="L102" s="87"/>
      <c r="M102" s="87"/>
      <c r="N102" s="87"/>
      <c r="O102" s="87"/>
      <c r="P102" s="87"/>
      <c r="Q102" s="87"/>
      <c r="R102" s="87"/>
      <c r="S102" s="87"/>
    </row>
    <row r="103" spans="2:19" x14ac:dyDescent="0.2">
      <c r="B103" s="87"/>
      <c r="C103" s="87"/>
      <c r="D103" s="87"/>
      <c r="E103" s="87"/>
      <c r="F103" s="88"/>
      <c r="G103" s="87"/>
      <c r="H103" s="87"/>
      <c r="I103" s="87"/>
      <c r="J103" s="87"/>
      <c r="K103" s="87"/>
      <c r="L103" s="87"/>
      <c r="M103" s="87"/>
      <c r="N103" s="87"/>
      <c r="O103" s="87"/>
      <c r="P103" s="87"/>
      <c r="Q103" s="87"/>
      <c r="R103" s="87"/>
      <c r="S103" s="87"/>
    </row>
    <row r="104" spans="2:19" x14ac:dyDescent="0.2">
      <c r="B104" s="87"/>
      <c r="C104" s="87"/>
      <c r="D104" s="87"/>
      <c r="E104" s="87"/>
      <c r="F104" s="88"/>
      <c r="G104" s="87"/>
      <c r="H104" s="87"/>
      <c r="I104" s="87"/>
      <c r="J104" s="87"/>
      <c r="K104" s="87"/>
      <c r="L104" s="87"/>
      <c r="M104" s="87"/>
      <c r="N104" s="87"/>
      <c r="O104" s="87"/>
      <c r="P104" s="87"/>
      <c r="Q104" s="87"/>
      <c r="R104" s="87"/>
      <c r="S104" s="87"/>
    </row>
    <row r="105" spans="2:19" x14ac:dyDescent="0.2">
      <c r="B105" s="87"/>
      <c r="C105" s="87"/>
      <c r="D105" s="87"/>
      <c r="E105" s="87"/>
      <c r="F105" s="88"/>
      <c r="G105" s="87"/>
      <c r="H105" s="87"/>
      <c r="I105" s="87"/>
      <c r="J105" s="87"/>
      <c r="K105" s="87"/>
      <c r="L105" s="87"/>
      <c r="M105" s="87"/>
      <c r="N105" s="87"/>
      <c r="O105" s="87"/>
      <c r="P105" s="87"/>
      <c r="Q105" s="87"/>
      <c r="R105" s="87"/>
      <c r="S105" s="87"/>
    </row>
    <row r="106" spans="2:19" x14ac:dyDescent="0.2">
      <c r="B106" s="87"/>
      <c r="C106" s="87"/>
      <c r="D106" s="87"/>
      <c r="E106" s="87"/>
      <c r="F106" s="88"/>
      <c r="G106" s="87"/>
      <c r="H106" s="87"/>
      <c r="I106" s="87"/>
      <c r="J106" s="87"/>
      <c r="K106" s="87"/>
      <c r="L106" s="87"/>
      <c r="M106" s="87"/>
      <c r="N106" s="87"/>
      <c r="O106" s="87"/>
      <c r="P106" s="87"/>
      <c r="Q106" s="87"/>
      <c r="R106" s="87"/>
      <c r="S106" s="87"/>
    </row>
    <row r="107" spans="2:19" x14ac:dyDescent="0.2">
      <c r="B107" s="87"/>
      <c r="C107" s="87"/>
      <c r="D107" s="87"/>
      <c r="E107" s="87"/>
      <c r="F107" s="88"/>
      <c r="G107" s="87"/>
      <c r="H107" s="87"/>
      <c r="I107" s="87"/>
      <c r="J107" s="87"/>
      <c r="K107" s="87"/>
      <c r="L107" s="87"/>
      <c r="M107" s="87"/>
      <c r="N107" s="87"/>
      <c r="O107" s="87"/>
      <c r="P107" s="87"/>
      <c r="Q107" s="87"/>
      <c r="R107" s="87"/>
      <c r="S107" s="87"/>
    </row>
    <row r="108" spans="2:19" x14ac:dyDescent="0.2">
      <c r="B108" s="87"/>
      <c r="C108" s="87"/>
      <c r="D108" s="87"/>
      <c r="E108" s="87"/>
      <c r="F108" s="88"/>
      <c r="G108" s="87"/>
      <c r="H108" s="87"/>
      <c r="I108" s="87"/>
      <c r="J108" s="87"/>
      <c r="K108" s="87"/>
      <c r="L108" s="87"/>
      <c r="M108" s="87"/>
      <c r="N108" s="87"/>
      <c r="O108" s="87"/>
      <c r="P108" s="87"/>
      <c r="Q108" s="87"/>
      <c r="R108" s="87"/>
      <c r="S108" s="87"/>
    </row>
    <row r="109" spans="2:19" x14ac:dyDescent="0.2">
      <c r="B109" s="87"/>
      <c r="C109" s="87"/>
      <c r="D109" s="87"/>
      <c r="E109" s="87"/>
      <c r="F109" s="88"/>
      <c r="G109" s="87"/>
      <c r="H109" s="87"/>
      <c r="I109" s="87"/>
      <c r="J109" s="87"/>
      <c r="K109" s="87"/>
      <c r="L109" s="87"/>
      <c r="M109" s="87"/>
      <c r="N109" s="87"/>
      <c r="O109" s="87"/>
      <c r="P109" s="87"/>
      <c r="Q109" s="87"/>
      <c r="R109" s="87"/>
      <c r="S109" s="87"/>
    </row>
    <row r="110" spans="2:19" x14ac:dyDescent="0.2">
      <c r="B110" s="87"/>
      <c r="C110" s="87"/>
      <c r="D110" s="87"/>
      <c r="E110" s="87"/>
      <c r="F110" s="88"/>
      <c r="G110" s="87"/>
      <c r="H110" s="87"/>
      <c r="I110" s="87"/>
      <c r="J110" s="87"/>
      <c r="K110" s="87"/>
      <c r="L110" s="87"/>
      <c r="M110" s="87"/>
      <c r="N110" s="87"/>
      <c r="O110" s="87"/>
      <c r="P110" s="87"/>
      <c r="Q110" s="87"/>
      <c r="R110" s="87"/>
      <c r="S110" s="87"/>
    </row>
    <row r="111" spans="2:19" x14ac:dyDescent="0.2">
      <c r="B111" s="87"/>
      <c r="C111" s="87"/>
      <c r="D111" s="87"/>
      <c r="E111" s="87"/>
      <c r="F111" s="88"/>
      <c r="G111" s="87"/>
      <c r="H111" s="87"/>
      <c r="I111" s="87"/>
      <c r="J111" s="87"/>
      <c r="K111" s="87"/>
      <c r="L111" s="87"/>
      <c r="M111" s="87"/>
      <c r="N111" s="87"/>
      <c r="O111" s="87"/>
      <c r="P111" s="87"/>
      <c r="Q111" s="87"/>
      <c r="R111" s="87"/>
      <c r="S111" s="87"/>
    </row>
    <row r="112" spans="2:19" x14ac:dyDescent="0.2">
      <c r="B112" s="87"/>
      <c r="C112" s="87"/>
      <c r="D112" s="87"/>
      <c r="E112" s="87"/>
      <c r="F112" s="88"/>
      <c r="G112" s="87"/>
      <c r="H112" s="87"/>
      <c r="I112" s="87"/>
      <c r="J112" s="87"/>
      <c r="K112" s="87"/>
      <c r="L112" s="87"/>
      <c r="M112" s="87"/>
      <c r="N112" s="87"/>
      <c r="O112" s="87"/>
      <c r="P112" s="87"/>
      <c r="Q112" s="87"/>
      <c r="R112" s="87"/>
      <c r="S112" s="87"/>
    </row>
    <row r="113" spans="2:19" x14ac:dyDescent="0.2">
      <c r="B113" s="87"/>
      <c r="C113" s="87"/>
      <c r="D113" s="87"/>
      <c r="E113" s="87"/>
      <c r="F113" s="88"/>
      <c r="G113" s="87"/>
      <c r="H113" s="87"/>
      <c r="I113" s="87"/>
      <c r="J113" s="87"/>
      <c r="K113" s="87"/>
      <c r="L113" s="87"/>
      <c r="M113" s="87"/>
      <c r="N113" s="87"/>
      <c r="O113" s="87"/>
      <c r="P113" s="87"/>
      <c r="Q113" s="87"/>
      <c r="R113" s="87"/>
      <c r="S113" s="87"/>
    </row>
    <row r="114" spans="2:19" x14ac:dyDescent="0.2">
      <c r="B114" s="87"/>
      <c r="C114" s="87"/>
      <c r="D114" s="87"/>
      <c r="E114" s="87"/>
      <c r="F114" s="88"/>
      <c r="G114" s="87"/>
      <c r="H114" s="87"/>
      <c r="I114" s="87"/>
      <c r="J114" s="87"/>
      <c r="K114" s="87"/>
      <c r="L114" s="87"/>
      <c r="M114" s="87"/>
      <c r="N114" s="87"/>
      <c r="O114" s="87"/>
      <c r="P114" s="87"/>
      <c r="Q114" s="87"/>
      <c r="R114" s="87"/>
      <c r="S114" s="87"/>
    </row>
    <row r="115" spans="2:19" x14ac:dyDescent="0.2">
      <c r="B115" s="87"/>
      <c r="C115" s="87"/>
      <c r="D115" s="87"/>
      <c r="E115" s="87"/>
      <c r="F115" s="88"/>
      <c r="G115" s="87"/>
      <c r="H115" s="87"/>
      <c r="I115" s="87"/>
      <c r="J115" s="87"/>
      <c r="K115" s="87"/>
      <c r="L115" s="87"/>
      <c r="M115" s="87"/>
      <c r="N115" s="87"/>
      <c r="O115" s="87"/>
      <c r="P115" s="87"/>
      <c r="Q115" s="87"/>
      <c r="R115" s="87"/>
      <c r="S115" s="87"/>
    </row>
    <row r="116" spans="2:19" x14ac:dyDescent="0.2">
      <c r="B116" s="87"/>
      <c r="C116" s="87"/>
      <c r="D116" s="87"/>
      <c r="E116" s="87"/>
      <c r="F116" s="88"/>
      <c r="G116" s="87"/>
      <c r="H116" s="87"/>
      <c r="I116" s="87"/>
      <c r="J116" s="87"/>
      <c r="K116" s="87"/>
      <c r="L116" s="87"/>
      <c r="M116" s="87"/>
      <c r="N116" s="87"/>
      <c r="O116" s="87"/>
      <c r="P116" s="87"/>
      <c r="Q116" s="87"/>
      <c r="R116" s="87"/>
      <c r="S116" s="87"/>
    </row>
    <row r="117" spans="2:19" x14ac:dyDescent="0.2">
      <c r="B117" s="87"/>
      <c r="C117" s="87"/>
      <c r="D117" s="87"/>
      <c r="E117" s="87"/>
      <c r="F117" s="88"/>
      <c r="G117" s="87"/>
      <c r="H117" s="87"/>
      <c r="I117" s="87"/>
      <c r="J117" s="87"/>
      <c r="K117" s="87"/>
      <c r="L117" s="87"/>
      <c r="M117" s="87"/>
      <c r="N117" s="87"/>
      <c r="O117" s="87"/>
      <c r="P117" s="87"/>
      <c r="Q117" s="87"/>
      <c r="R117" s="87"/>
      <c r="S117" s="87"/>
    </row>
    <row r="118" spans="2:19" x14ac:dyDescent="0.2">
      <c r="B118" s="87"/>
      <c r="C118" s="87"/>
      <c r="D118" s="87"/>
      <c r="E118" s="87"/>
      <c r="F118" s="88"/>
      <c r="G118" s="87"/>
      <c r="H118" s="87"/>
      <c r="I118" s="87"/>
      <c r="J118" s="87"/>
      <c r="K118" s="87"/>
      <c r="L118" s="87"/>
      <c r="M118" s="87"/>
      <c r="N118" s="87"/>
      <c r="O118" s="87"/>
      <c r="P118" s="87"/>
      <c r="Q118" s="87"/>
      <c r="R118" s="87"/>
      <c r="S118" s="87"/>
    </row>
    <row r="119" spans="2:19" x14ac:dyDescent="0.2">
      <c r="B119" s="87"/>
      <c r="C119" s="87"/>
      <c r="D119" s="87"/>
      <c r="E119" s="87"/>
      <c r="F119" s="88"/>
      <c r="G119" s="87"/>
      <c r="H119" s="87"/>
      <c r="I119" s="87"/>
      <c r="J119" s="87"/>
      <c r="K119" s="87"/>
      <c r="L119" s="87"/>
      <c r="M119" s="87"/>
      <c r="N119" s="87"/>
      <c r="O119" s="87"/>
      <c r="P119" s="87"/>
      <c r="Q119" s="87"/>
      <c r="R119" s="87"/>
      <c r="S119" s="87"/>
    </row>
    <row r="120" spans="2:19" x14ac:dyDescent="0.2">
      <c r="B120" s="87"/>
      <c r="C120" s="87"/>
      <c r="D120" s="87"/>
      <c r="E120" s="87"/>
      <c r="F120" s="88"/>
      <c r="G120" s="87"/>
      <c r="H120" s="87"/>
      <c r="I120" s="87"/>
      <c r="J120" s="87"/>
      <c r="K120" s="87"/>
      <c r="L120" s="87"/>
      <c r="M120" s="87"/>
      <c r="N120" s="87"/>
      <c r="O120" s="87"/>
      <c r="P120" s="87"/>
      <c r="Q120" s="87"/>
      <c r="R120" s="87"/>
      <c r="S120" s="87"/>
    </row>
    <row r="121" spans="2:19" x14ac:dyDescent="0.2">
      <c r="B121" s="87"/>
      <c r="C121" s="87"/>
      <c r="D121" s="87"/>
      <c r="E121" s="87"/>
      <c r="F121" s="88"/>
      <c r="G121" s="87"/>
      <c r="H121" s="87"/>
      <c r="I121" s="87"/>
      <c r="J121" s="87"/>
      <c r="K121" s="87"/>
      <c r="L121" s="87"/>
      <c r="M121" s="87"/>
      <c r="N121" s="87"/>
      <c r="O121" s="87"/>
      <c r="P121" s="87"/>
      <c r="Q121" s="87"/>
      <c r="R121" s="87"/>
      <c r="S121" s="87"/>
    </row>
    <row r="122" spans="2:19" x14ac:dyDescent="0.2">
      <c r="B122" s="84"/>
      <c r="C122" s="84"/>
      <c r="D122" s="84"/>
      <c r="E122" s="84"/>
      <c r="F122" s="91"/>
      <c r="G122" s="84"/>
      <c r="H122" s="84"/>
      <c r="I122" s="84"/>
      <c r="J122" s="84"/>
      <c r="K122" s="84"/>
      <c r="L122" s="84"/>
      <c r="M122" s="84"/>
      <c r="N122" s="84"/>
      <c r="O122" s="84"/>
      <c r="P122" s="84"/>
      <c r="Q122" s="84"/>
      <c r="R122" s="84"/>
      <c r="S122" s="84"/>
    </row>
    <row r="123" spans="2:19" x14ac:dyDescent="0.2">
      <c r="B123" s="84"/>
      <c r="C123" s="84"/>
      <c r="D123" s="84"/>
      <c r="E123" s="84"/>
      <c r="F123" s="91"/>
      <c r="G123" s="84"/>
      <c r="H123" s="84"/>
      <c r="I123" s="84"/>
      <c r="J123" s="84"/>
      <c r="K123" s="84"/>
      <c r="L123" s="84"/>
      <c r="M123" s="84"/>
      <c r="N123" s="84"/>
      <c r="O123" s="84"/>
      <c r="P123" s="84"/>
      <c r="Q123" s="84"/>
      <c r="R123" s="84"/>
      <c r="S123" s="84"/>
    </row>
    <row r="124" spans="2:19" x14ac:dyDescent="0.2">
      <c r="B124" s="84"/>
      <c r="C124" s="84"/>
      <c r="D124" s="84"/>
      <c r="E124" s="84"/>
      <c r="F124" s="91"/>
      <c r="G124" s="84"/>
      <c r="H124" s="84"/>
      <c r="I124" s="84"/>
      <c r="J124" s="84"/>
      <c r="K124" s="84"/>
      <c r="L124" s="84"/>
      <c r="M124" s="84"/>
      <c r="N124" s="84"/>
      <c r="O124" s="84"/>
      <c r="P124" s="84"/>
      <c r="Q124" s="84"/>
      <c r="R124" s="84"/>
      <c r="S124" s="84"/>
    </row>
    <row r="125" spans="2:19" x14ac:dyDescent="0.2">
      <c r="B125" s="84"/>
      <c r="C125" s="84"/>
      <c r="D125" s="84"/>
      <c r="E125" s="84"/>
      <c r="F125" s="91"/>
      <c r="G125" s="84"/>
      <c r="H125" s="84"/>
      <c r="I125" s="84"/>
      <c r="J125" s="84"/>
      <c r="K125" s="84"/>
      <c r="L125" s="84"/>
      <c r="M125" s="84"/>
      <c r="N125" s="84"/>
      <c r="O125" s="84"/>
      <c r="P125" s="84"/>
      <c r="Q125" s="84"/>
      <c r="R125" s="84"/>
      <c r="S125" s="84"/>
    </row>
  </sheetData>
  <sheetProtection algorithmName="SHA-512" hashValue="aZOJ/vd+u7EdRL1vBC6Nt26nqHKF7HFpauzLqKlATSeDgwSvY4cZF5AuowgJojU/0kOc7mq0Nk27OJChfDraew==" saltValue="2+AV82d2fjdsw4hFlWhtVw==" spinCount="100000" sheet="1" objects="1" scenarios="1"/>
  <customSheetViews>
    <customSheetView guid="{C8C7977F-B6BF-432B-A1A7-559450D521AF}" scale="90">
      <selection activeCell="A2" sqref="A2"/>
      <pageMargins left="0.7" right="0.7" top="0.75" bottom="0.75" header="0.3" footer="0.3"/>
    </customSheetView>
  </customSheetViews>
  <mergeCells count="33">
    <mergeCell ref="G41:J41"/>
    <mergeCell ref="L41:O41"/>
    <mergeCell ref="R39:R40"/>
    <mergeCell ref="Q6:Q7"/>
    <mergeCell ref="R6:R7"/>
    <mergeCell ref="G39:K40"/>
    <mergeCell ref="L39:P40"/>
    <mergeCell ref="G8:J8"/>
    <mergeCell ref="L8:O8"/>
    <mergeCell ref="Q39:Q40"/>
    <mergeCell ref="B39:E40"/>
    <mergeCell ref="F39:F40"/>
    <mergeCell ref="B1:M1"/>
    <mergeCell ref="B6:E7"/>
    <mergeCell ref="F6:F7"/>
    <mergeCell ref="G6:K7"/>
    <mergeCell ref="L6:P7"/>
    <mergeCell ref="F15:F17"/>
    <mergeCell ref="C15:E17"/>
    <mergeCell ref="B29:E30"/>
    <mergeCell ref="B26:E27"/>
    <mergeCell ref="F26:F27"/>
    <mergeCell ref="F29:F30"/>
    <mergeCell ref="C58:E59"/>
    <mergeCell ref="F58:F59"/>
    <mergeCell ref="B66:E67"/>
    <mergeCell ref="F66:F67"/>
    <mergeCell ref="F50:F51"/>
    <mergeCell ref="C50:E51"/>
    <mergeCell ref="C52:E54"/>
    <mergeCell ref="C55:E56"/>
    <mergeCell ref="F52:F54"/>
    <mergeCell ref="F55:F56"/>
  </mergeCells>
  <conditionalFormatting sqref="G77:R79 G12:R35 G45:R74">
    <cfRule type="expression" dxfId="74" priority="1" stopIfTrue="1">
      <formula>$Q$2="ex-ante"</formula>
    </cfRule>
  </conditionalFormatting>
  <pageMargins left="0.70866141732283472" right="0.70866141732283472" top="0.74803149606299213" bottom="0.74803149606299213" header="0.31496062992125984" footer="0.31496062992125984"/>
  <pageSetup paperSize="8" scale="54" orientation="landscape" r:id="rId1"/>
  <colBreaks count="1" manualBreakCount="1">
    <brk id="18" max="121" man="1"/>
  </colBreaks>
  <ignoredErrors>
    <ignoredError sqref="R47:R49 R14 R18:R1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H911"/>
  <sheetViews>
    <sheetView topLeftCell="A38" zoomScale="90" zoomScaleNormal="90" workbookViewId="0">
      <selection activeCell="B39" sqref="B39"/>
    </sheetView>
  </sheetViews>
  <sheetFormatPr defaultColWidth="9.140625" defaultRowHeight="12.75" x14ac:dyDescent="0.2"/>
  <cols>
    <col min="1" max="1" width="48" style="663" customWidth="1"/>
    <col min="2" max="3" width="25.7109375" style="663" customWidth="1"/>
    <col min="4" max="5" width="28.28515625" style="663" customWidth="1"/>
    <col min="6" max="27" width="9.140625" style="663"/>
    <col min="28" max="28" width="13.7109375" style="663" customWidth="1"/>
    <col min="29" max="16384" width="9.140625" style="663"/>
  </cols>
  <sheetData>
    <row r="1" spans="1:8" s="296" customFormat="1" ht="21.6" customHeight="1" thickBot="1" x14ac:dyDescent="0.25">
      <c r="A1" s="1028" t="s">
        <v>318</v>
      </c>
      <c r="B1" s="1029"/>
      <c r="C1" s="1029"/>
      <c r="D1" s="1029"/>
      <c r="E1" s="1030"/>
      <c r="F1" s="289"/>
      <c r="G1" s="289"/>
      <c r="H1" s="289"/>
    </row>
    <row r="2" spans="1:8" s="166" customFormat="1" ht="13.5" thickBot="1" x14ac:dyDescent="0.25"/>
    <row r="3" spans="1:8" s="166" customFormat="1" ht="13.5" thickBot="1" x14ac:dyDescent="0.25">
      <c r="A3" s="292" t="s">
        <v>12</v>
      </c>
      <c r="C3" s="292" t="s">
        <v>13</v>
      </c>
      <c r="D3" s="662">
        <f>TITELBLAD!E13</f>
        <v>2021</v>
      </c>
    </row>
    <row r="4" spans="1:8" s="166" customFormat="1" ht="13.5" thickBot="1" x14ac:dyDescent="0.25">
      <c r="C4" s="292" t="s">
        <v>14</v>
      </c>
      <c r="D4" s="662">
        <f>TITELBLAD!E14</f>
        <v>2024</v>
      </c>
    </row>
    <row r="5" spans="1:8" s="166" customFormat="1" ht="13.5" thickBot="1" x14ac:dyDescent="0.25"/>
    <row r="6" spans="1:8" s="166" customFormat="1" ht="13.5" thickBot="1" x14ac:dyDescent="0.25">
      <c r="A6" s="206" t="s">
        <v>87</v>
      </c>
      <c r="D6" s="662">
        <f>TITELBLAD!E16</f>
        <v>2022</v>
      </c>
      <c r="E6" s="662" t="str">
        <f>+TITELBLAD!F16</f>
        <v>ex-ante</v>
      </c>
      <c r="F6" s="296"/>
      <c r="G6" s="296"/>
    </row>
    <row r="7" spans="1:8" s="166" customFormat="1" x14ac:dyDescent="0.2"/>
    <row r="8" spans="1:8" s="166" customFormat="1" ht="13.5" thickBot="1" x14ac:dyDescent="0.25">
      <c r="A8" s="292" t="s">
        <v>15</v>
      </c>
    </row>
    <row r="9" spans="1:8" s="166" customFormat="1" ht="13.5" thickBot="1" x14ac:dyDescent="0.25">
      <c r="A9" s="1051" t="str">
        <f>TITELBLAD!C7</f>
        <v>NAAM DNB</v>
      </c>
      <c r="B9" s="1052"/>
      <c r="C9" s="1052"/>
      <c r="D9" s="1053"/>
    </row>
    <row r="10" spans="1:8" s="166" customFormat="1" x14ac:dyDescent="0.2"/>
    <row r="11" spans="1:8" s="166" customFormat="1" ht="13.5" thickBot="1" x14ac:dyDescent="0.25">
      <c r="A11" s="292" t="s">
        <v>158</v>
      </c>
    </row>
    <row r="12" spans="1:8" s="166" customFormat="1" ht="13.5" thickBot="1" x14ac:dyDescent="0.25">
      <c r="A12" s="1054" t="str">
        <f>TITELBLAD!C10</f>
        <v>gas</v>
      </c>
      <c r="B12" s="1055"/>
      <c r="C12" s="1055"/>
      <c r="D12" s="1056"/>
    </row>
    <row r="13" spans="1:8" s="166" customFormat="1" x14ac:dyDescent="0.2"/>
    <row r="14" spans="1:8" s="166" customFormat="1" x14ac:dyDescent="0.2">
      <c r="A14" s="353" t="s">
        <v>116</v>
      </c>
    </row>
    <row r="15" spans="1:8" s="166" customFormat="1" ht="13.5" thickBot="1" x14ac:dyDescent="0.25">
      <c r="A15" s="353"/>
    </row>
    <row r="16" spans="1:8" s="166" customFormat="1" ht="60.95" customHeight="1" thickBot="1" x14ac:dyDescent="0.25">
      <c r="A16" s="1059"/>
      <c r="B16" s="1054" t="s">
        <v>163</v>
      </c>
      <c r="C16" s="1056"/>
      <c r="D16" s="729" t="str">
        <f>+'T3'!B230</f>
        <v>Totale werkelijke ontvangsten uit periodieke distributienettarieven voor exogene kosten</v>
      </c>
      <c r="E16" s="729" t="s">
        <v>380</v>
      </c>
    </row>
    <row r="17" spans="1:8" s="166" customFormat="1" ht="13.5" thickBot="1" x14ac:dyDescent="0.25">
      <c r="A17" s="1060"/>
      <c r="B17" s="730" t="s">
        <v>0</v>
      </c>
      <c r="C17" s="731" t="s">
        <v>1</v>
      </c>
      <c r="D17" s="1057">
        <f>+D6</f>
        <v>2022</v>
      </c>
      <c r="E17" s="1057">
        <f>+D6</f>
        <v>2022</v>
      </c>
    </row>
    <row r="18" spans="1:8" s="166" customFormat="1" ht="13.5" thickBot="1" x14ac:dyDescent="0.25">
      <c r="A18" s="751" t="s">
        <v>17</v>
      </c>
      <c r="B18" s="743">
        <f>D6</f>
        <v>2022</v>
      </c>
      <c r="C18" s="744">
        <f>D6</f>
        <v>2022</v>
      </c>
      <c r="D18" s="1058"/>
      <c r="E18" s="1058"/>
    </row>
    <row r="19" spans="1:8" s="166" customFormat="1" ht="29.1" customHeight="1" x14ac:dyDescent="0.2">
      <c r="A19" s="750" t="s">
        <v>341</v>
      </c>
      <c r="B19" s="740">
        <f>+'T3'!D219</f>
        <v>0</v>
      </c>
      <c r="C19" s="741">
        <f>+'T3'!E219</f>
        <v>0</v>
      </c>
      <c r="D19" s="742">
        <f>+'T3'!E231</f>
        <v>0</v>
      </c>
      <c r="E19" s="742">
        <f>+'T3'!E240</f>
        <v>0</v>
      </c>
    </row>
    <row r="20" spans="1:8" s="166" customFormat="1" ht="29.1" customHeight="1" x14ac:dyDescent="0.2">
      <c r="A20" s="745" t="s">
        <v>338</v>
      </c>
      <c r="B20" s="732">
        <f>+'T3'!D220</f>
        <v>0</v>
      </c>
      <c r="C20" s="733">
        <f>+'T3'!E220</f>
        <v>0</v>
      </c>
      <c r="D20" s="737">
        <f>+'T3'!E232</f>
        <v>0</v>
      </c>
      <c r="E20" s="737">
        <f>+'T3'!E241</f>
        <v>0</v>
      </c>
    </row>
    <row r="21" spans="1:8" s="166" customFormat="1" ht="29.1" customHeight="1" x14ac:dyDescent="0.2">
      <c r="A21" s="745" t="s">
        <v>323</v>
      </c>
      <c r="B21" s="732">
        <f>+'T3'!D221</f>
        <v>0</v>
      </c>
      <c r="C21" s="733">
        <f>+'T3'!E221</f>
        <v>0</v>
      </c>
      <c r="D21" s="737">
        <f>+'T3'!E233</f>
        <v>0</v>
      </c>
      <c r="E21" s="737">
        <f>+'T3'!E242</f>
        <v>0</v>
      </c>
    </row>
    <row r="22" spans="1:8" s="166" customFormat="1" ht="29.1" customHeight="1" x14ac:dyDescent="0.2">
      <c r="A22" s="745" t="s">
        <v>324</v>
      </c>
      <c r="B22" s="732">
        <f>+'T3'!D222</f>
        <v>0</v>
      </c>
      <c r="C22" s="733">
        <f>+'T3'!E222</f>
        <v>0</v>
      </c>
      <c r="D22" s="737">
        <f>+'T3'!E234</f>
        <v>0</v>
      </c>
      <c r="E22" s="737">
        <f>+'T3'!E243</f>
        <v>0</v>
      </c>
    </row>
    <row r="23" spans="1:8" s="166" customFormat="1" ht="29.1" customHeight="1" x14ac:dyDescent="0.2">
      <c r="A23" s="746" t="s">
        <v>325</v>
      </c>
      <c r="B23" s="732">
        <f>+'T3'!D223</f>
        <v>0</v>
      </c>
      <c r="C23" s="733">
        <f>+'T3'!E223</f>
        <v>0</v>
      </c>
      <c r="D23" s="737">
        <f>+'T3'!E235</f>
        <v>0</v>
      </c>
      <c r="E23" s="737">
        <f>+'T3'!E244</f>
        <v>0</v>
      </c>
    </row>
    <row r="24" spans="1:8" s="166" customFormat="1" ht="29.1" customHeight="1" x14ac:dyDescent="0.2">
      <c r="A24" s="747" t="s">
        <v>326</v>
      </c>
      <c r="B24" s="732">
        <f>+'T3'!D224</f>
        <v>0</v>
      </c>
      <c r="C24" s="733">
        <f>+'T3'!E224</f>
        <v>0</v>
      </c>
      <c r="D24" s="737">
        <f>+'T3'!E236</f>
        <v>0</v>
      </c>
      <c r="E24" s="737">
        <f>+'T3'!E245</f>
        <v>0</v>
      </c>
    </row>
    <row r="25" spans="1:8" s="166" customFormat="1" ht="29.1" customHeight="1" x14ac:dyDescent="0.2">
      <c r="A25" s="746" t="s">
        <v>327</v>
      </c>
      <c r="B25" s="732">
        <f>+'T3'!D225</f>
        <v>0</v>
      </c>
      <c r="C25" s="733">
        <f>+'T3'!E225</f>
        <v>0</v>
      </c>
      <c r="D25" s="737">
        <f>+'T3'!E237</f>
        <v>0</v>
      </c>
      <c r="E25" s="737">
        <f>+'T3'!E246</f>
        <v>0</v>
      </c>
    </row>
    <row r="26" spans="1:8" s="166" customFormat="1" x14ac:dyDescent="0.2">
      <c r="A26" s="748"/>
      <c r="B26" s="734"/>
      <c r="C26" s="733"/>
      <c r="D26" s="738"/>
      <c r="E26" s="737"/>
    </row>
    <row r="27" spans="1:8" s="166" customFormat="1" ht="29.1" customHeight="1" thickBot="1" x14ac:dyDescent="0.25">
      <c r="A27" s="749" t="s">
        <v>20</v>
      </c>
      <c r="B27" s="735">
        <f>+SUM(B19:B25)</f>
        <v>0</v>
      </c>
      <c r="C27" s="736">
        <f>+SUM(C19:C25)</f>
        <v>0</v>
      </c>
      <c r="D27" s="739">
        <f>+SUM(D19:D25)</f>
        <v>0</v>
      </c>
      <c r="E27" s="739">
        <f>+SUM(E19:E25)</f>
        <v>0</v>
      </c>
      <c r="F27" s="519"/>
    </row>
    <row r="28" spans="1:8" s="166" customFormat="1" x14ac:dyDescent="0.2">
      <c r="A28" s="216"/>
      <c r="B28" s="591"/>
      <c r="C28" s="591"/>
      <c r="D28" s="591"/>
      <c r="E28" s="591"/>
    </row>
    <row r="29" spans="1:8" s="166" customFormat="1" x14ac:dyDescent="0.2"/>
    <row r="30" spans="1:8" s="166" customFormat="1" x14ac:dyDescent="0.2">
      <c r="A30" s="955" t="s">
        <v>462</v>
      </c>
      <c r="B30" s="956"/>
      <c r="E30" s="957" t="s">
        <v>463</v>
      </c>
      <c r="F30" s="771"/>
      <c r="G30" s="771"/>
      <c r="H30" s="771"/>
    </row>
    <row r="31" spans="1:8" s="166" customFormat="1" x14ac:dyDescent="0.2">
      <c r="A31" s="956"/>
      <c r="B31" s="956"/>
    </row>
    <row r="32" spans="1:8" s="166" customFormat="1" ht="13.5" thickBot="1" x14ac:dyDescent="0.25">
      <c r="A32" s="956"/>
      <c r="B32" s="956"/>
    </row>
    <row r="33" spans="1:3" s="166" customFormat="1" ht="42.95" customHeight="1" thickBot="1" x14ac:dyDescent="0.25">
      <c r="A33" s="1049"/>
      <c r="B33" s="958" t="s">
        <v>163</v>
      </c>
    </row>
    <row r="34" spans="1:3" s="166" customFormat="1" ht="13.5" thickBot="1" x14ac:dyDescent="0.25">
      <c r="A34" s="1050"/>
      <c r="B34" s="959" t="s">
        <v>0</v>
      </c>
    </row>
    <row r="35" spans="1:3" s="166" customFormat="1" ht="13.5" thickBot="1" x14ac:dyDescent="0.25">
      <c r="A35" s="960" t="s">
        <v>17</v>
      </c>
      <c r="B35" s="961">
        <f>D6</f>
        <v>2022</v>
      </c>
    </row>
    <row r="36" spans="1:3" s="166" customFormat="1" ht="36" customHeight="1" x14ac:dyDescent="0.2">
      <c r="A36" s="962" t="s">
        <v>452</v>
      </c>
      <c r="B36" s="963">
        <f>+IF($A$12="elektriciteit",-T4B!C371-T4B!C528-T4B!C595-T5B!C324-T5B!C481-T6B!C278-T6B!C413-T6B!C461-'T7'!B110+'T3'!D51+'T3'!D61+'T3'!D65+'T3'!D71+'T3'!D77+'T3'!D83,0)</f>
        <v>0</v>
      </c>
      <c r="C36" s="291"/>
    </row>
    <row r="37" spans="1:3" s="166" customFormat="1" ht="36" customHeight="1" x14ac:dyDescent="0.2">
      <c r="A37" s="962" t="s">
        <v>453</v>
      </c>
      <c r="B37" s="963">
        <f>+IF($A$12="elektriciteit",-T4B!C462-T5B!C415-T6B!C365,0)</f>
        <v>0</v>
      </c>
    </row>
    <row r="38" spans="1:3" s="166" customFormat="1" ht="36" customHeight="1" x14ac:dyDescent="0.2">
      <c r="A38" s="962" t="s">
        <v>454</v>
      </c>
      <c r="B38" s="963">
        <v>0</v>
      </c>
    </row>
    <row r="39" spans="1:3" s="166" customFormat="1" ht="36" customHeight="1" x14ac:dyDescent="0.2">
      <c r="A39" s="964" t="s">
        <v>455</v>
      </c>
      <c r="B39" s="963">
        <f>+IF($A$12="elektriciteit",-T4B!C670-T5B!C567-T6B!C524+'T3'!D127-'T3'!D131+'T3'!D137+'T3'!D138-'T3'!D140-'T3'!D143+'T3'!D147+'T3'!D149+'T3'!D152+'T3'!D153-'T3'!D156-'T3'!D157+'T3'!D160+'T3'!D161+'T3'!D163,0)</f>
        <v>0</v>
      </c>
    </row>
    <row r="40" spans="1:3" s="166" customFormat="1" ht="36" customHeight="1" x14ac:dyDescent="0.2">
      <c r="A40" s="965" t="s">
        <v>456</v>
      </c>
      <c r="B40" s="963">
        <f>+SUM(B41:B51)</f>
        <v>0</v>
      </c>
    </row>
    <row r="41" spans="1:3" s="166" customFormat="1" ht="29.45" customHeight="1" x14ac:dyDescent="0.2">
      <c r="A41" s="966" t="s">
        <v>176</v>
      </c>
      <c r="B41" s="967">
        <f>IF($A$12="elektriciteit",-T4B!C893+'T3'!D38+'T3'!D46-'T3'!D49+'T3'!D107-'T3'!D110+'T3'!D205+'T3'!D206+'T3'!D207-'T3'!D209-'T3'!D210-'T3'!D211,0)</f>
        <v>0</v>
      </c>
      <c r="C41" s="291"/>
    </row>
    <row r="42" spans="1:3" s="166" customFormat="1" ht="29.45" customHeight="1" x14ac:dyDescent="0.2">
      <c r="A42" s="966" t="s">
        <v>337</v>
      </c>
      <c r="B42" s="967">
        <f>+IF($A$12="elektriciteit",'T3'!D104,0)</f>
        <v>0</v>
      </c>
    </row>
    <row r="43" spans="1:3" s="166" customFormat="1" ht="29.45" customHeight="1" x14ac:dyDescent="0.2">
      <c r="A43" s="966" t="s">
        <v>177</v>
      </c>
      <c r="B43" s="967">
        <f>+IF($A$12="elektriciteit",'T3'!D193,0)</f>
        <v>0</v>
      </c>
    </row>
    <row r="44" spans="1:3" s="166" customFormat="1" ht="29.45" customHeight="1" x14ac:dyDescent="0.2">
      <c r="A44" s="966" t="s">
        <v>178</v>
      </c>
      <c r="B44" s="967">
        <f>+IF($A$12="elektriciteit",'T3'!D194,0)</f>
        <v>0</v>
      </c>
    </row>
    <row r="45" spans="1:3" s="166" customFormat="1" ht="29.45" customHeight="1" x14ac:dyDescent="0.2">
      <c r="A45" s="966" t="s">
        <v>179</v>
      </c>
      <c r="B45" s="967">
        <f>+IF($A$12="elektriciteit",'T3'!D195,0)</f>
        <v>0</v>
      </c>
    </row>
    <row r="46" spans="1:3" s="166" customFormat="1" ht="29.45" customHeight="1" x14ac:dyDescent="0.2">
      <c r="A46" s="966" t="s">
        <v>180</v>
      </c>
      <c r="B46" s="967">
        <f>+IF($A$12="elektriciteit",'T3'!D196,0)</f>
        <v>0</v>
      </c>
    </row>
    <row r="47" spans="1:3" s="166" customFormat="1" ht="29.45" customHeight="1" x14ac:dyDescent="0.2">
      <c r="A47" s="966" t="s">
        <v>181</v>
      </c>
      <c r="B47" s="967">
        <f>+IF($A$12="elektriciteit",'T3'!D197,0)</f>
        <v>0</v>
      </c>
    </row>
    <row r="48" spans="1:3" s="166" customFormat="1" ht="29.45" customHeight="1" x14ac:dyDescent="0.2">
      <c r="A48" s="966" t="s">
        <v>182</v>
      </c>
      <c r="B48" s="967">
        <f>+IF($A$12="elektriciteit",'T3'!D198,0)</f>
        <v>0</v>
      </c>
    </row>
    <row r="49" spans="1:2" s="166" customFormat="1" ht="29.45" customHeight="1" x14ac:dyDescent="0.2">
      <c r="A49" s="966" t="s">
        <v>183</v>
      </c>
      <c r="B49" s="967">
        <f>+IF($A$12="elektriciteit",'T3'!D199,0)</f>
        <v>0</v>
      </c>
    </row>
    <row r="50" spans="1:2" s="166" customFormat="1" ht="29.45" customHeight="1" x14ac:dyDescent="0.2">
      <c r="A50" s="966" t="s">
        <v>184</v>
      </c>
      <c r="B50" s="967">
        <f>+IF($A$12="elektriciteit",'T3'!D200,0)</f>
        <v>0</v>
      </c>
    </row>
    <row r="51" spans="1:2" s="166" customFormat="1" ht="29.45" customHeight="1" x14ac:dyDescent="0.2">
      <c r="A51" s="966" t="s">
        <v>185</v>
      </c>
      <c r="B51" s="967">
        <f>+IF($A$12="elektriciteit",'T3'!D201,0)</f>
        <v>0</v>
      </c>
    </row>
    <row r="52" spans="1:2" s="166" customFormat="1" ht="36" customHeight="1" x14ac:dyDescent="0.2">
      <c r="A52" s="964" t="s">
        <v>457</v>
      </c>
      <c r="B52" s="963">
        <v>0</v>
      </c>
    </row>
    <row r="53" spans="1:2" s="166" customFormat="1" ht="36" customHeight="1" x14ac:dyDescent="0.2">
      <c r="A53" s="964" t="s">
        <v>458</v>
      </c>
      <c r="B53" s="963">
        <f>+IF($A$12="elektriciteit",-T4B!C744-T5B!C641-T6B!C580,0)</f>
        <v>0</v>
      </c>
    </row>
    <row r="54" spans="1:2" s="166" customFormat="1" ht="36" customHeight="1" x14ac:dyDescent="0.2">
      <c r="A54" s="964" t="s">
        <v>459</v>
      </c>
      <c r="B54" s="963">
        <f>+IF($A$12="elektriciteit",-T4B!C819-T5B!C716-T6B!C643+'T3'!D181,0)</f>
        <v>0</v>
      </c>
    </row>
    <row r="55" spans="1:2" s="166" customFormat="1" x14ac:dyDescent="0.2">
      <c r="A55" s="968"/>
      <c r="B55" s="969"/>
    </row>
    <row r="56" spans="1:2" s="166" customFormat="1" x14ac:dyDescent="0.2">
      <c r="A56" s="970" t="s">
        <v>460</v>
      </c>
      <c r="B56" s="971">
        <f>SUM(B52:B54,B36:B39)</f>
        <v>0</v>
      </c>
    </row>
    <row r="57" spans="1:2" s="166" customFormat="1" x14ac:dyDescent="0.2">
      <c r="A57" s="970" t="s">
        <v>461</v>
      </c>
      <c r="B57" s="971">
        <f>SUM(B40)</f>
        <v>0</v>
      </c>
    </row>
    <row r="58" spans="1:2" s="166" customFormat="1" ht="13.5" thickBot="1" x14ac:dyDescent="0.25">
      <c r="A58" s="972" t="s">
        <v>20</v>
      </c>
      <c r="B58" s="973">
        <f>SUM(B56:B57)</f>
        <v>0</v>
      </c>
    </row>
    <row r="59" spans="1:2" s="166" customFormat="1" x14ac:dyDescent="0.2"/>
    <row r="60" spans="1:2" s="166" customFormat="1" x14ac:dyDescent="0.2"/>
    <row r="61" spans="1:2" s="166" customFormat="1" x14ac:dyDescent="0.2"/>
    <row r="62" spans="1:2" s="166" customFormat="1" x14ac:dyDescent="0.2"/>
    <row r="63" spans="1:2" s="166" customFormat="1" x14ac:dyDescent="0.2"/>
    <row r="64" spans="1:2" s="166" customFormat="1" x14ac:dyDescent="0.2"/>
    <row r="65" s="166" customFormat="1" x14ac:dyDescent="0.2"/>
    <row r="66" s="166" customFormat="1" x14ac:dyDescent="0.2"/>
    <row r="67" s="166" customFormat="1" x14ac:dyDescent="0.2"/>
    <row r="68" s="166" customFormat="1" x14ac:dyDescent="0.2"/>
    <row r="69" s="166" customFormat="1" x14ac:dyDescent="0.2"/>
    <row r="70" s="166" customFormat="1" x14ac:dyDescent="0.2"/>
    <row r="71" s="166" customFormat="1" x14ac:dyDescent="0.2"/>
    <row r="72" s="166" customFormat="1" x14ac:dyDescent="0.2"/>
    <row r="73" s="166" customFormat="1" x14ac:dyDescent="0.2"/>
    <row r="74" s="166" customFormat="1" x14ac:dyDescent="0.2"/>
    <row r="75" s="166" customFormat="1" x14ac:dyDescent="0.2"/>
    <row r="76" s="166" customFormat="1" x14ac:dyDescent="0.2"/>
    <row r="77" s="166" customFormat="1" x14ac:dyDescent="0.2"/>
    <row r="78" s="166" customFormat="1" x14ac:dyDescent="0.2"/>
    <row r="79" s="166" customFormat="1" x14ac:dyDescent="0.2"/>
    <row r="80" s="166" customFormat="1" x14ac:dyDescent="0.2"/>
    <row r="81" s="166" customFormat="1" x14ac:dyDescent="0.2"/>
    <row r="82" s="166" customFormat="1" x14ac:dyDescent="0.2"/>
    <row r="83" s="166" customFormat="1" x14ac:dyDescent="0.2"/>
    <row r="84" s="166" customFormat="1" x14ac:dyDescent="0.2"/>
    <row r="85" s="166" customFormat="1" x14ac:dyDescent="0.2"/>
    <row r="86" s="166" customFormat="1" x14ac:dyDescent="0.2"/>
    <row r="87" s="166" customFormat="1" x14ac:dyDescent="0.2"/>
    <row r="88" s="166" customFormat="1" x14ac:dyDescent="0.2"/>
    <row r="89" s="166" customFormat="1" x14ac:dyDescent="0.2"/>
    <row r="90" s="166" customFormat="1" x14ac:dyDescent="0.2"/>
    <row r="91" s="166" customFormat="1" x14ac:dyDescent="0.2"/>
    <row r="92" s="166" customFormat="1" x14ac:dyDescent="0.2"/>
    <row r="93" s="166" customFormat="1" x14ac:dyDescent="0.2"/>
    <row r="94" s="166" customFormat="1" x14ac:dyDescent="0.2"/>
    <row r="95" s="166" customFormat="1" x14ac:dyDescent="0.2"/>
    <row r="96" s="166" customFormat="1" x14ac:dyDescent="0.2"/>
    <row r="97" s="166" customFormat="1" x14ac:dyDescent="0.2"/>
    <row r="98" s="166" customFormat="1" x14ac:dyDescent="0.2"/>
    <row r="99" s="166" customFormat="1" x14ac:dyDescent="0.2"/>
    <row r="100" s="166" customFormat="1" x14ac:dyDescent="0.2"/>
    <row r="101" s="166" customFormat="1" x14ac:dyDescent="0.2"/>
    <row r="102" s="166" customFormat="1" x14ac:dyDescent="0.2"/>
    <row r="103" s="166" customFormat="1" x14ac:dyDescent="0.2"/>
    <row r="104" s="166" customFormat="1" x14ac:dyDescent="0.2"/>
    <row r="105" s="166" customFormat="1" x14ac:dyDescent="0.2"/>
    <row r="106" s="166" customFormat="1" x14ac:dyDescent="0.2"/>
    <row r="107" s="166" customFormat="1" x14ac:dyDescent="0.2"/>
    <row r="108" s="166" customFormat="1" x14ac:dyDescent="0.2"/>
    <row r="109" s="166" customFormat="1" x14ac:dyDescent="0.2"/>
    <row r="110" s="166" customFormat="1" x14ac:dyDescent="0.2"/>
    <row r="111" s="166" customFormat="1" x14ac:dyDescent="0.2"/>
    <row r="112" s="166" customFormat="1" x14ac:dyDescent="0.2"/>
    <row r="113" s="166" customFormat="1" x14ac:dyDescent="0.2"/>
    <row r="114" s="166" customFormat="1" x14ac:dyDescent="0.2"/>
    <row r="115" s="166" customFormat="1" x14ac:dyDescent="0.2"/>
    <row r="116" s="166" customFormat="1" x14ac:dyDescent="0.2"/>
    <row r="117" s="166" customFormat="1" x14ac:dyDescent="0.2"/>
    <row r="118" s="166" customFormat="1" x14ac:dyDescent="0.2"/>
    <row r="119" s="166" customFormat="1" x14ac:dyDescent="0.2"/>
    <row r="120" s="166" customFormat="1" x14ac:dyDescent="0.2"/>
    <row r="121" s="166" customFormat="1" x14ac:dyDescent="0.2"/>
    <row r="122" s="166" customFormat="1" x14ac:dyDescent="0.2"/>
    <row r="123" s="166" customFormat="1" x14ac:dyDescent="0.2"/>
    <row r="124" s="166" customFormat="1" x14ac:dyDescent="0.2"/>
    <row r="125" s="166" customFormat="1" x14ac:dyDescent="0.2"/>
    <row r="126" s="166" customFormat="1" x14ac:dyDescent="0.2"/>
    <row r="127" s="166" customFormat="1" x14ac:dyDescent="0.2"/>
    <row r="128" s="166" customFormat="1" x14ac:dyDescent="0.2"/>
    <row r="129" s="166" customFormat="1" x14ac:dyDescent="0.2"/>
    <row r="130" s="166" customFormat="1" x14ac:dyDescent="0.2"/>
    <row r="131" s="166" customFormat="1" x14ac:dyDescent="0.2"/>
    <row r="132" s="166" customFormat="1" x14ac:dyDescent="0.2"/>
    <row r="133" s="166" customFormat="1" x14ac:dyDescent="0.2"/>
    <row r="134" s="166" customFormat="1" x14ac:dyDescent="0.2"/>
    <row r="135" s="166" customFormat="1" x14ac:dyDescent="0.2"/>
    <row r="136" s="166" customFormat="1" x14ac:dyDescent="0.2"/>
    <row r="137" s="166" customFormat="1" x14ac:dyDescent="0.2"/>
    <row r="138" s="166" customFormat="1" x14ac:dyDescent="0.2"/>
    <row r="139" s="166" customFormat="1" x14ac:dyDescent="0.2"/>
    <row r="140" s="166" customFormat="1" x14ac:dyDescent="0.2"/>
    <row r="141" s="166" customFormat="1" x14ac:dyDescent="0.2"/>
    <row r="142" s="166" customFormat="1" x14ac:dyDescent="0.2"/>
    <row r="143" s="166" customFormat="1" x14ac:dyDescent="0.2"/>
    <row r="144" s="166" customFormat="1" x14ac:dyDescent="0.2"/>
    <row r="145" s="166" customFormat="1" x14ac:dyDescent="0.2"/>
    <row r="146" s="166" customFormat="1" x14ac:dyDescent="0.2"/>
    <row r="147" s="166" customFormat="1" x14ac:dyDescent="0.2"/>
    <row r="148" s="166" customFormat="1" x14ac:dyDescent="0.2"/>
    <row r="149" s="166" customFormat="1" x14ac:dyDescent="0.2"/>
    <row r="150" s="166" customFormat="1" x14ac:dyDescent="0.2"/>
    <row r="151" s="166" customFormat="1" x14ac:dyDescent="0.2"/>
    <row r="152" s="166" customFormat="1" x14ac:dyDescent="0.2"/>
    <row r="153" s="166" customFormat="1" x14ac:dyDescent="0.2"/>
    <row r="154" s="166" customFormat="1" x14ac:dyDescent="0.2"/>
    <row r="155" s="166" customFormat="1" x14ac:dyDescent="0.2"/>
    <row r="156" s="166" customFormat="1" x14ac:dyDescent="0.2"/>
    <row r="157" s="166" customFormat="1" x14ac:dyDescent="0.2"/>
    <row r="158" s="166" customFormat="1" x14ac:dyDescent="0.2"/>
    <row r="159" s="166" customFormat="1" x14ac:dyDescent="0.2"/>
    <row r="160" s="166" customFormat="1" x14ac:dyDescent="0.2"/>
    <row r="161" s="166" customFormat="1" x14ac:dyDescent="0.2"/>
    <row r="162" s="166" customFormat="1" x14ac:dyDescent="0.2"/>
    <row r="163" s="166" customFormat="1" x14ac:dyDescent="0.2"/>
    <row r="164" s="166" customFormat="1" x14ac:dyDescent="0.2"/>
    <row r="165" s="166" customFormat="1" x14ac:dyDescent="0.2"/>
    <row r="166" s="166" customFormat="1" x14ac:dyDescent="0.2"/>
    <row r="167" s="166" customFormat="1" x14ac:dyDescent="0.2"/>
    <row r="168" s="166" customFormat="1" x14ac:dyDescent="0.2"/>
    <row r="169" s="166" customFormat="1" x14ac:dyDescent="0.2"/>
    <row r="170" s="166" customFormat="1" x14ac:dyDescent="0.2"/>
    <row r="171" s="166" customFormat="1" x14ac:dyDescent="0.2"/>
    <row r="172" s="166" customFormat="1" x14ac:dyDescent="0.2"/>
    <row r="173" s="166" customFormat="1" x14ac:dyDescent="0.2"/>
    <row r="174" s="166" customFormat="1" x14ac:dyDescent="0.2"/>
    <row r="175" s="166" customFormat="1" x14ac:dyDescent="0.2"/>
    <row r="176" s="166" customFormat="1" x14ac:dyDescent="0.2"/>
    <row r="177" s="166" customFormat="1" x14ac:dyDescent="0.2"/>
    <row r="178" s="166" customFormat="1" x14ac:dyDescent="0.2"/>
    <row r="179" s="166" customFormat="1" x14ac:dyDescent="0.2"/>
    <row r="180" s="166" customFormat="1" x14ac:dyDescent="0.2"/>
    <row r="181" s="166" customFormat="1" x14ac:dyDescent="0.2"/>
    <row r="182" s="166" customFormat="1" x14ac:dyDescent="0.2"/>
    <row r="183" s="166" customFormat="1" x14ac:dyDescent="0.2"/>
    <row r="184" s="166" customFormat="1" x14ac:dyDescent="0.2"/>
    <row r="185" s="166" customFormat="1" x14ac:dyDescent="0.2"/>
    <row r="186" s="166" customFormat="1" x14ac:dyDescent="0.2"/>
    <row r="187" s="166" customFormat="1" x14ac:dyDescent="0.2"/>
    <row r="188" s="166" customFormat="1" x14ac:dyDescent="0.2"/>
    <row r="189" s="166" customFormat="1" x14ac:dyDescent="0.2"/>
    <row r="190" s="166" customFormat="1" x14ac:dyDescent="0.2"/>
    <row r="191" s="166" customFormat="1" x14ac:dyDescent="0.2"/>
    <row r="192" s="166" customFormat="1" x14ac:dyDescent="0.2"/>
    <row r="193" s="166" customFormat="1" x14ac:dyDescent="0.2"/>
    <row r="194" s="166" customFormat="1" x14ac:dyDescent="0.2"/>
    <row r="195" s="166" customFormat="1" x14ac:dyDescent="0.2"/>
    <row r="196" s="166" customFormat="1" x14ac:dyDescent="0.2"/>
    <row r="197" s="166" customFormat="1" x14ac:dyDescent="0.2"/>
    <row r="198" s="166" customFormat="1" x14ac:dyDescent="0.2"/>
    <row r="199" s="166" customFormat="1" x14ac:dyDescent="0.2"/>
    <row r="200" s="166" customFormat="1" x14ac:dyDescent="0.2"/>
    <row r="201" s="166" customFormat="1" x14ac:dyDescent="0.2"/>
    <row r="202" s="166" customFormat="1" x14ac:dyDescent="0.2"/>
    <row r="203" s="166" customFormat="1" x14ac:dyDescent="0.2"/>
    <row r="204" s="166" customFormat="1" x14ac:dyDescent="0.2"/>
    <row r="205" s="166" customFormat="1" x14ac:dyDescent="0.2"/>
    <row r="206" s="166" customFormat="1" x14ac:dyDescent="0.2"/>
    <row r="207" s="166" customFormat="1" x14ac:dyDescent="0.2"/>
    <row r="208" s="166" customFormat="1" x14ac:dyDescent="0.2"/>
    <row r="209" s="166" customFormat="1" x14ac:dyDescent="0.2"/>
    <row r="210" s="166" customFormat="1" x14ac:dyDescent="0.2"/>
    <row r="211" s="166" customFormat="1" x14ac:dyDescent="0.2"/>
    <row r="212" s="166" customFormat="1" x14ac:dyDescent="0.2"/>
    <row r="213" s="166" customFormat="1" x14ac:dyDescent="0.2"/>
    <row r="214" s="166" customFormat="1" x14ac:dyDescent="0.2"/>
    <row r="215" s="166" customFormat="1" x14ac:dyDescent="0.2"/>
    <row r="216" s="166" customFormat="1" x14ac:dyDescent="0.2"/>
    <row r="217" s="166" customFormat="1" x14ac:dyDescent="0.2"/>
    <row r="218" s="166" customFormat="1" x14ac:dyDescent="0.2"/>
    <row r="219" s="166" customFormat="1" x14ac:dyDescent="0.2"/>
    <row r="220" s="166" customFormat="1" x14ac:dyDescent="0.2"/>
    <row r="221" s="166" customFormat="1" x14ac:dyDescent="0.2"/>
    <row r="222" s="166" customFormat="1" x14ac:dyDescent="0.2"/>
    <row r="223" s="166" customFormat="1" x14ac:dyDescent="0.2"/>
    <row r="224" s="166" customFormat="1" x14ac:dyDescent="0.2"/>
    <row r="225" s="166" customFormat="1" x14ac:dyDescent="0.2"/>
    <row r="226" s="166" customFormat="1" x14ac:dyDescent="0.2"/>
    <row r="227" s="166" customFormat="1" x14ac:dyDescent="0.2"/>
    <row r="228" s="166" customFormat="1" x14ac:dyDescent="0.2"/>
    <row r="229" s="166" customFormat="1" x14ac:dyDescent="0.2"/>
    <row r="230" s="166" customFormat="1" x14ac:dyDescent="0.2"/>
    <row r="231" s="166" customFormat="1" x14ac:dyDescent="0.2"/>
    <row r="232" s="166" customFormat="1" x14ac:dyDescent="0.2"/>
    <row r="233" s="166" customFormat="1" x14ac:dyDescent="0.2"/>
    <row r="234" s="166" customFormat="1" x14ac:dyDescent="0.2"/>
    <row r="235" s="166" customFormat="1" x14ac:dyDescent="0.2"/>
    <row r="236" s="166" customFormat="1" x14ac:dyDescent="0.2"/>
    <row r="237" s="166" customFormat="1" x14ac:dyDescent="0.2"/>
    <row r="238" s="166" customFormat="1" x14ac:dyDescent="0.2"/>
    <row r="239" s="166" customFormat="1" x14ac:dyDescent="0.2"/>
    <row r="240" s="166" customFormat="1" x14ac:dyDescent="0.2"/>
    <row r="241" s="166" customFormat="1" x14ac:dyDescent="0.2"/>
    <row r="242" s="166" customFormat="1" x14ac:dyDescent="0.2"/>
    <row r="243" s="166" customFormat="1" x14ac:dyDescent="0.2"/>
    <row r="244" s="166" customFormat="1" x14ac:dyDescent="0.2"/>
    <row r="245" s="166" customFormat="1" x14ac:dyDescent="0.2"/>
    <row r="246" s="166" customFormat="1" x14ac:dyDescent="0.2"/>
    <row r="247" s="166" customFormat="1" x14ac:dyDescent="0.2"/>
    <row r="248" s="166" customFormat="1" x14ac:dyDescent="0.2"/>
    <row r="249" s="166" customFormat="1" x14ac:dyDescent="0.2"/>
    <row r="250" s="166" customFormat="1" x14ac:dyDescent="0.2"/>
    <row r="251" s="166" customFormat="1" x14ac:dyDescent="0.2"/>
    <row r="252" s="166" customFormat="1" x14ac:dyDescent="0.2"/>
    <row r="253" s="166" customFormat="1" x14ac:dyDescent="0.2"/>
    <row r="254" s="166" customFormat="1" x14ac:dyDescent="0.2"/>
    <row r="255" s="166" customFormat="1" x14ac:dyDescent="0.2"/>
    <row r="256" s="166" customFormat="1" x14ac:dyDescent="0.2"/>
    <row r="257" s="166" customFormat="1" x14ac:dyDescent="0.2"/>
    <row r="258" s="166" customFormat="1" x14ac:dyDescent="0.2"/>
    <row r="259" s="166" customFormat="1" x14ac:dyDescent="0.2"/>
    <row r="260" s="166" customFormat="1" x14ac:dyDescent="0.2"/>
    <row r="261" s="166" customFormat="1" x14ac:dyDescent="0.2"/>
    <row r="262" s="166" customFormat="1" x14ac:dyDescent="0.2"/>
    <row r="263" s="166" customFormat="1" x14ac:dyDescent="0.2"/>
    <row r="264" s="166" customFormat="1" x14ac:dyDescent="0.2"/>
    <row r="265" s="166" customFormat="1" x14ac:dyDescent="0.2"/>
    <row r="266" s="166" customFormat="1" x14ac:dyDescent="0.2"/>
    <row r="267" s="166" customFormat="1" x14ac:dyDescent="0.2"/>
    <row r="268" s="166" customFormat="1" x14ac:dyDescent="0.2"/>
    <row r="269" s="166" customFormat="1" x14ac:dyDescent="0.2"/>
    <row r="270" s="166" customFormat="1" x14ac:dyDescent="0.2"/>
    <row r="271" s="166" customFormat="1" x14ac:dyDescent="0.2"/>
    <row r="272" s="166" customFormat="1" x14ac:dyDescent="0.2"/>
    <row r="273" s="166" customFormat="1" x14ac:dyDescent="0.2"/>
    <row r="274" s="166" customFormat="1" x14ac:dyDescent="0.2"/>
    <row r="275" s="166" customFormat="1" x14ac:dyDescent="0.2"/>
    <row r="276" s="166" customFormat="1" x14ac:dyDescent="0.2"/>
    <row r="277" s="166" customFormat="1" x14ac:dyDescent="0.2"/>
    <row r="278" s="166" customFormat="1" x14ac:dyDescent="0.2"/>
    <row r="279" s="166" customFormat="1" x14ac:dyDescent="0.2"/>
    <row r="280" s="166" customFormat="1" x14ac:dyDescent="0.2"/>
    <row r="281" s="166" customFormat="1" x14ac:dyDescent="0.2"/>
    <row r="282" s="166" customFormat="1" x14ac:dyDescent="0.2"/>
    <row r="283" s="166" customFormat="1" x14ac:dyDescent="0.2"/>
    <row r="284" s="166" customFormat="1" x14ac:dyDescent="0.2"/>
    <row r="285" s="166" customFormat="1" x14ac:dyDescent="0.2"/>
    <row r="286" s="166" customFormat="1" x14ac:dyDescent="0.2"/>
    <row r="287" s="166" customFormat="1" x14ac:dyDescent="0.2"/>
    <row r="288" s="166" customFormat="1" x14ac:dyDescent="0.2"/>
    <row r="289" s="166" customFormat="1" x14ac:dyDescent="0.2"/>
    <row r="290" s="166" customFormat="1" x14ac:dyDescent="0.2"/>
    <row r="291" s="166" customFormat="1" x14ac:dyDescent="0.2"/>
    <row r="292" s="166" customFormat="1" x14ac:dyDescent="0.2"/>
    <row r="293" s="166" customFormat="1" x14ac:dyDescent="0.2"/>
    <row r="294" s="166" customFormat="1" x14ac:dyDescent="0.2"/>
    <row r="295" s="166" customFormat="1" x14ac:dyDescent="0.2"/>
    <row r="296" s="166" customFormat="1" x14ac:dyDescent="0.2"/>
    <row r="297" s="166" customFormat="1" x14ac:dyDescent="0.2"/>
    <row r="298" s="166" customFormat="1" x14ac:dyDescent="0.2"/>
    <row r="299" s="166" customFormat="1" x14ac:dyDescent="0.2"/>
    <row r="300" s="166" customFormat="1" x14ac:dyDescent="0.2"/>
    <row r="301" s="166" customFormat="1" x14ac:dyDescent="0.2"/>
    <row r="302" s="166" customFormat="1" x14ac:dyDescent="0.2"/>
    <row r="303" s="166" customFormat="1" x14ac:dyDescent="0.2"/>
    <row r="304" s="166" customFormat="1" x14ac:dyDescent="0.2"/>
    <row r="305" s="166" customFormat="1" x14ac:dyDescent="0.2"/>
    <row r="306" s="166" customFormat="1" x14ac:dyDescent="0.2"/>
    <row r="307" s="166" customFormat="1" x14ac:dyDescent="0.2"/>
    <row r="308" s="166" customFormat="1" x14ac:dyDescent="0.2"/>
    <row r="309" s="166" customFormat="1" x14ac:dyDescent="0.2"/>
    <row r="310" s="166" customFormat="1" x14ac:dyDescent="0.2"/>
    <row r="311" s="166" customFormat="1" x14ac:dyDescent="0.2"/>
    <row r="312" s="166" customFormat="1" x14ac:dyDescent="0.2"/>
    <row r="313" s="166" customFormat="1" x14ac:dyDescent="0.2"/>
    <row r="314" s="166" customFormat="1" x14ac:dyDescent="0.2"/>
    <row r="315" s="166" customFormat="1" x14ac:dyDescent="0.2"/>
    <row r="316" s="166" customFormat="1" x14ac:dyDescent="0.2"/>
    <row r="317" s="166" customFormat="1" x14ac:dyDescent="0.2"/>
    <row r="318" s="166" customFormat="1" x14ac:dyDescent="0.2"/>
    <row r="319" s="166" customFormat="1" x14ac:dyDescent="0.2"/>
    <row r="320" s="166" customFormat="1" x14ac:dyDescent="0.2"/>
    <row r="321" s="166" customFormat="1" x14ac:dyDescent="0.2"/>
    <row r="322" s="166" customFormat="1" x14ac:dyDescent="0.2"/>
    <row r="323" s="166" customFormat="1" x14ac:dyDescent="0.2"/>
    <row r="324" s="166" customFormat="1" x14ac:dyDescent="0.2"/>
    <row r="325" s="166" customFormat="1" x14ac:dyDescent="0.2"/>
    <row r="326" s="166" customFormat="1" x14ac:dyDescent="0.2"/>
    <row r="327" s="166" customFormat="1" x14ac:dyDescent="0.2"/>
    <row r="328" s="166" customFormat="1" x14ac:dyDescent="0.2"/>
    <row r="329" s="166" customFormat="1" x14ac:dyDescent="0.2"/>
    <row r="330" s="166" customFormat="1" x14ac:dyDescent="0.2"/>
    <row r="331" s="166" customFormat="1" x14ac:dyDescent="0.2"/>
    <row r="332" s="166" customFormat="1" x14ac:dyDescent="0.2"/>
    <row r="333" s="166" customFormat="1" x14ac:dyDescent="0.2"/>
    <row r="334" s="166" customFormat="1" x14ac:dyDescent="0.2"/>
    <row r="335" s="166" customFormat="1" x14ac:dyDescent="0.2"/>
    <row r="336" s="166" customFormat="1" x14ac:dyDescent="0.2"/>
    <row r="337" s="166" customFormat="1" x14ac:dyDescent="0.2"/>
    <row r="338" s="166" customFormat="1" x14ac:dyDescent="0.2"/>
    <row r="339" s="166" customFormat="1" x14ac:dyDescent="0.2"/>
    <row r="340" s="166" customFormat="1" x14ac:dyDescent="0.2"/>
    <row r="341" s="166" customFormat="1" x14ac:dyDescent="0.2"/>
    <row r="342" s="166" customFormat="1" x14ac:dyDescent="0.2"/>
    <row r="343" s="166" customFormat="1" x14ac:dyDescent="0.2"/>
    <row r="344" s="166" customFormat="1" x14ac:dyDescent="0.2"/>
    <row r="345" s="166" customFormat="1" x14ac:dyDescent="0.2"/>
    <row r="346" s="166" customFormat="1" x14ac:dyDescent="0.2"/>
    <row r="347" s="166" customFormat="1" x14ac:dyDescent="0.2"/>
    <row r="348" s="166" customFormat="1" x14ac:dyDescent="0.2"/>
    <row r="349" s="166" customFormat="1" x14ac:dyDescent="0.2"/>
    <row r="350" s="166" customFormat="1" x14ac:dyDescent="0.2"/>
    <row r="351" s="166" customFormat="1" x14ac:dyDescent="0.2"/>
    <row r="352" s="166" customFormat="1" x14ac:dyDescent="0.2"/>
    <row r="353" s="166" customFormat="1" x14ac:dyDescent="0.2"/>
    <row r="354" s="166" customFormat="1" x14ac:dyDescent="0.2"/>
    <row r="355" s="166" customFormat="1" x14ac:dyDescent="0.2"/>
    <row r="356" s="166" customFormat="1" x14ac:dyDescent="0.2"/>
    <row r="357" s="166" customFormat="1" x14ac:dyDescent="0.2"/>
    <row r="358" s="166" customFormat="1" x14ac:dyDescent="0.2"/>
    <row r="359" s="166" customFormat="1" x14ac:dyDescent="0.2"/>
    <row r="360" s="166" customFormat="1" x14ac:dyDescent="0.2"/>
    <row r="361" s="166" customFormat="1" x14ac:dyDescent="0.2"/>
    <row r="362" s="166" customFormat="1" x14ac:dyDescent="0.2"/>
    <row r="363" s="166" customFormat="1" x14ac:dyDescent="0.2"/>
    <row r="364" s="166" customFormat="1" x14ac:dyDescent="0.2"/>
    <row r="365" s="166" customFormat="1" x14ac:dyDescent="0.2"/>
    <row r="366" s="166" customFormat="1" x14ac:dyDescent="0.2"/>
    <row r="367" s="166" customFormat="1" x14ac:dyDescent="0.2"/>
    <row r="368" s="166" customFormat="1" x14ac:dyDescent="0.2"/>
    <row r="369" s="166" customFormat="1" x14ac:dyDescent="0.2"/>
    <row r="370" s="166" customFormat="1" x14ac:dyDescent="0.2"/>
    <row r="371" s="166" customFormat="1" x14ac:dyDescent="0.2"/>
    <row r="372" s="166" customFormat="1" x14ac:dyDescent="0.2"/>
    <row r="373" s="166" customFormat="1" x14ac:dyDescent="0.2"/>
    <row r="374" s="166" customFormat="1" x14ac:dyDescent="0.2"/>
    <row r="375" s="166" customFormat="1" x14ac:dyDescent="0.2"/>
    <row r="376" s="166" customFormat="1" x14ac:dyDescent="0.2"/>
    <row r="377" s="166" customFormat="1" x14ac:dyDescent="0.2"/>
    <row r="378" s="166" customFormat="1" x14ac:dyDescent="0.2"/>
    <row r="379" s="166" customFormat="1" x14ac:dyDescent="0.2"/>
    <row r="380" s="166" customFormat="1" x14ac:dyDescent="0.2"/>
    <row r="381" s="166" customFormat="1" x14ac:dyDescent="0.2"/>
    <row r="382" s="166" customFormat="1" x14ac:dyDescent="0.2"/>
    <row r="383" s="166" customFormat="1" x14ac:dyDescent="0.2"/>
    <row r="384" s="166" customFormat="1" x14ac:dyDescent="0.2"/>
    <row r="385" s="166" customFormat="1" x14ac:dyDescent="0.2"/>
    <row r="386" s="166" customFormat="1" x14ac:dyDescent="0.2"/>
    <row r="387" s="166" customFormat="1" x14ac:dyDescent="0.2"/>
    <row r="388" s="166" customFormat="1" x14ac:dyDescent="0.2"/>
    <row r="389" s="166" customFormat="1" x14ac:dyDescent="0.2"/>
    <row r="390" s="166" customFormat="1" x14ac:dyDescent="0.2"/>
    <row r="391" s="166" customFormat="1" x14ac:dyDescent="0.2"/>
    <row r="392" s="166" customFormat="1" x14ac:dyDescent="0.2"/>
    <row r="393" s="166" customFormat="1" x14ac:dyDescent="0.2"/>
    <row r="394" s="166" customFormat="1" x14ac:dyDescent="0.2"/>
    <row r="395" s="166" customFormat="1" x14ac:dyDescent="0.2"/>
    <row r="396" s="166" customFormat="1" x14ac:dyDescent="0.2"/>
    <row r="397" s="166" customFormat="1" x14ac:dyDescent="0.2"/>
    <row r="398" s="166" customFormat="1" x14ac:dyDescent="0.2"/>
    <row r="399" s="166" customFormat="1" x14ac:dyDescent="0.2"/>
    <row r="400" s="166" customFormat="1" x14ac:dyDescent="0.2"/>
    <row r="401" s="166" customFormat="1" x14ac:dyDescent="0.2"/>
    <row r="402" s="166" customFormat="1" x14ac:dyDescent="0.2"/>
    <row r="403" s="166" customFormat="1" x14ac:dyDescent="0.2"/>
    <row r="404" s="166" customFormat="1" x14ac:dyDescent="0.2"/>
    <row r="405" s="166" customFormat="1" x14ac:dyDescent="0.2"/>
    <row r="406" s="166" customFormat="1" x14ac:dyDescent="0.2"/>
    <row r="407" s="166" customFormat="1" x14ac:dyDescent="0.2"/>
    <row r="408" s="166" customFormat="1" x14ac:dyDescent="0.2"/>
    <row r="409" s="166" customFormat="1" x14ac:dyDescent="0.2"/>
    <row r="410" s="166" customFormat="1" x14ac:dyDescent="0.2"/>
    <row r="411" s="166" customFormat="1" x14ac:dyDescent="0.2"/>
    <row r="412" s="166" customFormat="1" x14ac:dyDescent="0.2"/>
    <row r="413" s="166" customFormat="1" x14ac:dyDescent="0.2"/>
    <row r="414" s="166" customFormat="1" x14ac:dyDescent="0.2"/>
    <row r="415" s="166" customFormat="1" x14ac:dyDescent="0.2"/>
    <row r="416" s="166" customFormat="1" x14ac:dyDescent="0.2"/>
    <row r="417" s="166" customFormat="1" x14ac:dyDescent="0.2"/>
    <row r="418" s="166" customFormat="1" x14ac:dyDescent="0.2"/>
    <row r="419" s="166" customFormat="1" x14ac:dyDescent="0.2"/>
    <row r="420" s="166" customFormat="1" x14ac:dyDescent="0.2"/>
    <row r="421" s="166" customFormat="1" x14ac:dyDescent="0.2"/>
    <row r="422" s="166" customFormat="1" x14ac:dyDescent="0.2"/>
    <row r="423" s="166" customFormat="1" x14ac:dyDescent="0.2"/>
    <row r="424" s="166" customFormat="1" x14ac:dyDescent="0.2"/>
    <row r="425" s="166" customFormat="1" x14ac:dyDescent="0.2"/>
    <row r="426" s="166" customFormat="1" x14ac:dyDescent="0.2"/>
    <row r="427" s="166" customFormat="1" x14ac:dyDescent="0.2"/>
    <row r="428" s="166" customFormat="1" x14ac:dyDescent="0.2"/>
    <row r="429" s="166" customFormat="1" x14ac:dyDescent="0.2"/>
    <row r="430" s="166" customFormat="1" x14ac:dyDescent="0.2"/>
    <row r="431" s="166" customFormat="1" x14ac:dyDescent="0.2"/>
    <row r="432" s="166" customFormat="1" x14ac:dyDescent="0.2"/>
    <row r="433" s="166" customFormat="1" x14ac:dyDescent="0.2"/>
    <row r="434" s="166" customFormat="1" x14ac:dyDescent="0.2"/>
    <row r="435" s="166" customFormat="1" x14ac:dyDescent="0.2"/>
    <row r="436" s="166" customFormat="1" x14ac:dyDescent="0.2"/>
    <row r="437" s="166" customFormat="1" x14ac:dyDescent="0.2"/>
    <row r="438" s="166" customFormat="1" x14ac:dyDescent="0.2"/>
    <row r="439" s="166" customFormat="1" x14ac:dyDescent="0.2"/>
    <row r="440" s="166" customFormat="1" x14ac:dyDescent="0.2"/>
    <row r="441" s="166" customFormat="1" x14ac:dyDescent="0.2"/>
    <row r="442" s="166" customFormat="1" x14ac:dyDescent="0.2"/>
    <row r="443" s="166" customFormat="1" x14ac:dyDescent="0.2"/>
    <row r="444" s="166" customFormat="1" x14ac:dyDescent="0.2"/>
    <row r="445" s="166" customFormat="1" x14ac:dyDescent="0.2"/>
    <row r="446" s="166" customFormat="1" x14ac:dyDescent="0.2"/>
    <row r="447" s="166" customFormat="1" x14ac:dyDescent="0.2"/>
    <row r="448" s="166" customFormat="1" x14ac:dyDescent="0.2"/>
    <row r="449" s="166" customFormat="1" x14ac:dyDescent="0.2"/>
    <row r="450" s="166" customFormat="1" x14ac:dyDescent="0.2"/>
    <row r="451" s="166" customFormat="1" x14ac:dyDescent="0.2"/>
    <row r="452" s="166" customFormat="1" x14ac:dyDescent="0.2"/>
    <row r="453" s="166" customFormat="1" x14ac:dyDescent="0.2"/>
    <row r="454" s="166" customFormat="1" x14ac:dyDescent="0.2"/>
    <row r="455" s="166" customFormat="1" x14ac:dyDescent="0.2"/>
    <row r="456" s="166" customFormat="1" x14ac:dyDescent="0.2"/>
    <row r="457" s="166" customFormat="1" x14ac:dyDescent="0.2"/>
    <row r="458" s="166" customFormat="1" x14ac:dyDescent="0.2"/>
    <row r="459" s="166" customFormat="1" x14ac:dyDescent="0.2"/>
    <row r="460" s="166" customFormat="1" x14ac:dyDescent="0.2"/>
    <row r="461" s="166" customFormat="1" x14ac:dyDescent="0.2"/>
    <row r="462" s="166" customFormat="1" x14ac:dyDescent="0.2"/>
    <row r="463" s="166" customFormat="1" x14ac:dyDescent="0.2"/>
    <row r="464" s="166" customFormat="1" x14ac:dyDescent="0.2"/>
    <row r="465" s="166" customFormat="1" x14ac:dyDescent="0.2"/>
    <row r="466" s="166" customFormat="1" x14ac:dyDescent="0.2"/>
    <row r="467" s="166" customFormat="1" x14ac:dyDescent="0.2"/>
    <row r="468" s="166" customFormat="1" x14ac:dyDescent="0.2"/>
    <row r="469" s="166" customFormat="1" x14ac:dyDescent="0.2"/>
    <row r="470" s="166" customFormat="1" x14ac:dyDescent="0.2"/>
    <row r="471" s="166" customFormat="1" x14ac:dyDescent="0.2"/>
    <row r="472" s="166" customFormat="1" x14ac:dyDescent="0.2"/>
    <row r="473" s="166" customFormat="1" x14ac:dyDescent="0.2"/>
    <row r="474" s="166" customFormat="1" x14ac:dyDescent="0.2"/>
    <row r="475" s="166" customFormat="1" x14ac:dyDescent="0.2"/>
    <row r="476" s="166" customFormat="1" x14ac:dyDescent="0.2"/>
    <row r="477" s="166" customFormat="1" x14ac:dyDescent="0.2"/>
    <row r="478" s="166" customFormat="1" x14ac:dyDescent="0.2"/>
    <row r="479" s="166" customFormat="1" x14ac:dyDescent="0.2"/>
    <row r="480" s="166" customFormat="1" x14ac:dyDescent="0.2"/>
    <row r="481" s="166" customFormat="1" x14ac:dyDescent="0.2"/>
    <row r="482" s="166" customFormat="1" x14ac:dyDescent="0.2"/>
    <row r="483" s="166" customFormat="1" x14ac:dyDescent="0.2"/>
    <row r="484" s="166" customFormat="1" x14ac:dyDescent="0.2"/>
    <row r="485" s="166" customFormat="1" x14ac:dyDescent="0.2"/>
    <row r="486" s="166" customFormat="1" x14ac:dyDescent="0.2"/>
    <row r="487" s="166" customFormat="1" x14ac:dyDescent="0.2"/>
    <row r="488" s="166" customFormat="1" x14ac:dyDescent="0.2"/>
    <row r="489" s="166" customFormat="1" x14ac:dyDescent="0.2"/>
    <row r="490" s="166" customFormat="1" x14ac:dyDescent="0.2"/>
    <row r="491" s="166" customFormat="1" x14ac:dyDescent="0.2"/>
    <row r="492" s="166" customFormat="1" x14ac:dyDescent="0.2"/>
    <row r="493" s="166" customFormat="1" x14ac:dyDescent="0.2"/>
    <row r="494" s="166" customFormat="1" x14ac:dyDescent="0.2"/>
    <row r="495" s="166" customFormat="1" x14ac:dyDescent="0.2"/>
    <row r="496" s="166" customFormat="1" x14ac:dyDescent="0.2"/>
    <row r="497" s="166" customFormat="1" x14ac:dyDescent="0.2"/>
    <row r="498" s="166" customFormat="1" x14ac:dyDescent="0.2"/>
    <row r="499" s="166" customFormat="1" x14ac:dyDescent="0.2"/>
    <row r="500" s="166" customFormat="1" x14ac:dyDescent="0.2"/>
    <row r="501" s="166" customFormat="1" x14ac:dyDescent="0.2"/>
    <row r="502" s="166" customFormat="1" x14ac:dyDescent="0.2"/>
    <row r="503" s="166" customFormat="1" x14ac:dyDescent="0.2"/>
    <row r="504" s="166" customFormat="1" x14ac:dyDescent="0.2"/>
    <row r="505" s="166" customFormat="1" x14ac:dyDescent="0.2"/>
    <row r="506" s="166" customFormat="1" x14ac:dyDescent="0.2"/>
    <row r="507" s="166" customFormat="1" x14ac:dyDescent="0.2"/>
    <row r="508" s="166" customFormat="1" x14ac:dyDescent="0.2"/>
    <row r="509" s="166" customFormat="1" x14ac:dyDescent="0.2"/>
    <row r="510" s="166" customFormat="1" x14ac:dyDescent="0.2"/>
    <row r="511" s="166" customFormat="1" x14ac:dyDescent="0.2"/>
    <row r="512" s="166" customFormat="1" x14ac:dyDescent="0.2"/>
    <row r="513" s="166" customFormat="1" x14ac:dyDescent="0.2"/>
    <row r="514" s="166" customFormat="1" x14ac:dyDescent="0.2"/>
    <row r="515" s="166" customFormat="1" x14ac:dyDescent="0.2"/>
    <row r="516" s="166" customFormat="1" x14ac:dyDescent="0.2"/>
    <row r="517" s="166" customFormat="1" x14ac:dyDescent="0.2"/>
    <row r="518" s="166" customFormat="1" x14ac:dyDescent="0.2"/>
    <row r="519" s="166" customFormat="1" x14ac:dyDescent="0.2"/>
    <row r="520" s="166" customFormat="1" x14ac:dyDescent="0.2"/>
    <row r="521" s="166" customFormat="1" x14ac:dyDescent="0.2"/>
    <row r="522" s="166" customFormat="1" x14ac:dyDescent="0.2"/>
    <row r="523" s="166" customFormat="1" x14ac:dyDescent="0.2"/>
    <row r="524" s="166" customFormat="1" x14ac:dyDescent="0.2"/>
    <row r="525" s="166" customFormat="1" x14ac:dyDescent="0.2"/>
    <row r="526" s="166" customFormat="1" x14ac:dyDescent="0.2"/>
    <row r="527" s="166" customFormat="1" x14ac:dyDescent="0.2"/>
    <row r="528" s="166" customFormat="1" x14ac:dyDescent="0.2"/>
    <row r="529" s="166" customFormat="1" x14ac:dyDescent="0.2"/>
    <row r="530" s="166" customFormat="1" x14ac:dyDescent="0.2"/>
    <row r="531" s="166" customFormat="1" x14ac:dyDescent="0.2"/>
    <row r="532" s="166" customFormat="1" x14ac:dyDescent="0.2"/>
    <row r="533" s="166" customFormat="1" x14ac:dyDescent="0.2"/>
    <row r="534" s="166" customFormat="1" x14ac:dyDescent="0.2"/>
    <row r="535" s="166" customFormat="1" x14ac:dyDescent="0.2"/>
    <row r="536" s="166" customFormat="1" x14ac:dyDescent="0.2"/>
    <row r="537" s="166" customFormat="1" x14ac:dyDescent="0.2"/>
    <row r="538" s="166" customFormat="1" x14ac:dyDescent="0.2"/>
    <row r="539" s="166" customFormat="1" x14ac:dyDescent="0.2"/>
    <row r="540" s="166" customFormat="1" x14ac:dyDescent="0.2"/>
    <row r="541" s="166" customFormat="1" x14ac:dyDescent="0.2"/>
    <row r="542" s="166" customFormat="1" x14ac:dyDescent="0.2"/>
    <row r="543" s="166" customFormat="1" x14ac:dyDescent="0.2"/>
    <row r="544" s="166" customFormat="1" x14ac:dyDescent="0.2"/>
    <row r="545" s="166" customFormat="1" x14ac:dyDescent="0.2"/>
    <row r="546" s="166" customFormat="1" x14ac:dyDescent="0.2"/>
    <row r="547" s="166" customFormat="1" x14ac:dyDescent="0.2"/>
    <row r="548" s="166" customFormat="1" x14ac:dyDescent="0.2"/>
    <row r="549" s="166" customFormat="1" x14ac:dyDescent="0.2"/>
    <row r="550" s="166" customFormat="1" x14ac:dyDescent="0.2"/>
    <row r="551" s="166" customFormat="1" x14ac:dyDescent="0.2"/>
    <row r="552" s="166" customFormat="1" x14ac:dyDescent="0.2"/>
    <row r="553" s="166" customFormat="1" x14ac:dyDescent="0.2"/>
    <row r="554" s="166" customFormat="1" x14ac:dyDescent="0.2"/>
    <row r="555" s="166" customFormat="1" x14ac:dyDescent="0.2"/>
    <row r="556" s="166" customFormat="1" x14ac:dyDescent="0.2"/>
    <row r="557" s="166" customFormat="1" x14ac:dyDescent="0.2"/>
    <row r="558" s="166" customFormat="1" x14ac:dyDescent="0.2"/>
    <row r="559" s="166" customFormat="1" x14ac:dyDescent="0.2"/>
    <row r="560" s="166" customFormat="1" x14ac:dyDescent="0.2"/>
    <row r="561" s="166" customFormat="1" x14ac:dyDescent="0.2"/>
    <row r="562" s="166" customFormat="1" x14ac:dyDescent="0.2"/>
    <row r="563" s="166" customFormat="1" x14ac:dyDescent="0.2"/>
    <row r="564" s="166" customFormat="1" x14ac:dyDescent="0.2"/>
    <row r="565" s="166" customFormat="1" x14ac:dyDescent="0.2"/>
    <row r="566" s="166" customFormat="1" x14ac:dyDescent="0.2"/>
    <row r="567" s="166" customFormat="1" x14ac:dyDescent="0.2"/>
    <row r="568" s="166" customFormat="1" x14ac:dyDescent="0.2"/>
    <row r="569" s="166" customFormat="1" x14ac:dyDescent="0.2"/>
    <row r="570" s="166" customFormat="1" x14ac:dyDescent="0.2"/>
    <row r="571" s="166" customFormat="1" x14ac:dyDescent="0.2"/>
    <row r="572" s="166" customFormat="1" x14ac:dyDescent="0.2"/>
    <row r="573" s="166" customFormat="1" x14ac:dyDescent="0.2"/>
    <row r="574" s="166" customFormat="1" x14ac:dyDescent="0.2"/>
    <row r="575" s="166" customFormat="1" x14ac:dyDescent="0.2"/>
    <row r="576" s="166" customFormat="1" x14ac:dyDescent="0.2"/>
    <row r="577" s="166" customFormat="1" x14ac:dyDescent="0.2"/>
    <row r="578" s="166" customFormat="1" x14ac:dyDescent="0.2"/>
    <row r="579" s="166" customFormat="1" x14ac:dyDescent="0.2"/>
    <row r="580" s="166" customFormat="1" x14ac:dyDescent="0.2"/>
    <row r="581" s="166" customFormat="1" x14ac:dyDescent="0.2"/>
    <row r="582" s="166" customFormat="1" x14ac:dyDescent="0.2"/>
    <row r="583" s="166" customFormat="1" x14ac:dyDescent="0.2"/>
    <row r="584" s="166" customFormat="1" x14ac:dyDescent="0.2"/>
    <row r="585" s="166" customFormat="1" x14ac:dyDescent="0.2"/>
    <row r="586" s="166" customFormat="1" x14ac:dyDescent="0.2"/>
    <row r="587" s="166" customFormat="1" x14ac:dyDescent="0.2"/>
    <row r="588" s="166" customFormat="1" x14ac:dyDescent="0.2"/>
    <row r="589" s="166" customFormat="1" x14ac:dyDescent="0.2"/>
    <row r="590" s="166" customFormat="1" x14ac:dyDescent="0.2"/>
    <row r="591" s="166" customFormat="1" x14ac:dyDescent="0.2"/>
    <row r="592" s="166" customFormat="1" x14ac:dyDescent="0.2"/>
    <row r="593" s="166" customFormat="1" x14ac:dyDescent="0.2"/>
    <row r="594" s="166" customFormat="1" x14ac:dyDescent="0.2"/>
    <row r="595" s="166" customFormat="1" x14ac:dyDescent="0.2"/>
    <row r="596" s="166" customFormat="1" x14ac:dyDescent="0.2"/>
    <row r="597" s="166" customFormat="1" x14ac:dyDescent="0.2"/>
    <row r="598" s="166" customFormat="1" x14ac:dyDescent="0.2"/>
    <row r="599" s="166" customFormat="1" x14ac:dyDescent="0.2"/>
    <row r="600" s="166" customFormat="1" x14ac:dyDescent="0.2"/>
    <row r="601" s="166" customFormat="1" x14ac:dyDescent="0.2"/>
    <row r="602" s="166" customFormat="1" x14ac:dyDescent="0.2"/>
    <row r="603" s="166" customFormat="1" x14ac:dyDescent="0.2"/>
    <row r="604" s="166" customFormat="1" x14ac:dyDescent="0.2"/>
    <row r="605" s="166" customFormat="1" x14ac:dyDescent="0.2"/>
    <row r="606" s="166" customFormat="1" x14ac:dyDescent="0.2"/>
    <row r="607" s="166" customFormat="1" x14ac:dyDescent="0.2"/>
    <row r="608" s="166" customFormat="1" x14ac:dyDescent="0.2"/>
    <row r="609" s="166" customFormat="1" x14ac:dyDescent="0.2"/>
    <row r="610" s="166" customFormat="1" x14ac:dyDescent="0.2"/>
    <row r="611" s="166" customFormat="1" x14ac:dyDescent="0.2"/>
    <row r="612" s="166" customFormat="1" x14ac:dyDescent="0.2"/>
    <row r="613" s="166" customFormat="1" x14ac:dyDescent="0.2"/>
    <row r="614" s="166" customFormat="1" x14ac:dyDescent="0.2"/>
    <row r="615" s="166" customFormat="1" x14ac:dyDescent="0.2"/>
    <row r="616" s="166" customFormat="1" x14ac:dyDescent="0.2"/>
    <row r="617" s="166" customFormat="1" x14ac:dyDescent="0.2"/>
    <row r="618" s="166" customFormat="1" x14ac:dyDescent="0.2"/>
    <row r="619" s="166" customFormat="1" x14ac:dyDescent="0.2"/>
    <row r="620" s="166" customFormat="1" x14ac:dyDescent="0.2"/>
    <row r="621" s="166" customFormat="1" x14ac:dyDescent="0.2"/>
    <row r="622" s="166" customFormat="1" x14ac:dyDescent="0.2"/>
    <row r="623" s="166" customFormat="1" x14ac:dyDescent="0.2"/>
    <row r="624" s="166" customFormat="1" x14ac:dyDescent="0.2"/>
    <row r="625" s="166" customFormat="1" x14ac:dyDescent="0.2"/>
    <row r="626" s="166" customFormat="1" x14ac:dyDescent="0.2"/>
    <row r="627" s="166" customFormat="1" x14ac:dyDescent="0.2"/>
    <row r="628" s="166" customFormat="1" x14ac:dyDescent="0.2"/>
    <row r="629" s="166" customFormat="1" x14ac:dyDescent="0.2"/>
    <row r="630" s="166" customFormat="1" x14ac:dyDescent="0.2"/>
    <row r="631" s="166" customFormat="1" x14ac:dyDescent="0.2"/>
    <row r="632" s="166" customFormat="1" x14ac:dyDescent="0.2"/>
    <row r="633" s="166" customFormat="1" x14ac:dyDescent="0.2"/>
    <row r="634" s="166" customFormat="1" x14ac:dyDescent="0.2"/>
    <row r="635" s="166" customFormat="1" x14ac:dyDescent="0.2"/>
    <row r="636" s="166" customFormat="1" x14ac:dyDescent="0.2"/>
    <row r="637" s="166" customFormat="1" x14ac:dyDescent="0.2"/>
    <row r="638" s="166" customFormat="1" x14ac:dyDescent="0.2"/>
    <row r="639" s="166" customFormat="1" x14ac:dyDescent="0.2"/>
    <row r="640" s="166" customFormat="1" x14ac:dyDescent="0.2"/>
    <row r="641" s="166" customFormat="1" x14ac:dyDescent="0.2"/>
    <row r="642" s="166" customFormat="1" x14ac:dyDescent="0.2"/>
    <row r="643" s="166" customFormat="1" x14ac:dyDescent="0.2"/>
    <row r="644" s="166" customFormat="1" x14ac:dyDescent="0.2"/>
    <row r="645" s="166" customFormat="1" x14ac:dyDescent="0.2"/>
    <row r="646" s="166" customFormat="1" x14ac:dyDescent="0.2"/>
    <row r="647" s="166" customFormat="1" x14ac:dyDescent="0.2"/>
    <row r="648" s="166" customFormat="1" x14ac:dyDescent="0.2"/>
    <row r="649" s="166" customFormat="1" x14ac:dyDescent="0.2"/>
    <row r="650" s="166" customFormat="1" x14ac:dyDescent="0.2"/>
    <row r="651" s="166" customFormat="1" x14ac:dyDescent="0.2"/>
    <row r="652" s="166" customFormat="1" x14ac:dyDescent="0.2"/>
    <row r="653" s="166" customFormat="1" x14ac:dyDescent="0.2"/>
    <row r="654" s="166" customFormat="1" x14ac:dyDescent="0.2"/>
    <row r="655" s="166" customFormat="1" x14ac:dyDescent="0.2"/>
    <row r="656" s="166" customFormat="1" x14ac:dyDescent="0.2"/>
    <row r="657" s="166" customFormat="1" x14ac:dyDescent="0.2"/>
    <row r="658" s="166" customFormat="1" x14ac:dyDescent="0.2"/>
    <row r="659" s="166" customFormat="1" x14ac:dyDescent="0.2"/>
    <row r="660" s="166" customFormat="1" x14ac:dyDescent="0.2"/>
    <row r="661" s="166" customFormat="1" x14ac:dyDescent="0.2"/>
    <row r="662" s="166" customFormat="1" x14ac:dyDescent="0.2"/>
    <row r="663" s="166" customFormat="1" x14ac:dyDescent="0.2"/>
    <row r="664" s="166" customFormat="1" x14ac:dyDescent="0.2"/>
    <row r="665" s="166" customFormat="1" x14ac:dyDescent="0.2"/>
    <row r="666" s="166" customFormat="1" x14ac:dyDescent="0.2"/>
    <row r="667" s="166" customFormat="1" x14ac:dyDescent="0.2"/>
    <row r="668" s="166" customFormat="1" x14ac:dyDescent="0.2"/>
    <row r="669" s="166" customFormat="1" x14ac:dyDescent="0.2"/>
    <row r="670" s="166" customFormat="1" x14ac:dyDescent="0.2"/>
    <row r="671" s="166" customFormat="1" x14ac:dyDescent="0.2"/>
    <row r="672" s="166" customFormat="1" x14ac:dyDescent="0.2"/>
    <row r="673" s="166" customFormat="1" x14ac:dyDescent="0.2"/>
    <row r="674" s="166" customFormat="1" x14ac:dyDescent="0.2"/>
    <row r="675" s="166" customFormat="1" x14ac:dyDescent="0.2"/>
    <row r="676" s="166" customFormat="1" x14ac:dyDescent="0.2"/>
    <row r="677" s="166" customFormat="1" x14ac:dyDescent="0.2"/>
    <row r="678" s="166" customFormat="1" x14ac:dyDescent="0.2"/>
    <row r="679" s="166" customFormat="1" x14ac:dyDescent="0.2"/>
    <row r="680" s="166" customFormat="1" x14ac:dyDescent="0.2"/>
    <row r="681" s="166" customFormat="1" x14ac:dyDescent="0.2"/>
    <row r="682" s="166" customFormat="1" x14ac:dyDescent="0.2"/>
    <row r="683" s="166" customFormat="1" x14ac:dyDescent="0.2"/>
    <row r="684" s="166" customFormat="1" x14ac:dyDescent="0.2"/>
    <row r="685" s="166" customFormat="1" x14ac:dyDescent="0.2"/>
    <row r="686" s="166" customFormat="1" x14ac:dyDescent="0.2"/>
    <row r="687" s="166" customFormat="1" x14ac:dyDescent="0.2"/>
    <row r="688" s="166" customFormat="1" x14ac:dyDescent="0.2"/>
    <row r="689" s="166" customFormat="1" x14ac:dyDescent="0.2"/>
    <row r="690" s="166" customFormat="1" x14ac:dyDescent="0.2"/>
    <row r="691" s="166" customFormat="1" x14ac:dyDescent="0.2"/>
    <row r="692" s="166" customFormat="1" x14ac:dyDescent="0.2"/>
    <row r="693" s="166" customFormat="1" x14ac:dyDescent="0.2"/>
    <row r="694" s="166" customFormat="1" x14ac:dyDescent="0.2"/>
    <row r="695" s="166" customFormat="1" x14ac:dyDescent="0.2"/>
    <row r="696" s="166" customFormat="1" x14ac:dyDescent="0.2"/>
    <row r="697" s="166" customFormat="1" x14ac:dyDescent="0.2"/>
    <row r="698" s="166" customFormat="1" x14ac:dyDescent="0.2"/>
    <row r="699" s="166" customFormat="1" x14ac:dyDescent="0.2"/>
    <row r="700" s="166" customFormat="1" x14ac:dyDescent="0.2"/>
    <row r="701" s="166" customFormat="1" x14ac:dyDescent="0.2"/>
    <row r="702" s="166" customFormat="1" x14ac:dyDescent="0.2"/>
    <row r="703" s="166" customFormat="1" x14ac:dyDescent="0.2"/>
    <row r="704" s="166" customFormat="1" x14ac:dyDescent="0.2"/>
    <row r="705" s="166" customFormat="1" x14ac:dyDescent="0.2"/>
    <row r="706" s="166" customFormat="1" x14ac:dyDescent="0.2"/>
    <row r="707" s="166" customFormat="1" x14ac:dyDescent="0.2"/>
    <row r="708" s="166" customFormat="1" x14ac:dyDescent="0.2"/>
    <row r="709" s="166" customFormat="1" x14ac:dyDescent="0.2"/>
    <row r="710" s="166" customFormat="1" x14ac:dyDescent="0.2"/>
    <row r="711" s="166" customFormat="1" x14ac:dyDescent="0.2"/>
    <row r="712" s="166" customFormat="1" x14ac:dyDescent="0.2"/>
    <row r="713" s="166" customFormat="1" x14ac:dyDescent="0.2"/>
    <row r="714" s="166" customFormat="1" x14ac:dyDescent="0.2"/>
    <row r="715" s="166" customFormat="1" x14ac:dyDescent="0.2"/>
    <row r="716" s="166" customFormat="1" x14ac:dyDescent="0.2"/>
    <row r="717" s="166" customFormat="1" x14ac:dyDescent="0.2"/>
    <row r="718" s="166" customFormat="1" x14ac:dyDescent="0.2"/>
    <row r="719" s="166" customFormat="1" x14ac:dyDescent="0.2"/>
    <row r="720" s="166" customFormat="1" x14ac:dyDescent="0.2"/>
    <row r="721" s="166" customFormat="1" x14ac:dyDescent="0.2"/>
    <row r="722" s="166" customFormat="1" x14ac:dyDescent="0.2"/>
    <row r="723" s="166" customFormat="1" x14ac:dyDescent="0.2"/>
    <row r="724" s="166" customFormat="1" x14ac:dyDescent="0.2"/>
    <row r="725" s="166" customFormat="1" x14ac:dyDescent="0.2"/>
    <row r="726" s="166" customFormat="1" x14ac:dyDescent="0.2"/>
    <row r="727" s="166" customFormat="1" x14ac:dyDescent="0.2"/>
    <row r="728" s="166" customFormat="1" x14ac:dyDescent="0.2"/>
    <row r="729" s="166" customFormat="1" x14ac:dyDescent="0.2"/>
    <row r="730" s="166" customFormat="1" x14ac:dyDescent="0.2"/>
    <row r="731" s="166" customFormat="1" x14ac:dyDescent="0.2"/>
    <row r="732" s="166" customFormat="1" x14ac:dyDescent="0.2"/>
    <row r="733" s="166" customFormat="1" x14ac:dyDescent="0.2"/>
    <row r="734" s="166" customFormat="1" x14ac:dyDescent="0.2"/>
    <row r="735" s="166" customFormat="1" x14ac:dyDescent="0.2"/>
    <row r="736" s="166" customFormat="1" x14ac:dyDescent="0.2"/>
    <row r="737" s="166" customFormat="1" x14ac:dyDescent="0.2"/>
    <row r="738" s="166" customFormat="1" x14ac:dyDescent="0.2"/>
    <row r="739" s="166" customFormat="1" x14ac:dyDescent="0.2"/>
    <row r="740" s="166" customFormat="1" x14ac:dyDescent="0.2"/>
    <row r="741" s="166" customFormat="1" x14ac:dyDescent="0.2"/>
    <row r="742" s="166" customFormat="1" x14ac:dyDescent="0.2"/>
    <row r="743" s="166" customFormat="1" x14ac:dyDescent="0.2"/>
    <row r="744" s="166" customFormat="1" x14ac:dyDescent="0.2"/>
    <row r="745" s="166" customFormat="1" x14ac:dyDescent="0.2"/>
    <row r="746" s="166" customFormat="1" x14ac:dyDescent="0.2"/>
    <row r="747" s="166" customFormat="1" x14ac:dyDescent="0.2"/>
    <row r="748" s="166" customFormat="1" x14ac:dyDescent="0.2"/>
    <row r="749" s="166" customFormat="1" x14ac:dyDescent="0.2"/>
    <row r="750" s="166" customFormat="1" x14ac:dyDescent="0.2"/>
    <row r="751" s="166" customFormat="1" x14ac:dyDescent="0.2"/>
    <row r="752" s="166" customFormat="1" x14ac:dyDescent="0.2"/>
    <row r="753" s="166" customFormat="1" x14ac:dyDescent="0.2"/>
    <row r="754" s="166" customFormat="1" x14ac:dyDescent="0.2"/>
    <row r="755" s="166" customFormat="1" x14ac:dyDescent="0.2"/>
    <row r="756" s="166" customFormat="1" x14ac:dyDescent="0.2"/>
    <row r="757" s="166" customFormat="1" x14ac:dyDescent="0.2"/>
    <row r="758" s="166" customFormat="1" x14ac:dyDescent="0.2"/>
    <row r="759" s="166" customFormat="1" x14ac:dyDescent="0.2"/>
    <row r="760" s="166" customFormat="1" x14ac:dyDescent="0.2"/>
    <row r="761" s="166" customFormat="1" x14ac:dyDescent="0.2"/>
    <row r="762" s="166" customFormat="1" x14ac:dyDescent="0.2"/>
    <row r="763" s="166" customFormat="1" x14ac:dyDescent="0.2"/>
    <row r="764" s="166" customFormat="1" x14ac:dyDescent="0.2"/>
    <row r="765" s="166" customFormat="1" x14ac:dyDescent="0.2"/>
    <row r="766" s="166" customFormat="1" x14ac:dyDescent="0.2"/>
    <row r="767" s="166" customFormat="1" x14ac:dyDescent="0.2"/>
    <row r="768" s="166" customFormat="1" x14ac:dyDescent="0.2"/>
    <row r="769" s="166" customFormat="1" x14ac:dyDescent="0.2"/>
    <row r="770" s="166" customFormat="1" x14ac:dyDescent="0.2"/>
    <row r="771" s="166" customFormat="1" x14ac:dyDescent="0.2"/>
    <row r="772" s="166" customFormat="1" x14ac:dyDescent="0.2"/>
    <row r="773" s="166" customFormat="1" x14ac:dyDescent="0.2"/>
    <row r="774" s="166" customFormat="1" x14ac:dyDescent="0.2"/>
    <row r="775" s="166" customFormat="1" x14ac:dyDescent="0.2"/>
    <row r="776" s="166" customFormat="1" x14ac:dyDescent="0.2"/>
    <row r="777" s="166" customFormat="1" x14ac:dyDescent="0.2"/>
    <row r="778" s="166" customFormat="1" x14ac:dyDescent="0.2"/>
    <row r="779" s="166" customFormat="1" x14ac:dyDescent="0.2"/>
    <row r="780" s="166" customFormat="1" x14ac:dyDescent="0.2"/>
    <row r="781" s="166" customFormat="1" x14ac:dyDescent="0.2"/>
    <row r="782" s="166" customFormat="1" x14ac:dyDescent="0.2"/>
    <row r="783" s="166" customFormat="1" x14ac:dyDescent="0.2"/>
    <row r="784" s="166" customFormat="1" x14ac:dyDescent="0.2"/>
    <row r="785" s="166" customFormat="1" x14ac:dyDescent="0.2"/>
    <row r="786" s="166" customFormat="1" x14ac:dyDescent="0.2"/>
    <row r="787" s="166" customFormat="1" x14ac:dyDescent="0.2"/>
    <row r="788" s="166" customFormat="1" x14ac:dyDescent="0.2"/>
    <row r="789" s="166" customFormat="1" x14ac:dyDescent="0.2"/>
    <row r="790" s="166" customFormat="1" x14ac:dyDescent="0.2"/>
    <row r="791" s="166" customFormat="1" x14ac:dyDescent="0.2"/>
    <row r="792" s="166" customFormat="1" x14ac:dyDescent="0.2"/>
    <row r="793" s="166" customFormat="1" x14ac:dyDescent="0.2"/>
    <row r="794" s="166" customFormat="1" x14ac:dyDescent="0.2"/>
    <row r="795" s="166" customFormat="1" x14ac:dyDescent="0.2"/>
    <row r="796" s="166" customFormat="1" x14ac:dyDescent="0.2"/>
    <row r="797" s="166" customFormat="1" x14ac:dyDescent="0.2"/>
    <row r="798" s="166" customFormat="1" x14ac:dyDescent="0.2"/>
    <row r="799" s="166" customFormat="1" x14ac:dyDescent="0.2"/>
    <row r="800" s="166" customFormat="1" x14ac:dyDescent="0.2"/>
    <row r="801" s="166" customFormat="1" x14ac:dyDescent="0.2"/>
    <row r="802" s="166" customFormat="1" x14ac:dyDescent="0.2"/>
    <row r="803" s="166" customFormat="1" x14ac:dyDescent="0.2"/>
    <row r="804" s="166" customFormat="1" x14ac:dyDescent="0.2"/>
    <row r="805" s="166" customFormat="1" x14ac:dyDescent="0.2"/>
    <row r="806" s="166" customFormat="1" x14ac:dyDescent="0.2"/>
    <row r="807" s="166" customFormat="1" x14ac:dyDescent="0.2"/>
    <row r="808" s="166" customFormat="1" x14ac:dyDescent="0.2"/>
    <row r="809" s="166" customFormat="1" x14ac:dyDescent="0.2"/>
    <row r="810" s="166" customFormat="1" x14ac:dyDescent="0.2"/>
    <row r="811" s="166" customFormat="1" x14ac:dyDescent="0.2"/>
    <row r="812" s="166" customFormat="1" x14ac:dyDescent="0.2"/>
    <row r="813" s="166" customFormat="1" x14ac:dyDescent="0.2"/>
    <row r="814" s="166" customFormat="1" x14ac:dyDescent="0.2"/>
    <row r="815" s="166" customFormat="1" x14ac:dyDescent="0.2"/>
    <row r="816" s="166" customFormat="1" x14ac:dyDescent="0.2"/>
    <row r="817" s="166" customFormat="1" x14ac:dyDescent="0.2"/>
    <row r="818" s="166" customFormat="1" x14ac:dyDescent="0.2"/>
    <row r="819" s="166" customFormat="1" x14ac:dyDescent="0.2"/>
    <row r="820" s="166" customFormat="1" x14ac:dyDescent="0.2"/>
    <row r="821" s="166" customFormat="1" x14ac:dyDescent="0.2"/>
    <row r="822" s="166" customFormat="1" x14ac:dyDescent="0.2"/>
    <row r="823" s="166" customFormat="1" x14ac:dyDescent="0.2"/>
    <row r="824" s="166" customFormat="1" x14ac:dyDescent="0.2"/>
    <row r="825" s="166" customFormat="1" x14ac:dyDescent="0.2"/>
    <row r="826" s="166" customFormat="1" x14ac:dyDescent="0.2"/>
    <row r="827" s="166" customFormat="1" x14ac:dyDescent="0.2"/>
    <row r="828" s="166" customFormat="1" x14ac:dyDescent="0.2"/>
    <row r="829" s="166" customFormat="1" x14ac:dyDescent="0.2"/>
    <row r="830" s="166" customFormat="1" x14ac:dyDescent="0.2"/>
    <row r="831" s="166" customFormat="1" x14ac:dyDescent="0.2"/>
    <row r="832" s="166" customFormat="1" x14ac:dyDescent="0.2"/>
    <row r="833" s="166" customFormat="1" x14ac:dyDescent="0.2"/>
    <row r="834" s="166" customFormat="1" x14ac:dyDescent="0.2"/>
    <row r="835" s="166" customFormat="1" x14ac:dyDescent="0.2"/>
    <row r="836" s="166" customFormat="1" x14ac:dyDescent="0.2"/>
    <row r="837" s="166" customFormat="1" x14ac:dyDescent="0.2"/>
    <row r="838" s="166" customFormat="1" x14ac:dyDescent="0.2"/>
    <row r="839" s="166" customFormat="1" x14ac:dyDescent="0.2"/>
    <row r="840" s="166" customFormat="1" x14ac:dyDescent="0.2"/>
    <row r="841" s="166" customFormat="1" x14ac:dyDescent="0.2"/>
    <row r="842" s="166" customFormat="1" x14ac:dyDescent="0.2"/>
    <row r="843" s="166" customFormat="1" x14ac:dyDescent="0.2"/>
    <row r="844" s="166" customFormat="1" x14ac:dyDescent="0.2"/>
    <row r="845" s="166" customFormat="1" x14ac:dyDescent="0.2"/>
    <row r="846" s="166" customFormat="1" x14ac:dyDescent="0.2"/>
    <row r="847" s="166" customFormat="1" x14ac:dyDescent="0.2"/>
    <row r="848" s="166" customFormat="1" x14ac:dyDescent="0.2"/>
    <row r="849" s="166" customFormat="1" x14ac:dyDescent="0.2"/>
    <row r="850" s="166" customFormat="1" x14ac:dyDescent="0.2"/>
    <row r="851" s="166" customFormat="1" x14ac:dyDescent="0.2"/>
    <row r="852" s="166" customFormat="1" x14ac:dyDescent="0.2"/>
    <row r="853" s="166" customFormat="1" x14ac:dyDescent="0.2"/>
    <row r="854" s="166" customFormat="1" x14ac:dyDescent="0.2"/>
    <row r="855" s="166" customFormat="1" x14ac:dyDescent="0.2"/>
    <row r="856" s="166" customFormat="1" x14ac:dyDescent="0.2"/>
    <row r="857" s="166" customFormat="1" x14ac:dyDescent="0.2"/>
    <row r="858" s="166" customFormat="1" x14ac:dyDescent="0.2"/>
    <row r="859" s="166" customFormat="1" x14ac:dyDescent="0.2"/>
    <row r="860" s="166" customFormat="1" x14ac:dyDescent="0.2"/>
    <row r="861" s="166" customFormat="1" x14ac:dyDescent="0.2"/>
    <row r="862" s="166" customFormat="1" x14ac:dyDescent="0.2"/>
    <row r="863" s="166" customFormat="1" x14ac:dyDescent="0.2"/>
    <row r="864" s="166" customFormat="1" x14ac:dyDescent="0.2"/>
    <row r="865" s="166" customFormat="1" x14ac:dyDescent="0.2"/>
    <row r="866" s="166" customFormat="1" x14ac:dyDescent="0.2"/>
    <row r="867" s="166" customFormat="1" x14ac:dyDescent="0.2"/>
    <row r="868" s="166" customFormat="1" x14ac:dyDescent="0.2"/>
    <row r="869" s="166" customFormat="1" x14ac:dyDescent="0.2"/>
    <row r="870" s="166" customFormat="1" x14ac:dyDescent="0.2"/>
    <row r="871" s="166" customFormat="1" x14ac:dyDescent="0.2"/>
    <row r="872" s="166" customFormat="1" x14ac:dyDescent="0.2"/>
    <row r="873" s="166" customFormat="1" x14ac:dyDescent="0.2"/>
    <row r="874" s="166" customFormat="1" x14ac:dyDescent="0.2"/>
    <row r="875" s="166" customFormat="1" x14ac:dyDescent="0.2"/>
    <row r="876" s="166" customFormat="1" x14ac:dyDescent="0.2"/>
    <row r="877" s="166" customFormat="1" x14ac:dyDescent="0.2"/>
    <row r="878" s="166" customFormat="1" x14ac:dyDescent="0.2"/>
    <row r="879" s="166" customFormat="1" x14ac:dyDescent="0.2"/>
    <row r="880" s="166" customFormat="1" x14ac:dyDescent="0.2"/>
    <row r="881" s="166" customFormat="1" x14ac:dyDescent="0.2"/>
    <row r="882" s="166" customFormat="1" x14ac:dyDescent="0.2"/>
    <row r="883" s="166" customFormat="1" x14ac:dyDescent="0.2"/>
    <row r="884" s="166" customFormat="1" x14ac:dyDescent="0.2"/>
    <row r="885" s="166" customFormat="1" x14ac:dyDescent="0.2"/>
    <row r="886" s="166" customFormat="1" x14ac:dyDescent="0.2"/>
    <row r="887" s="166" customFormat="1" x14ac:dyDescent="0.2"/>
    <row r="888" s="166" customFormat="1" x14ac:dyDescent="0.2"/>
    <row r="889" s="166" customFormat="1" x14ac:dyDescent="0.2"/>
    <row r="890" s="166" customFormat="1" x14ac:dyDescent="0.2"/>
    <row r="891" s="166" customFormat="1" x14ac:dyDescent="0.2"/>
    <row r="892" s="166" customFormat="1" x14ac:dyDescent="0.2"/>
    <row r="893" s="166" customFormat="1" x14ac:dyDescent="0.2"/>
    <row r="894" s="166" customFormat="1" x14ac:dyDescent="0.2"/>
    <row r="895" s="166" customFormat="1" x14ac:dyDescent="0.2"/>
    <row r="896" s="166" customFormat="1" x14ac:dyDescent="0.2"/>
    <row r="897" s="166" customFormat="1" x14ac:dyDescent="0.2"/>
    <row r="898" s="166" customFormat="1" x14ac:dyDescent="0.2"/>
    <row r="899" s="166" customFormat="1" x14ac:dyDescent="0.2"/>
    <row r="900" s="166" customFormat="1" x14ac:dyDescent="0.2"/>
    <row r="901" s="166" customFormat="1" x14ac:dyDescent="0.2"/>
    <row r="902" s="166" customFormat="1" x14ac:dyDescent="0.2"/>
    <row r="903" s="166" customFormat="1" x14ac:dyDescent="0.2"/>
    <row r="904" s="166" customFormat="1" x14ac:dyDescent="0.2"/>
    <row r="905" s="166" customFormat="1" x14ac:dyDescent="0.2"/>
    <row r="906" s="166" customFormat="1" x14ac:dyDescent="0.2"/>
    <row r="907" s="166" customFormat="1" x14ac:dyDescent="0.2"/>
    <row r="908" s="166" customFormat="1" x14ac:dyDescent="0.2"/>
    <row r="909" s="166" customFormat="1" x14ac:dyDescent="0.2"/>
    <row r="910" s="166" customFormat="1" x14ac:dyDescent="0.2"/>
    <row r="911" s="166" customFormat="1" x14ac:dyDescent="0.2"/>
  </sheetData>
  <sheetProtection algorithmName="SHA-512" hashValue="bMk9XtRLQDm9mWiLV6oD1wtRJxBDvHMPEY4ObtCd0zcycy4QyMMifRTdK8Xb0irrwcC9hquk9/vm3uZUG6w2vA==" saltValue="Ql/mYi3epNFosWxbFzB+NQ==" spinCount="100000" sheet="1" objects="1" scenarios="1"/>
  <customSheetViews>
    <customSheetView guid="{C8C7977F-B6BF-432B-A1A7-559450D521AF}" scale="83">
      <selection activeCell="B37" sqref="B37"/>
      <pageMargins left="0.75" right="0.75" top="1" bottom="1" header="0.5" footer="0.5"/>
      <pageSetup paperSize="9" orientation="portrait" r:id="rId1"/>
      <headerFooter alignWithMargins="0"/>
    </customSheetView>
  </customSheetViews>
  <mergeCells count="8">
    <mergeCell ref="A33:A34"/>
    <mergeCell ref="A9:D9"/>
    <mergeCell ref="A12:D12"/>
    <mergeCell ref="A1:E1"/>
    <mergeCell ref="B16:C16"/>
    <mergeCell ref="D17:D18"/>
    <mergeCell ref="E17:E18"/>
    <mergeCell ref="A16:A17"/>
  </mergeCells>
  <conditionalFormatting sqref="A20:E20">
    <cfRule type="expression" dxfId="73" priority="7">
      <formula>$A$12="elektriciteit"</formula>
    </cfRule>
  </conditionalFormatting>
  <conditionalFormatting sqref="A21:E21 A25:E25">
    <cfRule type="expression" dxfId="72" priority="6">
      <formula>$A$12="gas"</formula>
    </cfRule>
  </conditionalFormatting>
  <conditionalFormatting sqref="C17:C27 D16:E27">
    <cfRule type="expression" dxfId="71" priority="5">
      <formula>$E$6="ex-ante"</formula>
    </cfRule>
  </conditionalFormatting>
  <conditionalFormatting sqref="A30:C58">
    <cfRule type="expression" dxfId="70" priority="1">
      <formula>$D$6&gt;2022</formula>
    </cfRule>
    <cfRule type="expression" dxfId="69" priority="2">
      <formula>$A$12="gas"</formula>
    </cfRule>
  </conditionalFormatting>
  <pageMargins left="0.74803149606299213" right="0.74803149606299213" top="0.98425196850393704" bottom="0.98425196850393704" header="0.51181102362204722" footer="0.51181102362204722"/>
  <pageSetup paperSize="8" orientation="portrait" r:id="rId2"/>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V248"/>
  <sheetViews>
    <sheetView tabSelected="1" topLeftCell="A155" zoomScale="85" zoomScaleNormal="85" workbookViewId="0">
      <selection activeCell="F223" sqref="F223"/>
    </sheetView>
  </sheetViews>
  <sheetFormatPr defaultColWidth="8.85546875" defaultRowHeight="12.75" x14ac:dyDescent="0.2"/>
  <cols>
    <col min="1" max="1" width="3.42578125" style="166" customWidth="1"/>
    <col min="2" max="2" width="60.42578125" style="538" customWidth="1"/>
    <col min="3" max="3" width="18" style="212" customWidth="1"/>
    <col min="4" max="4" width="26.140625" style="166" customWidth="1"/>
    <col min="5" max="5" width="26.140625" style="206" customWidth="1"/>
    <col min="6" max="6" width="12.85546875" style="212" customWidth="1"/>
    <col min="7" max="7" width="2.5703125" style="166" customWidth="1"/>
    <col min="8" max="8" width="26.42578125" style="212" customWidth="1"/>
    <col min="9" max="9" width="8.85546875" style="216"/>
    <col min="10" max="16384" width="8.85546875" style="166"/>
  </cols>
  <sheetData>
    <row r="1" spans="1:22" ht="23.1" customHeight="1" thickBot="1" x14ac:dyDescent="0.25">
      <c r="A1" s="1028" t="s">
        <v>165</v>
      </c>
      <c r="B1" s="1029"/>
      <c r="C1" s="1029"/>
      <c r="D1" s="1029"/>
      <c r="E1" s="1029"/>
      <c r="F1" s="1029"/>
      <c r="G1" s="1029"/>
      <c r="H1" s="1030"/>
      <c r="I1" s="537"/>
      <c r="J1" s="291"/>
      <c r="K1" s="291"/>
      <c r="L1" s="291"/>
      <c r="M1" s="291"/>
      <c r="N1" s="291"/>
      <c r="O1" s="203" t="str">
        <f>+TITELBLAD!B16</f>
        <v>Rapportering over boekjaar:</v>
      </c>
      <c r="P1" s="203"/>
      <c r="Q1" s="203"/>
      <c r="R1" s="203">
        <f>+TITELBLAD!E16</f>
        <v>2022</v>
      </c>
      <c r="S1" s="203" t="str">
        <f>+TITELBLAD!F16</f>
        <v>ex-ante</v>
      </c>
      <c r="T1" s="203" t="str">
        <f>+R1&amp;S1</f>
        <v>2022ex-ante</v>
      </c>
      <c r="U1" s="203"/>
      <c r="V1" s="203"/>
    </row>
    <row r="2" spans="1:22" x14ac:dyDescent="0.2">
      <c r="I2" s="537"/>
      <c r="J2" s="291"/>
      <c r="K2" s="291"/>
      <c r="L2" s="291"/>
      <c r="M2" s="291"/>
      <c r="N2" s="291"/>
      <c r="O2" s="203"/>
      <c r="P2" s="203"/>
      <c r="Q2" s="203"/>
      <c r="R2" s="203"/>
      <c r="S2" s="203"/>
      <c r="T2" s="203"/>
      <c r="U2" s="203"/>
      <c r="V2" s="203"/>
    </row>
    <row r="3" spans="1:22" x14ac:dyDescent="0.2">
      <c r="B3" s="539" t="s">
        <v>37</v>
      </c>
      <c r="F3" s="166"/>
      <c r="H3" s="166"/>
      <c r="I3" s="540"/>
      <c r="J3" s="291"/>
      <c r="K3" s="291"/>
      <c r="L3" s="291"/>
      <c r="M3" s="291"/>
      <c r="N3" s="291"/>
      <c r="O3" s="203"/>
      <c r="P3" s="203"/>
      <c r="Q3" s="203"/>
      <c r="R3" s="203"/>
      <c r="S3" s="203"/>
      <c r="T3" s="203"/>
      <c r="U3" s="203"/>
      <c r="V3" s="203"/>
    </row>
    <row r="4" spans="1:22" ht="14.45" customHeight="1" x14ac:dyDescent="0.2">
      <c r="B4" s="216" t="s">
        <v>81</v>
      </c>
      <c r="F4" s="166"/>
      <c r="H4" s="166"/>
      <c r="I4" s="540"/>
      <c r="J4" s="291"/>
      <c r="K4" s="291"/>
      <c r="L4" s="291"/>
      <c r="M4" s="291"/>
      <c r="N4" s="291"/>
      <c r="O4" s="203"/>
      <c r="P4" s="203"/>
      <c r="Q4" s="203"/>
      <c r="R4" s="203"/>
      <c r="S4" s="203"/>
      <c r="T4" s="203"/>
      <c r="U4" s="203"/>
      <c r="V4" s="203"/>
    </row>
    <row r="5" spans="1:22" x14ac:dyDescent="0.2">
      <c r="B5" s="456"/>
      <c r="F5" s="166"/>
      <c r="H5" s="166"/>
      <c r="I5" s="540"/>
      <c r="J5" s="291"/>
      <c r="K5" s="291"/>
      <c r="L5" s="291"/>
      <c r="M5" s="291"/>
      <c r="N5" s="291"/>
      <c r="O5" s="203"/>
      <c r="P5" s="203"/>
      <c r="Q5" s="203"/>
      <c r="R5" s="203"/>
      <c r="S5" s="203"/>
      <c r="T5" s="203"/>
      <c r="U5" s="203"/>
      <c r="V5" s="291"/>
    </row>
    <row r="6" spans="1:22" x14ac:dyDescent="0.2">
      <c r="B6" s="353" t="s">
        <v>166</v>
      </c>
      <c r="F6" s="166"/>
      <c r="H6" s="166"/>
      <c r="I6" s="540"/>
      <c r="J6" s="291"/>
      <c r="K6" s="291"/>
      <c r="L6" s="291"/>
      <c r="M6" s="291"/>
      <c r="N6" s="291"/>
      <c r="O6" s="203"/>
      <c r="P6" s="203"/>
      <c r="Q6" s="203"/>
      <c r="R6" s="203"/>
      <c r="S6" s="203"/>
      <c r="T6" s="203"/>
      <c r="U6" s="203"/>
      <c r="V6" s="291"/>
    </row>
    <row r="7" spans="1:22" x14ac:dyDescent="0.2">
      <c r="B7" s="216" t="s">
        <v>167</v>
      </c>
      <c r="E7" s="166"/>
      <c r="F7" s="166"/>
      <c r="H7" s="166"/>
      <c r="I7" s="540"/>
      <c r="J7" s="291"/>
      <c r="K7" s="291"/>
      <c r="L7" s="291"/>
      <c r="M7" s="291"/>
      <c r="N7" s="291"/>
      <c r="O7" s="291"/>
      <c r="P7" s="291"/>
      <c r="Q7" s="291"/>
      <c r="R7" s="291"/>
      <c r="S7" s="291"/>
      <c r="T7" s="291"/>
      <c r="U7" s="291"/>
      <c r="V7" s="291"/>
    </row>
    <row r="8" spans="1:22" x14ac:dyDescent="0.2">
      <c r="B8" s="456"/>
      <c r="E8" s="166"/>
      <c r="F8" s="166"/>
      <c r="H8" s="166"/>
      <c r="I8" s="540"/>
      <c r="J8" s="291"/>
      <c r="K8" s="291"/>
      <c r="L8" s="291"/>
      <c r="M8" s="291"/>
      <c r="N8" s="291"/>
      <c r="O8" s="291"/>
      <c r="P8" s="291"/>
      <c r="Q8" s="291"/>
      <c r="R8" s="291"/>
      <c r="S8" s="291"/>
      <c r="T8" s="291"/>
      <c r="U8" s="291"/>
      <c r="V8" s="291"/>
    </row>
    <row r="9" spans="1:22" x14ac:dyDescent="0.2">
      <c r="F9" s="166"/>
      <c r="H9" s="166"/>
      <c r="I9" s="540"/>
      <c r="J9" s="291"/>
      <c r="K9" s="291"/>
      <c r="L9" s="291"/>
      <c r="M9" s="291"/>
      <c r="N9" s="291"/>
      <c r="O9" s="291"/>
      <c r="P9" s="291"/>
      <c r="Q9" s="291"/>
      <c r="R9" s="291"/>
      <c r="S9" s="291"/>
      <c r="T9" s="291"/>
      <c r="U9" s="291"/>
      <c r="V9" s="291"/>
    </row>
    <row r="10" spans="1:22" x14ac:dyDescent="0.2">
      <c r="D10" s="165" t="s">
        <v>0</v>
      </c>
      <c r="E10" s="165" t="s">
        <v>1</v>
      </c>
      <c r="I10" s="537"/>
      <c r="J10" s="291"/>
      <c r="K10" s="291"/>
      <c r="L10" s="291"/>
      <c r="M10" s="291"/>
      <c r="N10" s="291"/>
      <c r="O10" s="291"/>
      <c r="P10" s="291"/>
      <c r="Q10" s="291"/>
      <c r="R10" s="291"/>
      <c r="S10" s="291"/>
      <c r="T10" s="291"/>
      <c r="U10" s="291"/>
      <c r="V10" s="291"/>
    </row>
    <row r="11" spans="1:22" x14ac:dyDescent="0.2">
      <c r="D11" s="604" t="s">
        <v>2</v>
      </c>
      <c r="E11" s="604" t="s">
        <v>2</v>
      </c>
      <c r="I11" s="537"/>
      <c r="J11" s="291"/>
      <c r="K11" s="291"/>
      <c r="L11" s="291"/>
      <c r="M11" s="291"/>
      <c r="N11" s="291"/>
      <c r="O11" s="291"/>
      <c r="P11" s="291"/>
      <c r="Q11" s="291"/>
      <c r="R11" s="291"/>
      <c r="S11" s="291"/>
      <c r="T11" s="291"/>
      <c r="U11" s="291"/>
      <c r="V11" s="291"/>
    </row>
    <row r="12" spans="1:22" x14ac:dyDescent="0.2">
      <c r="D12" s="604">
        <f>'T2 - Overzicht'!D6</f>
        <v>2022</v>
      </c>
      <c r="E12" s="604">
        <f>$D$12</f>
        <v>2022</v>
      </c>
      <c r="I12" s="537"/>
      <c r="J12" s="291"/>
      <c r="K12" s="291"/>
      <c r="L12" s="291"/>
      <c r="M12" s="291"/>
      <c r="N12" s="291"/>
      <c r="O12" s="291"/>
      <c r="P12" s="291"/>
      <c r="Q12" s="291"/>
      <c r="R12" s="291"/>
      <c r="S12" s="291"/>
      <c r="T12" s="291"/>
      <c r="U12" s="291"/>
      <c r="V12" s="291"/>
    </row>
    <row r="13" spans="1:22" x14ac:dyDescent="0.2">
      <c r="D13" s="604" t="str">
        <f>+TITELBLAD!$C$7</f>
        <v>NAAM DNB</v>
      </c>
      <c r="E13" s="604" t="str">
        <f>+TITELBLAD!$C$7</f>
        <v>NAAM DNB</v>
      </c>
      <c r="I13" s="537"/>
      <c r="J13" s="291"/>
      <c r="K13" s="291"/>
      <c r="L13" s="291"/>
      <c r="M13" s="291"/>
      <c r="N13" s="291"/>
      <c r="O13" s="291"/>
      <c r="P13" s="291"/>
      <c r="Q13" s="291"/>
      <c r="R13" s="291"/>
      <c r="S13" s="291"/>
      <c r="T13" s="291"/>
      <c r="U13" s="291"/>
      <c r="V13" s="291"/>
    </row>
    <row r="14" spans="1:22" x14ac:dyDescent="0.2">
      <c r="D14" s="604" t="str">
        <f>TITELBLAD!$C$10</f>
        <v>gas</v>
      </c>
      <c r="E14" s="604" t="str">
        <f>TITELBLAD!$C$10</f>
        <v>gas</v>
      </c>
      <c r="I14" s="537"/>
      <c r="J14" s="291"/>
      <c r="K14" s="291"/>
      <c r="L14" s="291"/>
      <c r="M14" s="291"/>
      <c r="N14" s="291"/>
      <c r="O14" s="291"/>
      <c r="P14" s="291"/>
      <c r="Q14" s="291"/>
      <c r="R14" s="291"/>
      <c r="S14" s="291"/>
      <c r="T14" s="291"/>
      <c r="U14" s="291"/>
      <c r="V14" s="291"/>
    </row>
    <row r="15" spans="1:22" x14ac:dyDescent="0.2">
      <c r="D15" s="605"/>
      <c r="E15" s="605"/>
      <c r="I15" s="537"/>
      <c r="J15" s="291"/>
      <c r="K15" s="291"/>
      <c r="L15" s="291"/>
      <c r="M15" s="291"/>
      <c r="N15" s="291"/>
      <c r="O15" s="291"/>
      <c r="P15" s="291"/>
      <c r="Q15" s="291"/>
      <c r="R15" s="291"/>
      <c r="S15" s="291"/>
      <c r="T15" s="291"/>
      <c r="U15" s="291"/>
      <c r="V15" s="291"/>
    </row>
    <row r="16" spans="1:22" x14ac:dyDescent="0.2">
      <c r="B16" s="1061" t="s">
        <v>85</v>
      </c>
      <c r="C16" s="1064" t="s">
        <v>399</v>
      </c>
      <c r="D16" s="1067"/>
      <c r="E16" s="1071"/>
      <c r="F16" s="1068" t="s">
        <v>86</v>
      </c>
      <c r="H16" s="1068" t="s">
        <v>114</v>
      </c>
      <c r="I16" s="537"/>
      <c r="J16" s="291"/>
      <c r="K16" s="291"/>
      <c r="L16" s="291"/>
      <c r="M16" s="291"/>
      <c r="N16" s="291"/>
      <c r="O16" s="291"/>
      <c r="P16" s="291"/>
      <c r="Q16" s="291"/>
      <c r="R16" s="291"/>
      <c r="S16" s="291"/>
      <c r="T16" s="291"/>
      <c r="U16" s="291"/>
      <c r="V16" s="291"/>
    </row>
    <row r="17" spans="1:22" x14ac:dyDescent="0.2">
      <c r="B17" s="1062"/>
      <c r="C17" s="1065"/>
      <c r="D17" s="1067"/>
      <c r="E17" s="1072"/>
      <c r="F17" s="1069"/>
      <c r="H17" s="1069"/>
      <c r="L17" s="291"/>
      <c r="M17" s="291"/>
      <c r="N17" s="291"/>
      <c r="O17" s="291"/>
      <c r="P17" s="291"/>
      <c r="Q17" s="291"/>
      <c r="R17" s="291"/>
      <c r="S17" s="291"/>
      <c r="T17" s="291"/>
      <c r="U17" s="291"/>
      <c r="V17" s="291"/>
    </row>
    <row r="18" spans="1:22" x14ac:dyDescent="0.2">
      <c r="B18" s="1063"/>
      <c r="C18" s="1066"/>
      <c r="D18" s="1067"/>
      <c r="E18" s="1073"/>
      <c r="F18" s="1070"/>
      <c r="H18" s="1070"/>
      <c r="L18" s="291"/>
      <c r="M18" s="291"/>
      <c r="N18" s="291"/>
      <c r="O18" s="291"/>
      <c r="P18" s="291"/>
      <c r="Q18" s="291"/>
      <c r="R18" s="291"/>
      <c r="S18" s="291"/>
      <c r="T18" s="291"/>
      <c r="U18" s="291"/>
      <c r="V18" s="291"/>
    </row>
    <row r="19" spans="1:22" x14ac:dyDescent="0.2">
      <c r="L19" s="291"/>
      <c r="M19" s="291"/>
      <c r="N19" s="291"/>
      <c r="O19" s="291"/>
      <c r="P19" s="291"/>
      <c r="Q19" s="291"/>
      <c r="R19" s="291"/>
      <c r="S19" s="291"/>
      <c r="T19" s="291"/>
      <c r="U19" s="291"/>
      <c r="V19" s="291"/>
    </row>
    <row r="20" spans="1:22" x14ac:dyDescent="0.2">
      <c r="L20" s="291"/>
      <c r="M20" s="291"/>
      <c r="N20" s="291"/>
      <c r="O20" s="291"/>
      <c r="P20" s="291"/>
      <c r="Q20" s="291"/>
      <c r="R20" s="291"/>
      <c r="S20" s="291"/>
      <c r="T20" s="291"/>
      <c r="U20" s="291"/>
      <c r="V20" s="291"/>
    </row>
    <row r="21" spans="1:22" ht="17.45" customHeight="1" x14ac:dyDescent="0.2">
      <c r="B21" s="772" t="s">
        <v>401</v>
      </c>
      <c r="C21" s="773"/>
      <c r="D21" s="774"/>
      <c r="E21" s="775"/>
      <c r="F21" s="773"/>
      <c r="G21" s="774"/>
      <c r="H21" s="776"/>
      <c r="L21" s="291"/>
      <c r="M21" s="291"/>
      <c r="N21" s="291"/>
      <c r="O21" s="291"/>
      <c r="P21" s="291"/>
      <c r="Q21" s="291"/>
      <c r="R21" s="291"/>
      <c r="S21" s="291"/>
      <c r="T21" s="291"/>
      <c r="U21" s="291"/>
      <c r="V21" s="291"/>
    </row>
    <row r="22" spans="1:22" x14ac:dyDescent="0.2">
      <c r="L22" s="291"/>
      <c r="M22" s="291"/>
      <c r="N22" s="291"/>
      <c r="O22" s="291"/>
      <c r="P22" s="291"/>
      <c r="Q22" s="291"/>
      <c r="R22" s="291"/>
      <c r="S22" s="291"/>
      <c r="T22" s="291"/>
      <c r="U22" s="291"/>
      <c r="V22" s="291"/>
    </row>
    <row r="23" spans="1:22" ht="55.5" customHeight="1" x14ac:dyDescent="0.2">
      <c r="A23" s="166">
        <v>1</v>
      </c>
      <c r="B23" s="179" t="s">
        <v>328</v>
      </c>
      <c r="C23" s="2" t="s">
        <v>84</v>
      </c>
      <c r="D23" s="193"/>
      <c r="E23" s="193"/>
      <c r="F23" s="189"/>
      <c r="H23" s="189"/>
      <c r="L23" s="291"/>
      <c r="M23" s="291"/>
      <c r="N23" s="291"/>
      <c r="O23" s="291"/>
      <c r="P23" s="291"/>
      <c r="Q23" s="291"/>
      <c r="R23" s="291"/>
      <c r="S23" s="291"/>
      <c r="T23" s="291"/>
      <c r="U23" s="291"/>
      <c r="V23" s="291"/>
    </row>
    <row r="24" spans="1:22" ht="18.600000000000001" customHeight="1" x14ac:dyDescent="0.2">
      <c r="B24" s="174" t="s">
        <v>340</v>
      </c>
      <c r="C24" s="202"/>
      <c r="D24" s="185">
        <f>-T4B!G293</f>
        <v>0</v>
      </c>
      <c r="E24" s="185">
        <f>+D24</f>
        <v>0</v>
      </c>
      <c r="F24" s="191" t="s">
        <v>4</v>
      </c>
      <c r="H24" s="191"/>
    </row>
    <row r="25" spans="1:22" x14ac:dyDescent="0.2">
      <c r="L25" s="291"/>
      <c r="M25" s="291"/>
      <c r="N25" s="291"/>
      <c r="O25" s="291"/>
      <c r="P25" s="291"/>
      <c r="Q25" s="291"/>
      <c r="R25" s="291"/>
      <c r="S25" s="291"/>
      <c r="T25" s="291"/>
      <c r="U25" s="291"/>
      <c r="V25" s="291"/>
    </row>
    <row r="26" spans="1:22" ht="48" customHeight="1" x14ac:dyDescent="0.2">
      <c r="A26" s="166">
        <f>+A23+1</f>
        <v>2</v>
      </c>
      <c r="B26" s="179" t="s">
        <v>329</v>
      </c>
      <c r="C26" s="2" t="s">
        <v>95</v>
      </c>
      <c r="D26" s="193"/>
      <c r="E26" s="193"/>
      <c r="F26" s="189"/>
      <c r="H26" s="189"/>
    </row>
    <row r="27" spans="1:22" ht="18.600000000000001" customHeight="1" x14ac:dyDescent="0.2">
      <c r="B27" s="174" t="s">
        <v>340</v>
      </c>
      <c r="C27" s="159"/>
      <c r="D27" s="185">
        <f>-T5B!G247</f>
        <v>0</v>
      </c>
      <c r="E27" s="185">
        <f>+D27</f>
        <v>0</v>
      </c>
      <c r="F27" s="191" t="s">
        <v>4</v>
      </c>
      <c r="H27" s="191"/>
    </row>
    <row r="28" spans="1:22" s="296" customFormat="1" x14ac:dyDescent="0.2">
      <c r="B28" s="543"/>
      <c r="C28" s="544"/>
      <c r="D28" s="544"/>
      <c r="E28" s="201"/>
      <c r="F28" s="201"/>
      <c r="G28" s="166"/>
      <c r="H28" s="201"/>
      <c r="I28" s="216"/>
      <c r="J28" s="166"/>
    </row>
    <row r="29" spans="1:22" ht="59.25" customHeight="1" x14ac:dyDescent="0.2">
      <c r="A29" s="166">
        <f>A26+1</f>
        <v>3</v>
      </c>
      <c r="B29" s="179" t="s">
        <v>100</v>
      </c>
      <c r="C29" s="160" t="s">
        <v>109</v>
      </c>
      <c r="D29" s="193"/>
      <c r="E29" s="189"/>
      <c r="F29" s="189"/>
      <c r="H29" s="189"/>
    </row>
    <row r="30" spans="1:22" ht="18.600000000000001" customHeight="1" x14ac:dyDescent="0.2">
      <c r="B30" s="174" t="s">
        <v>340</v>
      </c>
      <c r="C30" s="190"/>
      <c r="D30" s="570">
        <f>-T6B!G211</f>
        <v>0</v>
      </c>
      <c r="E30" s="185">
        <f>+D30</f>
        <v>0</v>
      </c>
      <c r="F30" s="189" t="s">
        <v>4</v>
      </c>
      <c r="H30" s="189"/>
    </row>
    <row r="31" spans="1:22" s="296" customFormat="1" x14ac:dyDescent="0.2">
      <c r="B31" s="543"/>
      <c r="C31" s="544"/>
      <c r="D31" s="544"/>
      <c r="E31" s="201"/>
      <c r="F31" s="201"/>
      <c r="G31" s="166"/>
      <c r="H31" s="201"/>
      <c r="I31" s="216"/>
      <c r="J31" s="166"/>
    </row>
    <row r="32" spans="1:22" ht="59.25" customHeight="1" x14ac:dyDescent="0.2">
      <c r="A32" s="166">
        <f>+A29+1</f>
        <v>4</v>
      </c>
      <c r="B32" s="179" t="s">
        <v>112</v>
      </c>
      <c r="C32" s="160" t="s">
        <v>63</v>
      </c>
      <c r="D32" s="193"/>
      <c r="E32" s="189"/>
      <c r="F32" s="189"/>
      <c r="H32" s="189"/>
    </row>
    <row r="33" spans="1:10" ht="18.600000000000001" customHeight="1" x14ac:dyDescent="0.2">
      <c r="B33" s="174" t="s">
        <v>340</v>
      </c>
      <c r="C33" s="188"/>
      <c r="D33" s="570">
        <f>-VLOOKUP(D12,'T7'!A109:B112,2,FALSE)</f>
        <v>0</v>
      </c>
      <c r="E33" s="185">
        <f>+D33</f>
        <v>0</v>
      </c>
      <c r="F33" s="189" t="s">
        <v>4</v>
      </c>
      <c r="G33" s="175"/>
      <c r="H33" s="189"/>
    </row>
    <row r="34" spans="1:10" s="296" customFormat="1" x14ac:dyDescent="0.2">
      <c r="B34" s="543"/>
      <c r="C34" s="544"/>
      <c r="D34" s="544"/>
      <c r="E34" s="544"/>
      <c r="F34" s="201"/>
      <c r="G34" s="166"/>
      <c r="H34" s="201"/>
      <c r="I34" s="216"/>
      <c r="J34" s="166"/>
    </row>
    <row r="35" spans="1:10" ht="31.5" customHeight="1" x14ac:dyDescent="0.2">
      <c r="A35" s="166">
        <f>+A32+1</f>
        <v>5</v>
      </c>
      <c r="B35" s="179" t="s">
        <v>170</v>
      </c>
      <c r="C35" s="536" t="s">
        <v>64</v>
      </c>
      <c r="D35" s="193"/>
      <c r="E35" s="193"/>
      <c r="F35" s="189"/>
      <c r="H35" s="189"/>
    </row>
    <row r="36" spans="1:10" ht="18.600000000000001" customHeight="1" x14ac:dyDescent="0.2">
      <c r="B36" s="174" t="s">
        <v>340</v>
      </c>
      <c r="C36" s="190"/>
      <c r="D36" s="185">
        <f>-VLOOKUP(D12,'T8'!A68:B71,2,FALSE)</f>
        <v>0</v>
      </c>
      <c r="E36" s="185">
        <f>+D36</f>
        <v>0</v>
      </c>
      <c r="F36" s="189" t="s">
        <v>4</v>
      </c>
      <c r="H36" s="189"/>
    </row>
    <row r="37" spans="1:10" ht="13.5" customHeight="1" x14ac:dyDescent="0.2">
      <c r="B37" s="166"/>
      <c r="C37" s="166"/>
      <c r="E37" s="166"/>
      <c r="F37" s="166"/>
      <c r="H37" s="166"/>
    </row>
    <row r="38" spans="1:10" ht="40.5" customHeight="1" x14ac:dyDescent="0.2">
      <c r="A38" s="166">
        <f>+A35+1</f>
        <v>6</v>
      </c>
      <c r="B38" s="552" t="s">
        <v>118</v>
      </c>
      <c r="C38" s="797"/>
      <c r="D38" s="193">
        <f>SUM(D39:D43)</f>
        <v>0</v>
      </c>
      <c r="E38" s="193">
        <f>SUM(E39:E43)</f>
        <v>0</v>
      </c>
      <c r="F38" s="189" t="s">
        <v>4</v>
      </c>
      <c r="H38" s="189"/>
    </row>
    <row r="39" spans="1:10" ht="30.95" customHeight="1" x14ac:dyDescent="0.2">
      <c r="B39" s="599" t="s">
        <v>405</v>
      </c>
      <c r="C39" s="547"/>
      <c r="D39" s="192">
        <v>0</v>
      </c>
      <c r="E39" s="192">
        <v>0</v>
      </c>
      <c r="F39" s="189"/>
      <c r="H39" s="189" t="s">
        <v>35</v>
      </c>
    </row>
    <row r="40" spans="1:10" ht="30.95" customHeight="1" x14ac:dyDescent="0.2">
      <c r="B40" s="599" t="s">
        <v>406</v>
      </c>
      <c r="C40" s="547"/>
      <c r="D40" s="192">
        <v>0</v>
      </c>
      <c r="E40" s="192">
        <v>0</v>
      </c>
      <c r="F40" s="189"/>
      <c r="H40" s="189" t="s">
        <v>35</v>
      </c>
    </row>
    <row r="41" spans="1:10" ht="30.95" customHeight="1" x14ac:dyDescent="0.2">
      <c r="B41" s="599" t="s">
        <v>407</v>
      </c>
      <c r="C41" s="547"/>
      <c r="D41" s="192">
        <v>0</v>
      </c>
      <c r="E41" s="192">
        <v>0</v>
      </c>
      <c r="F41" s="189"/>
      <c r="H41" s="189" t="s">
        <v>35</v>
      </c>
    </row>
    <row r="42" spans="1:10" ht="30.95" customHeight="1" x14ac:dyDescent="0.2">
      <c r="B42" s="599" t="s">
        <v>408</v>
      </c>
      <c r="C42" s="547"/>
      <c r="D42" s="192">
        <v>0</v>
      </c>
      <c r="E42" s="192">
        <v>0</v>
      </c>
      <c r="F42" s="189"/>
      <c r="H42" s="189" t="s">
        <v>35</v>
      </c>
    </row>
    <row r="43" spans="1:10" ht="30.95" customHeight="1" x14ac:dyDescent="0.2">
      <c r="B43" s="547"/>
      <c r="C43" s="547"/>
      <c r="D43" s="192">
        <v>0</v>
      </c>
      <c r="E43" s="192">
        <v>0</v>
      </c>
      <c r="F43" s="189"/>
      <c r="H43" s="189" t="s">
        <v>35</v>
      </c>
    </row>
    <row r="44" spans="1:10" ht="13.5" customHeight="1" x14ac:dyDescent="0.2">
      <c r="B44" s="166"/>
      <c r="C44" s="166"/>
      <c r="E44" s="166"/>
      <c r="F44" s="166"/>
      <c r="H44" s="166"/>
    </row>
    <row r="45" spans="1:10" ht="40.5" customHeight="1" x14ac:dyDescent="0.2">
      <c r="A45" s="166">
        <f>+A38+1</f>
        <v>7</v>
      </c>
      <c r="B45" s="179" t="s">
        <v>119</v>
      </c>
      <c r="C45" s="797"/>
      <c r="D45" s="193"/>
      <c r="E45" s="193"/>
      <c r="F45" s="189"/>
      <c r="H45" s="189"/>
    </row>
    <row r="46" spans="1:10" ht="17.100000000000001" customHeight="1" x14ac:dyDescent="0.2">
      <c r="B46" s="599" t="s">
        <v>176</v>
      </c>
      <c r="C46" s="547"/>
      <c r="D46" s="192">
        <v>0</v>
      </c>
      <c r="E46" s="192">
        <v>0</v>
      </c>
      <c r="F46" s="189"/>
      <c r="H46" s="189" t="s">
        <v>35</v>
      </c>
    </row>
    <row r="47" spans="1:10" ht="13.5" customHeight="1" x14ac:dyDescent="0.2">
      <c r="B47" s="166"/>
      <c r="C47" s="166"/>
      <c r="E47" s="166"/>
      <c r="F47" s="166"/>
      <c r="H47" s="166"/>
    </row>
    <row r="48" spans="1:10" ht="40.5" customHeight="1" x14ac:dyDescent="0.2">
      <c r="A48" s="166">
        <f>+A45+1</f>
        <v>8</v>
      </c>
      <c r="B48" s="179" t="s">
        <v>120</v>
      </c>
      <c r="C48" s="797"/>
      <c r="D48" s="193"/>
      <c r="E48" s="664"/>
      <c r="F48" s="189"/>
      <c r="H48" s="189"/>
    </row>
    <row r="49" spans="1:8" ht="17.100000000000001" customHeight="1" x14ac:dyDescent="0.2">
      <c r="B49" s="599" t="s">
        <v>176</v>
      </c>
      <c r="C49" s="547"/>
      <c r="D49" s="192">
        <v>0</v>
      </c>
      <c r="E49" s="798"/>
      <c r="F49" s="189" t="s">
        <v>8</v>
      </c>
      <c r="H49" s="189" t="s">
        <v>35</v>
      </c>
    </row>
    <row r="50" spans="1:8" x14ac:dyDescent="0.2">
      <c r="B50" s="122"/>
      <c r="C50" s="564"/>
      <c r="D50" s="545"/>
      <c r="E50" s="545"/>
      <c r="F50" s="215"/>
      <c r="H50" s="215"/>
    </row>
    <row r="51" spans="1:8" ht="28.5" customHeight="1" x14ac:dyDescent="0.2">
      <c r="A51" s="166">
        <f>+A48+1</f>
        <v>9</v>
      </c>
      <c r="B51" s="565" t="s">
        <v>409</v>
      </c>
      <c r="C51" s="566"/>
      <c r="D51" s="598">
        <f>D52*D59</f>
        <v>0</v>
      </c>
      <c r="E51" s="598">
        <f>E52*E59</f>
        <v>0</v>
      </c>
      <c r="F51" s="189" t="s">
        <v>4</v>
      </c>
      <c r="H51" s="567"/>
    </row>
    <row r="52" spans="1:8" ht="48" customHeight="1" x14ac:dyDescent="0.2">
      <c r="B52" s="568" t="s">
        <v>410</v>
      </c>
      <c r="C52" s="569"/>
      <c r="D52" s="570">
        <f>+AVERAGE(D53,D56)</f>
        <v>0</v>
      </c>
      <c r="E52" s="570">
        <f>+AVERAGE(E53,E56)</f>
        <v>0</v>
      </c>
      <c r="F52" s="166"/>
      <c r="H52" s="567"/>
    </row>
    <row r="53" spans="1:8" ht="36.75" customHeight="1" x14ac:dyDescent="0.2">
      <c r="B53" s="174" t="s">
        <v>411</v>
      </c>
      <c r="C53" s="797"/>
      <c r="D53" s="570">
        <f>+SUM(D54:D55)</f>
        <v>0</v>
      </c>
      <c r="E53" s="570">
        <f>+SUM(E54:E55)</f>
        <v>0</v>
      </c>
      <c r="F53" s="166"/>
      <c r="H53" s="567"/>
    </row>
    <row r="54" spans="1:8" ht="36.75" customHeight="1" x14ac:dyDescent="0.2">
      <c r="B54" s="661" t="s">
        <v>412</v>
      </c>
      <c r="C54" s="547"/>
      <c r="D54" s="192">
        <v>0</v>
      </c>
      <c r="E54" s="192">
        <v>0</v>
      </c>
      <c r="F54" s="166"/>
      <c r="H54" s="567" t="s">
        <v>35</v>
      </c>
    </row>
    <row r="55" spans="1:8" ht="36.75" customHeight="1" x14ac:dyDescent="0.2">
      <c r="B55" s="661" t="s">
        <v>413</v>
      </c>
      <c r="C55" s="547"/>
      <c r="D55" s="192">
        <v>0</v>
      </c>
      <c r="E55" s="192">
        <v>0</v>
      </c>
      <c r="F55" s="166"/>
      <c r="H55" s="567" t="s">
        <v>35</v>
      </c>
    </row>
    <row r="56" spans="1:8" ht="33.6" customHeight="1" x14ac:dyDescent="0.2">
      <c r="B56" s="174" t="s">
        <v>414</v>
      </c>
      <c r="C56" s="797"/>
      <c r="D56" s="570">
        <f>+SUM(D57:D58)</f>
        <v>0</v>
      </c>
      <c r="E56" s="570">
        <f>+SUM(E57:E58)</f>
        <v>0</v>
      </c>
      <c r="F56" s="166"/>
      <c r="H56" s="567"/>
    </row>
    <row r="57" spans="1:8" ht="36.75" customHeight="1" x14ac:dyDescent="0.2">
      <c r="B57" s="661" t="s">
        <v>415</v>
      </c>
      <c r="C57" s="547"/>
      <c r="D57" s="192">
        <v>0</v>
      </c>
      <c r="E57" s="192">
        <v>0</v>
      </c>
      <c r="F57" s="166"/>
      <c r="H57" s="567" t="s">
        <v>35</v>
      </c>
    </row>
    <row r="58" spans="1:8" ht="36.75" customHeight="1" x14ac:dyDescent="0.2">
      <c r="B58" s="661" t="s">
        <v>416</v>
      </c>
      <c r="C58" s="547"/>
      <c r="D58" s="192">
        <v>0</v>
      </c>
      <c r="E58" s="192">
        <v>0</v>
      </c>
      <c r="F58" s="166"/>
      <c r="H58" s="567" t="s">
        <v>35</v>
      </c>
    </row>
    <row r="59" spans="1:8" ht="29.25" customHeight="1" x14ac:dyDescent="0.2">
      <c r="B59" s="187" t="str">
        <f>"Kapitaalkostvergoeding voorraad steuncertificaten voor boekjaar "&amp;D12&amp;" volgens tariefmethodologie (in te vullen door de VREG)"</f>
        <v>Kapitaalkostvergoeding voorraad steuncertificaten voor boekjaar 2022 volgens tariefmethodologie (in te vullen door de VREG)</v>
      </c>
      <c r="C59" s="167"/>
      <c r="D59" s="799">
        <v>0</v>
      </c>
      <c r="E59" s="799">
        <v>0</v>
      </c>
      <c r="F59" s="166"/>
      <c r="H59" s="567"/>
    </row>
    <row r="60" spans="1:8" x14ac:dyDescent="0.2">
      <c r="B60" s="122"/>
      <c r="C60" s="564"/>
      <c r="D60" s="545"/>
      <c r="E60" s="545"/>
      <c r="F60" s="215"/>
      <c r="H60" s="166"/>
    </row>
    <row r="61" spans="1:8" ht="32.25" customHeight="1" x14ac:dyDescent="0.2">
      <c r="A61" s="166">
        <f>+A51+1</f>
        <v>10</v>
      </c>
      <c r="B61" s="179" t="s">
        <v>342</v>
      </c>
      <c r="C61" s="571"/>
      <c r="D61" s="598">
        <f>+D62*D63</f>
        <v>0</v>
      </c>
      <c r="E61" s="598">
        <f>+E62*E63</f>
        <v>0</v>
      </c>
      <c r="F61" s="189" t="s">
        <v>4</v>
      </c>
      <c r="H61" s="567"/>
    </row>
    <row r="62" spans="1:8" ht="48.75" customHeight="1" x14ac:dyDescent="0.2">
      <c r="B62" s="187" t="str">
        <f>"Gecumuleerd regulatoir saldo exogene kosten bij het begin van het boekjaar (01/01/"&amp;R1&amp;") (positieve waarde voor tekort, en omgekeerd)"</f>
        <v>Gecumuleerd regulatoir saldo exogene kosten bij het begin van het boekjaar (01/01/2022) (positieve waarde voor tekort, en omgekeerd)</v>
      </c>
      <c r="C62" s="2"/>
      <c r="D62" s="570">
        <f>+VLOOKUP($R$1-1,T4A!$B$63:$N$67,13,FALSE)-INDEX(T4A!$H$63:$L$67,MATCH('T3'!$R$1-1,T4A!$B$63:$B$67,0),MATCH('T3'!$R$1-1,T4A!$H$57:$L$57,0))</f>
        <v>0</v>
      </c>
      <c r="E62" s="570">
        <f>IF($S$1="ex-ante",0,IF($S$1="ex-post",VLOOKUP(R1-1,T4B!$A$281:$R$285,18,FALSE),0))</f>
        <v>0</v>
      </c>
      <c r="F62" s="166"/>
      <c r="H62" s="567"/>
    </row>
    <row r="63" spans="1:8" ht="33" customHeight="1" x14ac:dyDescent="0.2">
      <c r="B63" s="187" t="str">
        <f>"Kapitaalkostvergoeding regulatoire saldi voor boekjaar "&amp;R1&amp;" volgens tariefmethodologie (in te vullen door de VREG)"</f>
        <v>Kapitaalkostvergoeding regulatoire saldi voor boekjaar 2022 volgens tariefmethodologie (in te vullen door de VREG)</v>
      </c>
      <c r="C63" s="542"/>
      <c r="D63" s="799">
        <v>0</v>
      </c>
      <c r="E63" s="799">
        <v>0</v>
      </c>
      <c r="F63" s="166"/>
      <c r="H63" s="567"/>
    </row>
    <row r="64" spans="1:8" x14ac:dyDescent="0.2">
      <c r="B64" s="122"/>
      <c r="C64" s="563"/>
      <c r="D64" s="572"/>
      <c r="E64" s="572"/>
      <c r="F64" s="215"/>
      <c r="H64" s="166"/>
    </row>
    <row r="65" spans="1:8" ht="36.6" customHeight="1" x14ac:dyDescent="0.2">
      <c r="A65" s="166">
        <f>A61+1</f>
        <v>11</v>
      </c>
      <c r="B65" s="179" t="s">
        <v>330</v>
      </c>
      <c r="C65" s="566"/>
      <c r="D65" s="598">
        <f>D66*D69</f>
        <v>0</v>
      </c>
      <c r="E65" s="598">
        <f>+E66*E69</f>
        <v>0</v>
      </c>
      <c r="F65" s="189" t="s">
        <v>4</v>
      </c>
      <c r="H65" s="567"/>
    </row>
    <row r="66" spans="1:8" ht="51" customHeight="1" x14ac:dyDescent="0.2">
      <c r="B66" s="187" t="str">
        <f>"Gemiddeld regulatoir saldo volumerisico endogeen budget voor boekjaar "&amp;D12&amp;" (positieve waarde voor tekort, en omgekeerd)"</f>
        <v>Gemiddeld regulatoir saldo volumerisico endogeen budget voor boekjaar 2022 (positieve waarde voor tekort, en omgekeerd)</v>
      </c>
      <c r="C66" s="569"/>
      <c r="D66" s="570">
        <f>AVERAGE(D67:D68)</f>
        <v>0</v>
      </c>
      <c r="E66" s="570">
        <f>AVERAGE(E67:E68)</f>
        <v>0</v>
      </c>
      <c r="F66" s="166"/>
      <c r="H66" s="567"/>
    </row>
    <row r="67" spans="1:8" ht="45.95" customHeight="1" x14ac:dyDescent="0.2">
      <c r="B67" s="174" t="str">
        <f>"Regulatoir saldo volumerisico endogeen budget bij het begin van het boekjaar (01/01/"&amp;D12&amp;") (positieve waarde voor tekort, en omgekeerd)"</f>
        <v>Regulatoir saldo volumerisico endogeen budget bij het begin van het boekjaar (01/01/2022) (positieve waarde voor tekort, en omgekeerd)</v>
      </c>
      <c r="C67" s="2"/>
      <c r="D67" s="570">
        <f>+VLOOKUP($R$1-1,T5A!$B$98:$N$102,13,FALSE)-INDEX(T5A!$H$98:$L$102,MATCH('T3'!$R$1-1,T5A!$B$98:$B$102,0),MATCH('T3'!$R$1-1,T5A!$H$92:$L$92,0))</f>
        <v>0</v>
      </c>
      <c r="E67" s="570">
        <f>IF($S$1="ex-ante",0,IF($S$1="ex-post",VLOOKUP($R$1-1,T5B!$A$235:$R$239,18,FALSE),0))</f>
        <v>0</v>
      </c>
      <c r="F67" s="166"/>
      <c r="H67" s="567"/>
    </row>
    <row r="68" spans="1:8" ht="45.95" customHeight="1" x14ac:dyDescent="0.2">
      <c r="B68" s="174" t="str">
        <f>"Regulatoir saldo volumerisico endogeen budget op het einde van het boekjaar (31/12/"&amp;D12&amp;") (positieve waarde voor tekort, en omgekeerd)"</f>
        <v>Regulatoir saldo volumerisico endogeen budget op het einde van het boekjaar (31/12/2022) (positieve waarde voor tekort, en omgekeerd)</v>
      </c>
      <c r="C68" s="2"/>
      <c r="D68" s="570">
        <f>+VLOOKUP($R$1,T5A!$B$98:$N$102,13,FALSE)-INDEX(T5A!$H$98:$L$102,MATCH('T3'!$R$1,T5A!$B$98:$B$102,0),MATCH('T3'!$R$1,T5A!$H$92:$L$92,0))-INDEX(T5A!$H$98:$L$102,MATCH('T3'!$R$1,T5A!$B$98:$B$102,0),MATCH('T3'!$R$1-1,T5A!$H$92:$L$92,0))</f>
        <v>0</v>
      </c>
      <c r="E68" s="570">
        <f>IF($S$1="ex-ante",0,IF($S$1="ex-post",VLOOKUP($R$1,T5B!$A$235:$R$239,18,FALSE),0))</f>
        <v>0</v>
      </c>
      <c r="F68" s="166"/>
      <c r="H68" s="567"/>
    </row>
    <row r="69" spans="1:8" ht="32.25" customHeight="1" x14ac:dyDescent="0.2">
      <c r="B69" s="187" t="str">
        <f>+B63</f>
        <v>Kapitaalkostvergoeding regulatoire saldi voor boekjaar 2022 volgens tariefmethodologie (in te vullen door de VREG)</v>
      </c>
      <c r="C69" s="542"/>
      <c r="D69" s="180">
        <f>+$D$63</f>
        <v>0</v>
      </c>
      <c r="E69" s="180">
        <f>+$E$63</f>
        <v>0</v>
      </c>
      <c r="F69" s="166"/>
      <c r="H69" s="567"/>
    </row>
    <row r="70" spans="1:8" x14ac:dyDescent="0.2">
      <c r="B70" s="122"/>
      <c r="C70" s="563"/>
      <c r="D70" s="572"/>
      <c r="E70" s="572"/>
      <c r="F70" s="215"/>
      <c r="H70" s="166"/>
    </row>
    <row r="71" spans="1:8" ht="42" customHeight="1" x14ac:dyDescent="0.2">
      <c r="A71" s="166">
        <f>+A65+1</f>
        <v>12</v>
      </c>
      <c r="B71" s="179" t="s">
        <v>198</v>
      </c>
      <c r="C71" s="566"/>
      <c r="D71" s="598">
        <f>D72*D75</f>
        <v>0</v>
      </c>
      <c r="E71" s="598">
        <f>+E72*E75</f>
        <v>0</v>
      </c>
      <c r="F71" s="189" t="s">
        <v>4</v>
      </c>
      <c r="H71" s="567"/>
    </row>
    <row r="72" spans="1:8" ht="51" customHeight="1" x14ac:dyDescent="0.2">
      <c r="B72" s="187" t="str">
        <f>"Gemiddeld regulatoir saldo herindexering van het budget voor endogene kosten voor boekjaar "&amp;D12&amp;" (positieve waarde voor tekort, en omgekeerd)"</f>
        <v>Gemiddeld regulatoir saldo herindexering van het budget voor endogene kosten voor boekjaar 2022 (positieve waarde voor tekort, en omgekeerd)</v>
      </c>
      <c r="C72" s="569"/>
      <c r="D72" s="570">
        <f>AVERAGE(D73:D74)</f>
        <v>0</v>
      </c>
      <c r="E72" s="570">
        <f>AVERAGE(E73:E74)</f>
        <v>0</v>
      </c>
      <c r="F72" s="166"/>
      <c r="H72" s="567"/>
    </row>
    <row r="73" spans="1:8" ht="46.5" customHeight="1" x14ac:dyDescent="0.2">
      <c r="B73" s="174" t="str">
        <f>"Regulatoir saldo herindexering van het budget voor endogene kosten bij het begin van het boekjaar (01/01/"&amp;D12&amp;") (positieve waarde voor tekort, en omgekeerd)"</f>
        <v>Regulatoir saldo herindexering van het budget voor endogene kosten bij het begin van het boekjaar (01/01/2022) (positieve waarde voor tekort, en omgekeerd)</v>
      </c>
      <c r="C73" s="2"/>
      <c r="D73" s="570">
        <f>+VLOOKUP($R$1-1,T6A!$B$121:$L$125,11,FALSE)</f>
        <v>0</v>
      </c>
      <c r="E73" s="570">
        <f>IF($S$1="ex-ante",0,IF($S$1="ex-post",VLOOKUP($R$1-1,T6B!$A$199:$P$203,16,FALSE),0))</f>
        <v>0</v>
      </c>
      <c r="F73" s="166"/>
      <c r="H73" s="567"/>
    </row>
    <row r="74" spans="1:8" ht="45" customHeight="1" x14ac:dyDescent="0.2">
      <c r="B74" s="174" t="str">
        <f>"Regulatoir saldo herindexering van het budget voor endogene kosten op het einde van het boekjaar (31/12/"&amp;D12&amp;") (positieve waarde voor tekort, en omgekeerd)"</f>
        <v>Regulatoir saldo herindexering van het budget voor endogene kosten op het einde van het boekjaar (31/12/2022) (positieve waarde voor tekort, en omgekeerd)</v>
      </c>
      <c r="C74" s="2"/>
      <c r="D74" s="570">
        <f>+VLOOKUP($R$1,T6A!$B$121:$L$125,11,FALSE)-INDEX(T6A!$F$121:$J$125,MATCH('T3'!$R$1,T6A!$B$121:$B$125,0),MATCH('T3'!$R$1,T6A!$F$117:$J$117,0))</f>
        <v>0</v>
      </c>
      <c r="E74" s="570">
        <f>IF($S$1="ex-ante",0,IF($S$1="ex-post",VLOOKUP($R$1,T6B!$A$199:$P$203,16,FALSE),0))</f>
        <v>0</v>
      </c>
      <c r="F74" s="166"/>
      <c r="H74" s="567"/>
    </row>
    <row r="75" spans="1:8" ht="32.25" customHeight="1" x14ac:dyDescent="0.2">
      <c r="B75" s="187" t="str">
        <f>+B69</f>
        <v>Kapitaalkostvergoeding regulatoire saldi voor boekjaar 2022 volgens tariefmethodologie (in te vullen door de VREG)</v>
      </c>
      <c r="C75" s="542"/>
      <c r="D75" s="180">
        <f>+$D$63</f>
        <v>0</v>
      </c>
      <c r="E75" s="180">
        <f>+$E$63</f>
        <v>0</v>
      </c>
      <c r="F75" s="166"/>
      <c r="H75" s="567"/>
    </row>
    <row r="76" spans="1:8" x14ac:dyDescent="0.2">
      <c r="B76" s="122"/>
      <c r="C76" s="563"/>
      <c r="D76" s="572"/>
      <c r="E76" s="572"/>
      <c r="F76" s="215"/>
      <c r="H76" s="166"/>
    </row>
    <row r="77" spans="1:8" ht="36" customHeight="1" x14ac:dyDescent="0.2">
      <c r="A77" s="166">
        <f>+A71+1</f>
        <v>13</v>
      </c>
      <c r="B77" s="179" t="s">
        <v>199</v>
      </c>
      <c r="C77" s="566"/>
      <c r="D77" s="598">
        <f>D78*D81</f>
        <v>0</v>
      </c>
      <c r="E77" s="598">
        <f>+E78*E81</f>
        <v>0</v>
      </c>
      <c r="F77" s="189" t="s">
        <v>4</v>
      </c>
      <c r="H77" s="567"/>
    </row>
    <row r="78" spans="1:8" ht="44.25" customHeight="1" x14ac:dyDescent="0.2">
      <c r="B78" s="187" t="str">
        <f>"Gemiddeld regulatoir saldo vennootschapsbelasting voor boekjaar "&amp;D12&amp;" (positieve waarde voor tekort, en omgekeerd)"</f>
        <v>Gemiddeld regulatoir saldo vennootschapsbelasting voor boekjaar 2022 (positieve waarde voor tekort, en omgekeerd)</v>
      </c>
      <c r="C78" s="569"/>
      <c r="D78" s="570">
        <f>AVERAGE(D79:D80)</f>
        <v>0</v>
      </c>
      <c r="E78" s="570">
        <f>AVERAGE(E79:E80)</f>
        <v>0</v>
      </c>
      <c r="F78" s="166"/>
      <c r="H78" s="567"/>
    </row>
    <row r="79" spans="1:8" ht="46.5" customHeight="1" x14ac:dyDescent="0.2">
      <c r="B79" s="174" t="str">
        <f>"Regulatoir saldo vennootschapsbelasting bij het begin van het boekjaar (01/01/"&amp;D12&amp;") (positieve waarde voor tekort, en omgekeerd)"</f>
        <v>Regulatoir saldo vennootschapsbelasting bij het begin van het boekjaar (01/01/2022) (positieve waarde voor tekort, en omgekeerd)</v>
      </c>
      <c r="C79" s="2"/>
      <c r="D79" s="570">
        <f>+VLOOKUP($R$1-1,'T7'!$B$54:$L$58,11,FALSE)-INDEX('T7'!$F$54:$J$58,MATCH('T3'!$R$1-1,'T7'!$B$54:$B$58,0),MATCH('T3'!$R$1-1,'T7'!$F$50:$J$50,0))</f>
        <v>0</v>
      </c>
      <c r="E79" s="570">
        <f>IF($S$1="ex-ante",0,IF($S$1="ex-post",VLOOKUP($R$1-1,'T7'!$B$54:$L$58,11,FALSE),0))</f>
        <v>0</v>
      </c>
      <c r="F79" s="166"/>
      <c r="H79" s="567"/>
    </row>
    <row r="80" spans="1:8" ht="45" customHeight="1" x14ac:dyDescent="0.2">
      <c r="B80" s="174" t="str">
        <f>"Regulatoir saldo vennootschapsbelasting op het einde van het boekjaar (31/12/"&amp;D12&amp;") (positieve waarde voor tekort, en omgekeerd)"</f>
        <v>Regulatoir saldo vennootschapsbelasting op het einde van het boekjaar (31/12/2022) (positieve waarde voor tekort, en omgekeerd)</v>
      </c>
      <c r="C80" s="2"/>
      <c r="D80" s="570">
        <f>+VLOOKUP($R$1,'T7'!$B$54:$L$58,11,FALSE)-INDEX('T7'!$F$54:$J$58,MATCH('T3'!$R$1,'T7'!$B$54:$B$58,0),MATCH('T3'!$R$1,'T7'!$F$50:$J$50,0))-INDEX('T7'!$F$54:$J$58,MATCH('T3'!$R$1,'T7'!$B$54:$B$58,0),MATCH('T3'!$R$1-1,'T7'!$F$50:$J$50,0))</f>
        <v>0</v>
      </c>
      <c r="E80" s="570">
        <f>IF($S$1="ex-ante",0,IF($S$1="ex-post",VLOOKUP($R$1,'T7'!$B$54:$L$58,11,FALSE),0))</f>
        <v>0</v>
      </c>
      <c r="F80" s="166"/>
      <c r="H80" s="567"/>
    </row>
    <row r="81" spans="1:22" ht="32.25" customHeight="1" x14ac:dyDescent="0.2">
      <c r="B81" s="187" t="str">
        <f>+B75</f>
        <v>Kapitaalkostvergoeding regulatoire saldi voor boekjaar 2022 volgens tariefmethodologie (in te vullen door de VREG)</v>
      </c>
      <c r="C81" s="542"/>
      <c r="D81" s="180">
        <f>+$D$63</f>
        <v>0</v>
      </c>
      <c r="E81" s="180">
        <f>+$E$63</f>
        <v>0</v>
      </c>
      <c r="F81" s="166"/>
      <c r="H81" s="567"/>
    </row>
    <row r="82" spans="1:22" x14ac:dyDescent="0.2">
      <c r="B82" s="122"/>
      <c r="C82" s="563"/>
      <c r="D82" s="572"/>
      <c r="E82" s="572"/>
      <c r="F82" s="215"/>
      <c r="H82" s="166"/>
    </row>
    <row r="83" spans="1:22" ht="36" customHeight="1" x14ac:dyDescent="0.2">
      <c r="A83" s="166">
        <f>+A77+1</f>
        <v>14</v>
      </c>
      <c r="B83" s="179" t="s">
        <v>200</v>
      </c>
      <c r="C83" s="566"/>
      <c r="D83" s="598">
        <f>D84*D87</f>
        <v>0</v>
      </c>
      <c r="E83" s="598">
        <f>+E84*E87</f>
        <v>0</v>
      </c>
      <c r="F83" s="189" t="s">
        <v>4</v>
      </c>
      <c r="H83" s="567"/>
    </row>
    <row r="84" spans="1:22" ht="44.25" customHeight="1" x14ac:dyDescent="0.2">
      <c r="B84" s="187" t="str">
        <f>"Gemiddeld regulatoir saldo herwaarderingsmeerwaarden voor boekjaar "&amp;D12&amp;" (positieve waarde voor tekort, en omgekeerd)"</f>
        <v>Gemiddeld regulatoir saldo herwaarderingsmeerwaarden voor boekjaar 2022 (positieve waarde voor tekort, en omgekeerd)</v>
      </c>
      <c r="C84" s="569"/>
      <c r="D84" s="570">
        <f>AVERAGE(D85:D86)</f>
        <v>0</v>
      </c>
      <c r="E84" s="570">
        <f>AVERAGE(E85:E86)</f>
        <v>0</v>
      </c>
      <c r="F84" s="166"/>
      <c r="H84" s="567"/>
    </row>
    <row r="85" spans="1:22" ht="46.5" customHeight="1" x14ac:dyDescent="0.2">
      <c r="B85" s="174" t="str">
        <f>"Regulatoir saldo herwaarderingsmeerwaarden bij het begin van het boekjaar (01/01/"&amp;D12&amp;") (positieve waarde voor tekort, en omgekeerd)"</f>
        <v>Regulatoir saldo herwaarderingsmeerwaarden bij het begin van het boekjaar (01/01/2022) (positieve waarde voor tekort, en omgekeerd)</v>
      </c>
      <c r="C85" s="597"/>
      <c r="D85" s="570">
        <f>+IF($R$1=2021,0,VLOOKUP($R$1-1,'T8'!$B$43:$H$46,7,FALSE)-INDEX('T8'!$C$43:$F$46,MATCH('T3'!$R$1-1,'T8'!$B$43:$B$46,0),MATCH('T3'!$R$1-1,'T8'!$C$42:$F$42,0)))</f>
        <v>0</v>
      </c>
      <c r="E85" s="570">
        <f>IF($T$1="2021ex-post",0,IF($S$1="ex-ante",0,IF($S$1="ex-post",VLOOKUP($R$1-1,'T8'!$B$43:$H$46,7,FALSE),0)))</f>
        <v>0</v>
      </c>
      <c r="F85" s="166"/>
      <c r="H85" s="567"/>
    </row>
    <row r="86" spans="1:22" ht="45" customHeight="1" x14ac:dyDescent="0.2">
      <c r="B86" s="174" t="str">
        <f>"Regulatoir saldo herwaarderingsmeerwaarden op het einde van het boekjaar (31/12/"&amp;D12&amp;") (positieve waarde voor tekort, en omgekeerd)"</f>
        <v>Regulatoir saldo herwaarderingsmeerwaarden op het einde van het boekjaar (31/12/2022) (positieve waarde voor tekort, en omgekeerd)</v>
      </c>
      <c r="C86" s="597"/>
      <c r="D86" s="570">
        <f>+VLOOKUP($R$1,'T8'!$B$43:$H$46,7,FALSE)-INDEX('T8'!$C$43:$F$46,MATCH('T3'!$R$1,'T8'!$B$43:$B$46,0),MATCH('T3'!$R$1,'T8'!$C$42:$F$42,0))-IF($R$1=2021,0,INDEX('T8'!$C$43:$F$46,MATCH('T3'!$R$1,'T8'!$B$43:$B$46,0),MATCH('T3'!$R$1-1,'T8'!$C$42:$F$42,0)))</f>
        <v>0</v>
      </c>
      <c r="E86" s="570">
        <f>IF($S$1="ex-ante",0,IF($S$1="ex-post",VLOOKUP($R$1,'T8'!$B$43:$H$46,7,FALSE),0))</f>
        <v>0</v>
      </c>
      <c r="F86" s="166"/>
      <c r="H86" s="567"/>
    </row>
    <row r="87" spans="1:22" ht="32.25" customHeight="1" x14ac:dyDescent="0.2">
      <c r="B87" s="187" t="str">
        <f>+B81</f>
        <v>Kapitaalkostvergoeding regulatoire saldi voor boekjaar 2022 volgens tariefmethodologie (in te vullen door de VREG)</v>
      </c>
      <c r="C87" s="542"/>
      <c r="D87" s="180">
        <f>+$D$63</f>
        <v>0</v>
      </c>
      <c r="E87" s="180">
        <f>+$E$63</f>
        <v>0</v>
      </c>
      <c r="F87" s="166"/>
      <c r="H87" s="567"/>
    </row>
    <row r="88" spans="1:22" x14ac:dyDescent="0.2">
      <c r="L88" s="291"/>
      <c r="M88" s="291"/>
      <c r="N88" s="291"/>
      <c r="O88" s="291"/>
      <c r="P88" s="291"/>
      <c r="Q88" s="291"/>
      <c r="R88" s="291"/>
      <c r="S88" s="291"/>
      <c r="T88" s="291"/>
      <c r="U88" s="291"/>
      <c r="V88" s="291"/>
    </row>
    <row r="89" spans="1:22" ht="17.45" customHeight="1" x14ac:dyDescent="0.2">
      <c r="B89" s="772" t="s">
        <v>402</v>
      </c>
      <c r="C89" s="773"/>
      <c r="D89" s="774"/>
      <c r="E89" s="775"/>
      <c r="F89" s="773"/>
      <c r="G89" s="774"/>
      <c r="H89" s="776"/>
      <c r="L89" s="291"/>
      <c r="M89" s="291"/>
      <c r="N89" s="291"/>
      <c r="O89" s="291"/>
      <c r="P89" s="291"/>
      <c r="Q89" s="291"/>
      <c r="R89" s="291"/>
      <c r="S89" s="291"/>
      <c r="T89" s="291"/>
      <c r="U89" s="291"/>
      <c r="V89" s="291"/>
    </row>
    <row r="90" spans="1:22" x14ac:dyDescent="0.2">
      <c r="L90" s="291"/>
      <c r="M90" s="291"/>
      <c r="N90" s="291"/>
      <c r="O90" s="291"/>
      <c r="P90" s="291"/>
      <c r="Q90" s="291"/>
      <c r="R90" s="291"/>
      <c r="S90" s="291"/>
      <c r="T90" s="291"/>
      <c r="U90" s="291"/>
      <c r="V90" s="291"/>
    </row>
    <row r="91" spans="1:22" ht="55.5" customHeight="1" x14ac:dyDescent="0.2">
      <c r="A91" s="166">
        <f>+A83+1</f>
        <v>15</v>
      </c>
      <c r="B91" s="179" t="s">
        <v>328</v>
      </c>
      <c r="C91" s="2" t="s">
        <v>84</v>
      </c>
      <c r="D91" s="193"/>
      <c r="E91" s="193"/>
      <c r="F91" s="189"/>
      <c r="H91" s="189"/>
      <c r="L91" s="291"/>
      <c r="M91" s="291"/>
      <c r="N91" s="291"/>
      <c r="O91" s="291"/>
      <c r="P91" s="291"/>
      <c r="Q91" s="291"/>
      <c r="R91" s="291"/>
      <c r="S91" s="291"/>
      <c r="T91" s="291"/>
      <c r="U91" s="291"/>
      <c r="V91" s="291"/>
    </row>
    <row r="92" spans="1:22" ht="19.5" customHeight="1" x14ac:dyDescent="0.2">
      <c r="B92" s="174" t="s">
        <v>339</v>
      </c>
      <c r="C92" s="159"/>
      <c r="D92" s="185">
        <f>-T4B!G294</f>
        <v>0</v>
      </c>
      <c r="E92" s="185">
        <f>+D92</f>
        <v>0</v>
      </c>
      <c r="F92" s="191" t="s">
        <v>4</v>
      </c>
      <c r="H92" s="191"/>
      <c r="L92" s="291"/>
      <c r="M92" s="291"/>
      <c r="N92" s="291"/>
      <c r="O92" s="291"/>
      <c r="P92" s="291"/>
      <c r="Q92" s="291"/>
      <c r="R92" s="291"/>
      <c r="S92" s="291"/>
      <c r="T92" s="291"/>
      <c r="U92" s="291"/>
      <c r="V92" s="291"/>
    </row>
    <row r="93" spans="1:22" ht="19.5" customHeight="1" x14ac:dyDescent="0.2">
      <c r="B93" s="166"/>
      <c r="C93" s="166"/>
      <c r="E93" s="166"/>
      <c r="F93" s="166"/>
      <c r="H93" s="166"/>
    </row>
    <row r="94" spans="1:22" ht="48" customHeight="1" x14ac:dyDescent="0.2">
      <c r="A94" s="166">
        <f>+A91+1</f>
        <v>16</v>
      </c>
      <c r="B94" s="179" t="s">
        <v>329</v>
      </c>
      <c r="C94" s="2" t="s">
        <v>95</v>
      </c>
      <c r="D94" s="193"/>
      <c r="E94" s="193"/>
      <c r="F94" s="189"/>
      <c r="H94" s="189"/>
    </row>
    <row r="95" spans="1:22" ht="18.600000000000001" customHeight="1" x14ac:dyDescent="0.2">
      <c r="B95" s="174" t="s">
        <v>339</v>
      </c>
      <c r="C95" s="159"/>
      <c r="D95" s="185">
        <f>-T5B!G248</f>
        <v>0</v>
      </c>
      <c r="E95" s="185">
        <f>+D95</f>
        <v>0</v>
      </c>
      <c r="F95" s="191" t="s">
        <v>4</v>
      </c>
      <c r="H95" s="191"/>
    </row>
    <row r="96" spans="1:22" ht="19.5" customHeight="1" x14ac:dyDescent="0.2">
      <c r="B96" s="166"/>
      <c r="C96" s="166"/>
      <c r="E96" s="166"/>
      <c r="F96" s="166"/>
      <c r="H96" s="166"/>
    </row>
    <row r="97" spans="1:22" ht="59.25" customHeight="1" x14ac:dyDescent="0.2">
      <c r="A97" s="166">
        <f>A94+1</f>
        <v>17</v>
      </c>
      <c r="B97" s="179" t="s">
        <v>100</v>
      </c>
      <c r="C97" s="2" t="s">
        <v>109</v>
      </c>
      <c r="D97" s="193"/>
      <c r="E97" s="189"/>
      <c r="F97" s="189"/>
      <c r="H97" s="189"/>
    </row>
    <row r="98" spans="1:22" ht="18.600000000000001" customHeight="1" x14ac:dyDescent="0.2">
      <c r="B98" s="174" t="s">
        <v>339</v>
      </c>
      <c r="C98" s="190"/>
      <c r="D98" s="570">
        <f>-T6B!G212</f>
        <v>0</v>
      </c>
      <c r="E98" s="185">
        <f>+D98</f>
        <v>0</v>
      </c>
      <c r="F98" s="189" t="s">
        <v>4</v>
      </c>
      <c r="H98" s="189"/>
    </row>
    <row r="99" spans="1:22" x14ac:dyDescent="0.2">
      <c r="L99" s="291"/>
      <c r="M99" s="291"/>
      <c r="N99" s="291"/>
      <c r="O99" s="291"/>
      <c r="P99" s="291"/>
      <c r="Q99" s="291"/>
      <c r="R99" s="291"/>
      <c r="S99" s="291"/>
      <c r="T99" s="291"/>
      <c r="U99" s="291"/>
      <c r="V99" s="291"/>
    </row>
    <row r="100" spans="1:22" x14ac:dyDescent="0.2">
      <c r="L100" s="291"/>
      <c r="M100" s="291"/>
      <c r="N100" s="291"/>
      <c r="O100" s="291"/>
      <c r="P100" s="291"/>
      <c r="Q100" s="291"/>
      <c r="R100" s="291"/>
      <c r="S100" s="291"/>
      <c r="T100" s="291"/>
      <c r="U100" s="291"/>
      <c r="V100" s="291"/>
    </row>
    <row r="101" spans="1:22" ht="17.45" customHeight="1" x14ac:dyDescent="0.2">
      <c r="B101" s="772" t="s">
        <v>74</v>
      </c>
      <c r="C101" s="773"/>
      <c r="D101" s="774"/>
      <c r="E101" s="775"/>
      <c r="F101" s="773"/>
      <c r="G101" s="774"/>
      <c r="H101" s="776"/>
      <c r="L101" s="291"/>
      <c r="M101" s="291"/>
      <c r="N101" s="291"/>
      <c r="O101" s="291"/>
      <c r="P101" s="291"/>
      <c r="Q101" s="291"/>
      <c r="R101" s="291"/>
      <c r="S101" s="291"/>
      <c r="T101" s="291"/>
      <c r="U101" s="291"/>
      <c r="V101" s="291"/>
    </row>
    <row r="102" spans="1:22" ht="19.5" customHeight="1" x14ac:dyDescent="0.2">
      <c r="B102" s="166"/>
      <c r="C102" s="166"/>
      <c r="E102" s="166"/>
      <c r="F102" s="166"/>
      <c r="H102" s="166"/>
    </row>
    <row r="103" spans="1:22" ht="40.5" customHeight="1" x14ac:dyDescent="0.2">
      <c r="A103" s="166">
        <f>+A97+1</f>
        <v>18</v>
      </c>
      <c r="B103" s="552" t="s">
        <v>118</v>
      </c>
      <c r="C103" s="797"/>
      <c r="D103" s="193"/>
      <c r="E103" s="193"/>
      <c r="F103" s="189"/>
      <c r="H103" s="189"/>
    </row>
    <row r="104" spans="1:22" ht="20.45" customHeight="1" x14ac:dyDescent="0.2">
      <c r="B104" s="599" t="s">
        <v>337</v>
      </c>
      <c r="C104" s="547"/>
      <c r="D104" s="192">
        <v>0</v>
      </c>
      <c r="E104" s="192">
        <v>0</v>
      </c>
      <c r="F104" s="189" t="s">
        <v>4</v>
      </c>
      <c r="H104" s="189" t="s">
        <v>35</v>
      </c>
    </row>
    <row r="105" spans="1:22" ht="13.5" customHeight="1" x14ac:dyDescent="0.2">
      <c r="B105" s="166"/>
      <c r="C105" s="166"/>
      <c r="E105" s="166"/>
      <c r="F105" s="166"/>
      <c r="H105" s="166"/>
    </row>
    <row r="106" spans="1:22" ht="40.5" customHeight="1" x14ac:dyDescent="0.2">
      <c r="A106" s="166">
        <f>+A103+1</f>
        <v>19</v>
      </c>
      <c r="B106" s="179" t="s">
        <v>119</v>
      </c>
      <c r="C106" s="797"/>
      <c r="D106" s="193"/>
      <c r="E106" s="193"/>
      <c r="F106" s="189"/>
      <c r="H106" s="189"/>
    </row>
    <row r="107" spans="1:22" ht="17.100000000000001" customHeight="1" x14ac:dyDescent="0.2">
      <c r="B107" s="599" t="s">
        <v>337</v>
      </c>
      <c r="C107" s="547"/>
      <c r="D107" s="192">
        <v>0</v>
      </c>
      <c r="E107" s="192">
        <v>0</v>
      </c>
      <c r="F107" s="189" t="s">
        <v>4</v>
      </c>
      <c r="H107" s="189" t="s">
        <v>35</v>
      </c>
    </row>
    <row r="108" spans="1:22" ht="13.5" customHeight="1" x14ac:dyDescent="0.2">
      <c r="B108" s="166"/>
      <c r="C108" s="166"/>
      <c r="E108" s="166"/>
      <c r="F108" s="166"/>
      <c r="H108" s="166"/>
    </row>
    <row r="109" spans="1:22" ht="40.5" customHeight="1" x14ac:dyDescent="0.2">
      <c r="A109" s="166">
        <f>+A106+1</f>
        <v>20</v>
      </c>
      <c r="B109" s="179" t="s">
        <v>120</v>
      </c>
      <c r="C109" s="797"/>
      <c r="D109" s="193"/>
      <c r="E109" s="664"/>
      <c r="F109" s="189"/>
      <c r="H109" s="189"/>
    </row>
    <row r="110" spans="1:22" ht="17.100000000000001" customHeight="1" x14ac:dyDescent="0.2">
      <c r="B110" s="599" t="s">
        <v>337</v>
      </c>
      <c r="C110" s="547"/>
      <c r="D110" s="192">
        <v>0</v>
      </c>
      <c r="E110" s="798"/>
      <c r="F110" s="189" t="s">
        <v>8</v>
      </c>
      <c r="H110" s="189" t="s">
        <v>35</v>
      </c>
    </row>
    <row r="113" spans="1:22" ht="17.45" customHeight="1" x14ac:dyDescent="0.2">
      <c r="B113" s="772" t="s">
        <v>213</v>
      </c>
      <c r="C113" s="773"/>
      <c r="D113" s="774"/>
      <c r="E113" s="775"/>
      <c r="F113" s="773"/>
      <c r="G113" s="774"/>
      <c r="H113" s="776"/>
      <c r="L113" s="291"/>
      <c r="M113" s="291"/>
      <c r="N113" s="291"/>
      <c r="O113" s="291"/>
      <c r="P113" s="291"/>
      <c r="Q113" s="291"/>
      <c r="R113" s="291"/>
      <c r="S113" s="291"/>
      <c r="T113" s="291"/>
      <c r="U113" s="291"/>
      <c r="V113" s="291"/>
    </row>
    <row r="116" spans="1:22" ht="17.45" customHeight="1" x14ac:dyDescent="0.2">
      <c r="B116" s="772" t="s">
        <v>72</v>
      </c>
      <c r="C116" s="773"/>
      <c r="D116" s="774"/>
      <c r="E116" s="775"/>
      <c r="F116" s="773"/>
      <c r="G116" s="774"/>
      <c r="H116" s="776"/>
      <c r="L116" s="291"/>
      <c r="M116" s="291"/>
      <c r="N116" s="291"/>
      <c r="O116" s="291"/>
      <c r="P116" s="291"/>
      <c r="Q116" s="291"/>
      <c r="R116" s="291"/>
      <c r="S116" s="291"/>
      <c r="T116" s="291"/>
      <c r="U116" s="291"/>
      <c r="V116" s="291"/>
    </row>
    <row r="118" spans="1:22" ht="55.5" customHeight="1" x14ac:dyDescent="0.2">
      <c r="A118" s="166">
        <f>+A109+1</f>
        <v>21</v>
      </c>
      <c r="B118" s="179" t="s">
        <v>328</v>
      </c>
      <c r="C118" s="2" t="s">
        <v>84</v>
      </c>
      <c r="D118" s="193"/>
      <c r="E118" s="193"/>
      <c r="F118" s="189"/>
      <c r="H118" s="189"/>
      <c r="L118" s="291"/>
      <c r="M118" s="291"/>
      <c r="N118" s="291"/>
      <c r="O118" s="291"/>
      <c r="P118" s="291"/>
      <c r="Q118" s="291"/>
      <c r="R118" s="291"/>
      <c r="S118" s="291"/>
      <c r="T118" s="291"/>
      <c r="U118" s="291"/>
      <c r="V118" s="291"/>
    </row>
    <row r="119" spans="1:22" ht="18.600000000000001" customHeight="1" x14ac:dyDescent="0.2">
      <c r="B119" s="174" t="s">
        <v>334</v>
      </c>
      <c r="C119" s="159"/>
      <c r="D119" s="185">
        <f>-T4B!G295</f>
        <v>0</v>
      </c>
      <c r="E119" s="185">
        <f>+D119</f>
        <v>0</v>
      </c>
      <c r="F119" s="191" t="s">
        <v>4</v>
      </c>
      <c r="H119" s="191"/>
    </row>
    <row r="120" spans="1:22" ht="19.5" customHeight="1" x14ac:dyDescent="0.2">
      <c r="B120" s="166"/>
      <c r="C120" s="166"/>
      <c r="E120" s="166"/>
      <c r="F120" s="166"/>
      <c r="H120" s="166"/>
    </row>
    <row r="121" spans="1:22" ht="48" customHeight="1" x14ac:dyDescent="0.2">
      <c r="A121" s="166">
        <f>+A118+1</f>
        <v>22</v>
      </c>
      <c r="B121" s="179" t="s">
        <v>329</v>
      </c>
      <c r="C121" s="2" t="s">
        <v>95</v>
      </c>
      <c r="D121" s="193"/>
      <c r="E121" s="193"/>
      <c r="F121" s="189"/>
      <c r="H121" s="189"/>
    </row>
    <row r="122" spans="1:22" ht="18.600000000000001" customHeight="1" x14ac:dyDescent="0.2">
      <c r="B122" s="174" t="s">
        <v>334</v>
      </c>
      <c r="C122" s="159"/>
      <c r="D122" s="185">
        <f>-T5B!G249</f>
        <v>0</v>
      </c>
      <c r="E122" s="185">
        <f>+D122</f>
        <v>0</v>
      </c>
      <c r="F122" s="191" t="s">
        <v>4</v>
      </c>
      <c r="H122" s="191"/>
    </row>
    <row r="123" spans="1:22" ht="19.5" customHeight="1" x14ac:dyDescent="0.2">
      <c r="B123" s="166"/>
      <c r="C123" s="166"/>
      <c r="E123" s="166"/>
      <c r="F123" s="166"/>
      <c r="H123" s="166"/>
    </row>
    <row r="124" spans="1:22" ht="59.25" customHeight="1" x14ac:dyDescent="0.2">
      <c r="A124" s="166">
        <f>A121+1</f>
        <v>23</v>
      </c>
      <c r="B124" s="179" t="s">
        <v>100</v>
      </c>
      <c r="C124" s="2" t="s">
        <v>109</v>
      </c>
      <c r="D124" s="193"/>
      <c r="E124" s="189"/>
      <c r="F124" s="189"/>
      <c r="H124" s="189"/>
    </row>
    <row r="125" spans="1:22" ht="18.600000000000001" customHeight="1" x14ac:dyDescent="0.2">
      <c r="B125" s="174" t="s">
        <v>334</v>
      </c>
      <c r="C125" s="190"/>
      <c r="D125" s="570">
        <f>-T6B!G213</f>
        <v>0</v>
      </c>
      <c r="E125" s="185">
        <f>+D125</f>
        <v>0</v>
      </c>
      <c r="F125" s="189" t="s">
        <v>4</v>
      </c>
      <c r="H125" s="189"/>
    </row>
    <row r="127" spans="1:22" ht="29.25" customHeight="1" x14ac:dyDescent="0.2">
      <c r="A127" s="166">
        <f>+A124+1</f>
        <v>24</v>
      </c>
      <c r="B127" s="179" t="s">
        <v>197</v>
      </c>
      <c r="C127" s="546"/>
      <c r="D127" s="193">
        <f>SUM(D128:D130)</f>
        <v>0</v>
      </c>
      <c r="E127" s="193">
        <f>SUM(E128:E130)</f>
        <v>0</v>
      </c>
      <c r="F127" s="189" t="s">
        <v>4</v>
      </c>
      <c r="H127" s="189"/>
    </row>
    <row r="128" spans="1:22" ht="29.25" customHeight="1" x14ac:dyDescent="0.2">
      <c r="B128" s="599" t="s">
        <v>171</v>
      </c>
      <c r="C128" s="547"/>
      <c r="D128" s="548">
        <v>0</v>
      </c>
      <c r="E128" s="548">
        <v>0</v>
      </c>
      <c r="F128" s="189"/>
      <c r="H128" s="189" t="s">
        <v>35</v>
      </c>
    </row>
    <row r="129" spans="1:9" ht="29.25" customHeight="1" x14ac:dyDescent="0.2">
      <c r="B129" s="599" t="s">
        <v>172</v>
      </c>
      <c r="C129" s="547"/>
      <c r="D129" s="548">
        <v>0</v>
      </c>
      <c r="E129" s="548">
        <v>0</v>
      </c>
      <c r="F129" s="189"/>
      <c r="H129" s="189" t="s">
        <v>35</v>
      </c>
    </row>
    <row r="130" spans="1:9" ht="29.25" customHeight="1" x14ac:dyDescent="0.2">
      <c r="B130" s="599" t="s">
        <v>173</v>
      </c>
      <c r="C130" s="547"/>
      <c r="D130" s="548">
        <v>0</v>
      </c>
      <c r="E130" s="548">
        <v>0</v>
      </c>
      <c r="F130" s="189"/>
      <c r="H130" s="189" t="s">
        <v>35</v>
      </c>
    </row>
    <row r="131" spans="1:9" ht="36.75" customHeight="1" x14ac:dyDescent="0.2">
      <c r="B131" s="179" t="s">
        <v>88</v>
      </c>
      <c r="C131" s="797"/>
      <c r="D131" s="193">
        <f>SUM(D132:D134)</f>
        <v>0</v>
      </c>
      <c r="E131" s="193">
        <f>SUM(E132:E134)</f>
        <v>0</v>
      </c>
      <c r="F131" s="189" t="s">
        <v>8</v>
      </c>
      <c r="H131" s="189"/>
    </row>
    <row r="132" spans="1:9" ht="29.25" customHeight="1" x14ac:dyDescent="0.2">
      <c r="B132" s="599" t="s">
        <v>188</v>
      </c>
      <c r="C132" s="547"/>
      <c r="D132" s="548">
        <v>0</v>
      </c>
      <c r="E132" s="548">
        <v>0</v>
      </c>
      <c r="F132" s="189"/>
      <c r="H132" s="189" t="s">
        <v>35</v>
      </c>
    </row>
    <row r="133" spans="1:9" ht="29.25" customHeight="1" x14ac:dyDescent="0.2">
      <c r="B133" s="599" t="s">
        <v>189</v>
      </c>
      <c r="C133" s="547"/>
      <c r="D133" s="548">
        <v>0</v>
      </c>
      <c r="E133" s="548">
        <v>0</v>
      </c>
      <c r="F133" s="189"/>
      <c r="H133" s="189" t="s">
        <v>35</v>
      </c>
    </row>
    <row r="134" spans="1:9" ht="45" customHeight="1" x14ac:dyDescent="0.2">
      <c r="B134" s="599" t="s">
        <v>190</v>
      </c>
      <c r="C134" s="547"/>
      <c r="D134" s="548">
        <v>0</v>
      </c>
      <c r="E134" s="548">
        <v>0</v>
      </c>
      <c r="F134" s="189"/>
      <c r="H134" s="189" t="s">
        <v>35</v>
      </c>
    </row>
    <row r="135" spans="1:9" s="296" customFormat="1" x14ac:dyDescent="0.2">
      <c r="B135" s="549"/>
      <c r="C135" s="550"/>
      <c r="D135" s="551"/>
      <c r="E135" s="551"/>
      <c r="F135" s="215"/>
      <c r="H135" s="215"/>
      <c r="I135" s="218"/>
    </row>
    <row r="136" spans="1:9" ht="33.75" customHeight="1" x14ac:dyDescent="0.2">
      <c r="A136" s="166">
        <f>A127+1</f>
        <v>25</v>
      </c>
      <c r="B136" s="552" t="s">
        <v>417</v>
      </c>
      <c r="C136" s="546"/>
      <c r="D136" s="553"/>
      <c r="E136" s="554"/>
      <c r="F136" s="555"/>
      <c r="H136" s="189"/>
    </row>
    <row r="137" spans="1:9" ht="18.600000000000001" customHeight="1" x14ac:dyDescent="0.2">
      <c r="B137" s="599" t="s">
        <v>5</v>
      </c>
      <c r="C137" s="547"/>
      <c r="D137" s="548">
        <v>0</v>
      </c>
      <c r="E137" s="548">
        <v>0</v>
      </c>
      <c r="F137" s="189" t="s">
        <v>4</v>
      </c>
      <c r="H137" s="189" t="s">
        <v>35</v>
      </c>
    </row>
    <row r="138" spans="1:9" ht="18.600000000000001" customHeight="1" x14ac:dyDescent="0.2">
      <c r="B138" s="599" t="s">
        <v>6</v>
      </c>
      <c r="C138" s="547"/>
      <c r="D138" s="548">
        <v>0</v>
      </c>
      <c r="E138" s="548">
        <v>0</v>
      </c>
      <c r="F138" s="189" t="s">
        <v>4</v>
      </c>
      <c r="H138" s="189" t="s">
        <v>35</v>
      </c>
    </row>
    <row r="139" spans="1:9" x14ac:dyDescent="0.2">
      <c r="B139" s="556"/>
      <c r="C139" s="557"/>
      <c r="D139" s="558"/>
      <c r="E139" s="558"/>
      <c r="F139" s="559"/>
      <c r="H139" s="215"/>
    </row>
    <row r="140" spans="1:9" ht="18.95" customHeight="1" x14ac:dyDescent="0.2">
      <c r="A140" s="166">
        <f>+A136+1</f>
        <v>26</v>
      </c>
      <c r="B140" s="560" t="s">
        <v>7</v>
      </c>
      <c r="C140" s="797"/>
      <c r="D140" s="185">
        <f>SUM(D141:D142)</f>
        <v>0</v>
      </c>
      <c r="E140" s="185">
        <f>SUM(E141:E142)</f>
        <v>0</v>
      </c>
      <c r="F140" s="189" t="s">
        <v>8</v>
      </c>
      <c r="H140" s="189"/>
    </row>
    <row r="141" spans="1:9" ht="18.95" customHeight="1" x14ac:dyDescent="0.2">
      <c r="B141" s="599" t="s">
        <v>186</v>
      </c>
      <c r="C141" s="547"/>
      <c r="D141" s="548">
        <v>0</v>
      </c>
      <c r="E141" s="548">
        <v>0</v>
      </c>
      <c r="F141" s="189"/>
      <c r="H141" s="189" t="s">
        <v>35</v>
      </c>
    </row>
    <row r="142" spans="1:9" ht="18.95" customHeight="1" x14ac:dyDescent="0.2">
      <c r="B142" s="599" t="s">
        <v>187</v>
      </c>
      <c r="C142" s="547"/>
      <c r="D142" s="548">
        <v>0</v>
      </c>
      <c r="E142" s="548">
        <v>0</v>
      </c>
      <c r="F142" s="189"/>
      <c r="H142" s="189" t="s">
        <v>35</v>
      </c>
    </row>
    <row r="143" spans="1:9" ht="18.95" customHeight="1" x14ac:dyDescent="0.2">
      <c r="B143" s="560" t="s">
        <v>9</v>
      </c>
      <c r="C143" s="797"/>
      <c r="D143" s="185">
        <f>SUM(D144:D145)</f>
        <v>0</v>
      </c>
      <c r="E143" s="185">
        <f>SUM(E144:E145)</f>
        <v>0</v>
      </c>
      <c r="F143" s="189" t="s">
        <v>8</v>
      </c>
      <c r="H143" s="189"/>
    </row>
    <row r="144" spans="1:9" ht="18.95" customHeight="1" x14ac:dyDescent="0.2">
      <c r="B144" s="599" t="s">
        <v>186</v>
      </c>
      <c r="C144" s="547"/>
      <c r="D144" s="548">
        <v>0</v>
      </c>
      <c r="E144" s="548">
        <v>0</v>
      </c>
      <c r="F144" s="189"/>
      <c r="H144" s="189" t="s">
        <v>35</v>
      </c>
    </row>
    <row r="145" spans="1:9" ht="18.95" customHeight="1" x14ac:dyDescent="0.2">
      <c r="B145" s="599" t="s">
        <v>187</v>
      </c>
      <c r="C145" s="547"/>
      <c r="D145" s="548">
        <v>0</v>
      </c>
      <c r="E145" s="548">
        <v>0</v>
      </c>
      <c r="F145" s="189"/>
      <c r="H145" s="189" t="s">
        <v>35</v>
      </c>
    </row>
    <row r="146" spans="1:9" x14ac:dyDescent="0.2">
      <c r="B146" s="556"/>
      <c r="C146" s="557"/>
      <c r="D146" s="558"/>
      <c r="E146" s="558"/>
      <c r="F146" s="201"/>
      <c r="H146" s="215"/>
    </row>
    <row r="147" spans="1:9" ht="33.75" customHeight="1" x14ac:dyDescent="0.2">
      <c r="A147" s="166">
        <f>+A140+1</f>
        <v>27</v>
      </c>
      <c r="B147" s="561" t="s">
        <v>418</v>
      </c>
      <c r="C147" s="547"/>
      <c r="D147" s="192">
        <v>0</v>
      </c>
      <c r="E147" s="192">
        <v>0</v>
      </c>
      <c r="F147" s="189" t="s">
        <v>4</v>
      </c>
      <c r="H147" s="189" t="s">
        <v>35</v>
      </c>
    </row>
    <row r="148" spans="1:9" x14ac:dyDescent="0.2">
      <c r="B148" s="543"/>
      <c r="C148" s="200"/>
      <c r="D148" s="558"/>
      <c r="E148" s="558"/>
      <c r="F148" s="201"/>
      <c r="H148" s="215"/>
    </row>
    <row r="149" spans="1:9" ht="32.25" customHeight="1" x14ac:dyDescent="0.2">
      <c r="A149" s="166">
        <f>A147+1</f>
        <v>28</v>
      </c>
      <c r="B149" s="561" t="s">
        <v>419</v>
      </c>
      <c r="C149" s="547"/>
      <c r="D149" s="192">
        <v>0</v>
      </c>
      <c r="E149" s="192">
        <v>0</v>
      </c>
      <c r="F149" s="189" t="s">
        <v>4</v>
      </c>
      <c r="H149" s="189" t="s">
        <v>35</v>
      </c>
      <c r="I149" s="219"/>
    </row>
    <row r="150" spans="1:9" x14ac:dyDescent="0.2">
      <c r="A150" s="296"/>
      <c r="B150" s="122"/>
      <c r="C150" s="562"/>
      <c r="D150" s="545"/>
      <c r="E150" s="545"/>
      <c r="F150" s="215"/>
      <c r="H150" s="215"/>
    </row>
    <row r="151" spans="1:9" ht="61.5" customHeight="1" x14ac:dyDescent="0.2">
      <c r="A151" s="166">
        <f>A149+1</f>
        <v>29</v>
      </c>
      <c r="B151" s="552" t="s">
        <v>420</v>
      </c>
      <c r="C151" s="797"/>
      <c r="D151" s="193"/>
      <c r="E151" s="193"/>
      <c r="F151" s="189"/>
      <c r="H151" s="189"/>
      <c r="I151" s="219"/>
    </row>
    <row r="152" spans="1:9" ht="15.6" customHeight="1" x14ac:dyDescent="0.2">
      <c r="B152" s="599" t="s">
        <v>174</v>
      </c>
      <c r="C152" s="547"/>
      <c r="D152" s="192">
        <v>0</v>
      </c>
      <c r="E152" s="192">
        <v>0</v>
      </c>
      <c r="F152" s="189" t="s">
        <v>4</v>
      </c>
      <c r="H152" s="189" t="s">
        <v>35</v>
      </c>
    </row>
    <row r="153" spans="1:9" ht="15.6" customHeight="1" x14ac:dyDescent="0.2">
      <c r="B153" s="599" t="s">
        <v>175</v>
      </c>
      <c r="C153" s="547"/>
      <c r="D153" s="192">
        <v>0</v>
      </c>
      <c r="E153" s="192">
        <v>0</v>
      </c>
      <c r="F153" s="189" t="s">
        <v>4</v>
      </c>
      <c r="H153" s="189" t="s">
        <v>35</v>
      </c>
    </row>
    <row r="154" spans="1:9" x14ac:dyDescent="0.2">
      <c r="A154" s="296"/>
      <c r="B154" s="122"/>
      <c r="C154" s="562"/>
      <c r="D154" s="545"/>
      <c r="E154" s="545"/>
      <c r="F154" s="215"/>
      <c r="H154" s="215"/>
    </row>
    <row r="155" spans="1:9" ht="36.6" customHeight="1" x14ac:dyDescent="0.2">
      <c r="A155" s="166">
        <f>+A151+1</f>
        <v>30</v>
      </c>
      <c r="B155" s="179" t="s">
        <v>191</v>
      </c>
      <c r="C155" s="797"/>
      <c r="D155" s="193"/>
      <c r="E155" s="193"/>
      <c r="F155" s="189"/>
      <c r="H155" s="189"/>
      <c r="I155" s="219"/>
    </row>
    <row r="156" spans="1:9" ht="20.100000000000001" customHeight="1" x14ac:dyDescent="0.2">
      <c r="B156" s="599" t="s">
        <v>192</v>
      </c>
      <c r="C156" s="547"/>
      <c r="D156" s="548">
        <v>0</v>
      </c>
      <c r="E156" s="548">
        <v>0</v>
      </c>
      <c r="F156" s="189" t="s">
        <v>8</v>
      </c>
      <c r="H156" s="189" t="s">
        <v>35</v>
      </c>
    </row>
    <row r="157" spans="1:9" ht="20.100000000000001" customHeight="1" x14ac:dyDescent="0.2">
      <c r="B157" s="599" t="s">
        <v>193</v>
      </c>
      <c r="C157" s="547"/>
      <c r="D157" s="548">
        <v>0</v>
      </c>
      <c r="E157" s="548">
        <v>0</v>
      </c>
      <c r="F157" s="189" t="s">
        <v>8</v>
      </c>
      <c r="H157" s="189" t="s">
        <v>35</v>
      </c>
    </row>
    <row r="158" spans="1:9" x14ac:dyDescent="0.2">
      <c r="A158" s="296"/>
      <c r="B158" s="122"/>
      <c r="C158" s="562"/>
      <c r="D158" s="545"/>
      <c r="E158" s="545"/>
      <c r="F158" s="215"/>
      <c r="H158" s="215"/>
    </row>
    <row r="159" spans="1:9" ht="27.6" customHeight="1" x14ac:dyDescent="0.2">
      <c r="A159" s="166">
        <f>+A155+1</f>
        <v>31</v>
      </c>
      <c r="B159" s="179" t="s">
        <v>194</v>
      </c>
      <c r="C159" s="797"/>
      <c r="D159" s="193"/>
      <c r="E159" s="193"/>
      <c r="F159" s="189"/>
      <c r="H159" s="189"/>
      <c r="I159" s="219"/>
    </row>
    <row r="160" spans="1:9" ht="20.100000000000001" customHeight="1" x14ac:dyDescent="0.2">
      <c r="B160" s="599" t="s">
        <v>192</v>
      </c>
      <c r="C160" s="547"/>
      <c r="D160" s="548">
        <v>0</v>
      </c>
      <c r="E160" s="548">
        <v>0</v>
      </c>
      <c r="F160" s="189" t="s">
        <v>4</v>
      </c>
      <c r="H160" s="189" t="s">
        <v>35</v>
      </c>
    </row>
    <row r="161" spans="1:22" ht="20.100000000000001" customHeight="1" x14ac:dyDescent="0.2">
      <c r="B161" s="599" t="s">
        <v>193</v>
      </c>
      <c r="C161" s="547"/>
      <c r="D161" s="548">
        <v>0</v>
      </c>
      <c r="E161" s="548">
        <v>0</v>
      </c>
      <c r="F161" s="189" t="s">
        <v>4</v>
      </c>
      <c r="H161" s="189" t="s">
        <v>35</v>
      </c>
    </row>
    <row r="162" spans="1:22" x14ac:dyDescent="0.2">
      <c r="B162" s="556"/>
      <c r="C162" s="557"/>
      <c r="D162" s="558"/>
      <c r="E162" s="558"/>
      <c r="F162" s="201"/>
      <c r="H162" s="215"/>
    </row>
    <row r="163" spans="1:22" ht="33.75" customHeight="1" x14ac:dyDescent="0.2">
      <c r="A163" s="166">
        <f>+A159+1</f>
        <v>32</v>
      </c>
      <c r="B163" s="565" t="s">
        <v>195</v>
      </c>
      <c r="C163" s="547"/>
      <c r="D163" s="192">
        <v>0</v>
      </c>
      <c r="E163" s="192">
        <v>0</v>
      </c>
      <c r="F163" s="189" t="s">
        <v>4</v>
      </c>
      <c r="H163" s="189" t="s">
        <v>35</v>
      </c>
    </row>
    <row r="164" spans="1:22" x14ac:dyDescent="0.2">
      <c r="B164" s="556"/>
      <c r="C164" s="557"/>
      <c r="D164" s="558"/>
      <c r="E164" s="558"/>
      <c r="F164" s="201"/>
      <c r="H164" s="215"/>
    </row>
    <row r="165" spans="1:22" s="956" customFormat="1" ht="33.75" customHeight="1" x14ac:dyDescent="0.2">
      <c r="A165" s="956">
        <f>A163+1</f>
        <v>33</v>
      </c>
      <c r="B165" s="974" t="s">
        <v>465</v>
      </c>
      <c r="C165" s="975"/>
      <c r="D165" s="976">
        <v>0</v>
      </c>
      <c r="E165" s="976">
        <v>0</v>
      </c>
      <c r="F165" s="977" t="s">
        <v>4</v>
      </c>
      <c r="H165" s="977" t="s">
        <v>35</v>
      </c>
      <c r="I165" s="978" t="s">
        <v>467</v>
      </c>
    </row>
    <row r="166" spans="1:22" s="956" customFormat="1" x14ac:dyDescent="0.2">
      <c r="B166" s="979"/>
      <c r="C166" s="980"/>
      <c r="D166" s="981"/>
      <c r="E166" s="981"/>
      <c r="F166" s="982"/>
      <c r="H166" s="983"/>
      <c r="I166" s="978"/>
    </row>
    <row r="167" spans="1:22" s="956" customFormat="1" ht="33.75" customHeight="1" x14ac:dyDescent="0.2">
      <c r="A167" s="956">
        <f>A165+1</f>
        <v>34</v>
      </c>
      <c r="B167" s="974" t="s">
        <v>466</v>
      </c>
      <c r="C167" s="975"/>
      <c r="D167" s="976">
        <v>0</v>
      </c>
      <c r="E167" s="976">
        <v>0</v>
      </c>
      <c r="F167" s="977" t="s">
        <v>8</v>
      </c>
      <c r="H167" s="977" t="s">
        <v>35</v>
      </c>
      <c r="I167" s="978" t="s">
        <v>467</v>
      </c>
    </row>
    <row r="170" spans="1:22" ht="17.45" customHeight="1" x14ac:dyDescent="0.2">
      <c r="B170" s="772" t="s">
        <v>361</v>
      </c>
      <c r="C170" s="773"/>
      <c r="D170" s="774"/>
      <c r="E170" s="775"/>
      <c r="F170" s="773"/>
      <c r="G170" s="774"/>
      <c r="H170" s="776"/>
      <c r="L170" s="291"/>
      <c r="M170" s="291"/>
      <c r="N170" s="291"/>
      <c r="O170" s="291"/>
      <c r="P170" s="291"/>
      <c r="Q170" s="291"/>
      <c r="R170" s="291"/>
      <c r="S170" s="291"/>
      <c r="T170" s="291"/>
      <c r="U170" s="291"/>
      <c r="V170" s="291"/>
    </row>
    <row r="171" spans="1:22" ht="19.5" customHeight="1" x14ac:dyDescent="0.2">
      <c r="B171" s="166"/>
      <c r="C171" s="166"/>
      <c r="E171" s="166"/>
      <c r="F171" s="166"/>
      <c r="H171" s="166"/>
    </row>
    <row r="172" spans="1:22" ht="55.5" customHeight="1" x14ac:dyDescent="0.2">
      <c r="A172" s="166">
        <f>A167+1</f>
        <v>35</v>
      </c>
      <c r="B172" s="179" t="s">
        <v>328</v>
      </c>
      <c r="C172" s="2" t="s">
        <v>84</v>
      </c>
      <c r="D172" s="193"/>
      <c r="E172" s="193"/>
      <c r="F172" s="189"/>
      <c r="H172" s="189"/>
      <c r="L172" s="291"/>
      <c r="M172" s="291"/>
      <c r="N172" s="291"/>
      <c r="O172" s="291"/>
      <c r="P172" s="291"/>
      <c r="Q172" s="291"/>
      <c r="R172" s="291"/>
      <c r="S172" s="291"/>
      <c r="T172" s="291"/>
      <c r="U172" s="291"/>
      <c r="V172" s="291"/>
    </row>
    <row r="173" spans="1:22" ht="18.600000000000001" customHeight="1" x14ac:dyDescent="0.2">
      <c r="B173" s="174" t="s">
        <v>335</v>
      </c>
      <c r="C173" s="159"/>
      <c r="D173" s="185">
        <f>-T4B!G296</f>
        <v>0</v>
      </c>
      <c r="E173" s="185">
        <f>+D173</f>
        <v>0</v>
      </c>
      <c r="F173" s="191" t="s">
        <v>4</v>
      </c>
      <c r="H173" s="191"/>
    </row>
    <row r="174" spans="1:22" ht="19.5" customHeight="1" x14ac:dyDescent="0.2">
      <c r="B174" s="166"/>
      <c r="C174" s="166"/>
      <c r="E174" s="166"/>
      <c r="F174" s="166"/>
      <c r="H174" s="166"/>
    </row>
    <row r="175" spans="1:22" ht="48" customHeight="1" x14ac:dyDescent="0.2">
      <c r="A175" s="166">
        <f>+A172+1</f>
        <v>36</v>
      </c>
      <c r="B175" s="179" t="s">
        <v>329</v>
      </c>
      <c r="C175" s="2" t="s">
        <v>95</v>
      </c>
      <c r="D175" s="193"/>
      <c r="E175" s="193"/>
      <c r="F175" s="189"/>
      <c r="H175" s="189"/>
    </row>
    <row r="176" spans="1:22" ht="18.600000000000001" customHeight="1" x14ac:dyDescent="0.2">
      <c r="B176" s="174" t="s">
        <v>335</v>
      </c>
      <c r="C176" s="159"/>
      <c r="D176" s="185">
        <f>-T5B!G250</f>
        <v>0</v>
      </c>
      <c r="E176" s="185">
        <f t="shared" ref="E176" si="0">+D176</f>
        <v>0</v>
      </c>
      <c r="F176" s="191" t="s">
        <v>4</v>
      </c>
      <c r="H176" s="191"/>
    </row>
    <row r="177" spans="1:22" ht="19.5" customHeight="1" x14ac:dyDescent="0.2">
      <c r="B177" s="166"/>
      <c r="C177" s="166"/>
      <c r="E177" s="166"/>
      <c r="F177" s="166"/>
      <c r="H177" s="166"/>
    </row>
    <row r="178" spans="1:22" ht="59.25" customHeight="1" x14ac:dyDescent="0.2">
      <c r="A178" s="166">
        <f>A175+1</f>
        <v>37</v>
      </c>
      <c r="B178" s="179" t="s">
        <v>100</v>
      </c>
      <c r="C178" s="2" t="s">
        <v>109</v>
      </c>
      <c r="D178" s="193"/>
      <c r="E178" s="189"/>
      <c r="F178" s="189"/>
      <c r="H178" s="189"/>
    </row>
    <row r="179" spans="1:22" ht="18.600000000000001" customHeight="1" x14ac:dyDescent="0.2">
      <c r="B179" s="174" t="s">
        <v>335</v>
      </c>
      <c r="C179" s="190"/>
      <c r="D179" s="570">
        <f>-T6B!G214</f>
        <v>0</v>
      </c>
      <c r="E179" s="185">
        <f t="shared" ref="E179" si="1">+D179</f>
        <v>0</v>
      </c>
      <c r="F179" s="189" t="s">
        <v>4</v>
      </c>
      <c r="H179" s="189"/>
    </row>
    <row r="180" spans="1:22" x14ac:dyDescent="0.2">
      <c r="B180" s="122"/>
      <c r="C180" s="564"/>
      <c r="D180" s="572"/>
      <c r="E180" s="572"/>
      <c r="F180" s="215"/>
      <c r="H180" s="166"/>
    </row>
    <row r="181" spans="1:22" ht="33.950000000000003" customHeight="1" x14ac:dyDescent="0.2">
      <c r="A181" s="166">
        <f>+A178+1</f>
        <v>38</v>
      </c>
      <c r="B181" s="179" t="s">
        <v>76</v>
      </c>
      <c r="C181" s="2"/>
      <c r="D181" s="193">
        <f>SUM(D182:D184)</f>
        <v>0</v>
      </c>
      <c r="E181" s="193">
        <f>SUM(E182:E184)</f>
        <v>0</v>
      </c>
      <c r="F181" s="189" t="s">
        <v>4</v>
      </c>
      <c r="H181" s="567"/>
    </row>
    <row r="182" spans="1:22" ht="27.6" customHeight="1" x14ac:dyDescent="0.2">
      <c r="B182" s="599" t="s">
        <v>42</v>
      </c>
      <c r="C182" s="547"/>
      <c r="D182" s="548">
        <v>0</v>
      </c>
      <c r="E182" s="548">
        <v>0</v>
      </c>
      <c r="F182" s="189"/>
      <c r="H182" s="189" t="s">
        <v>35</v>
      </c>
    </row>
    <row r="183" spans="1:22" ht="27.6" customHeight="1" x14ac:dyDescent="0.2">
      <c r="B183" s="599" t="s">
        <v>244</v>
      </c>
      <c r="C183" s="547"/>
      <c r="D183" s="548">
        <v>0</v>
      </c>
      <c r="E183" s="548">
        <v>0</v>
      </c>
      <c r="F183" s="189"/>
      <c r="H183" s="189" t="s">
        <v>35</v>
      </c>
    </row>
    <row r="184" spans="1:22" ht="27.6" customHeight="1" x14ac:dyDescent="0.2">
      <c r="B184" s="599" t="s">
        <v>245</v>
      </c>
      <c r="C184" s="547"/>
      <c r="D184" s="548">
        <v>0</v>
      </c>
      <c r="E184" s="548">
        <v>0</v>
      </c>
      <c r="F184" s="189"/>
      <c r="H184" s="189" t="s">
        <v>35</v>
      </c>
    </row>
    <row r="187" spans="1:22" ht="17.45" customHeight="1" x14ac:dyDescent="0.2">
      <c r="B187" s="772" t="s">
        <v>362</v>
      </c>
      <c r="C187" s="773"/>
      <c r="D187" s="774"/>
      <c r="E187" s="775"/>
      <c r="F187" s="773"/>
      <c r="G187" s="774"/>
      <c r="H187" s="776"/>
      <c r="L187" s="291"/>
      <c r="M187" s="291"/>
      <c r="N187" s="291"/>
      <c r="O187" s="291"/>
      <c r="P187" s="291"/>
      <c r="Q187" s="291"/>
      <c r="R187" s="291"/>
      <c r="S187" s="291"/>
      <c r="T187" s="291"/>
      <c r="U187" s="291"/>
      <c r="V187" s="291"/>
    </row>
    <row r="188" spans="1:22" ht="19.5" customHeight="1" x14ac:dyDescent="0.2">
      <c r="B188" s="166"/>
      <c r="C188" s="166"/>
      <c r="E188" s="166"/>
      <c r="F188" s="166"/>
      <c r="H188" s="166"/>
    </row>
    <row r="189" spans="1:22" ht="55.5" customHeight="1" x14ac:dyDescent="0.2">
      <c r="A189" s="166">
        <f>+A181+1</f>
        <v>39</v>
      </c>
      <c r="B189" s="179" t="s">
        <v>328</v>
      </c>
      <c r="C189" s="2" t="s">
        <v>84</v>
      </c>
      <c r="D189" s="193"/>
      <c r="E189" s="193"/>
      <c r="F189" s="189"/>
      <c r="H189" s="189"/>
      <c r="L189" s="291"/>
      <c r="M189" s="291"/>
      <c r="N189" s="291"/>
      <c r="O189" s="291"/>
      <c r="P189" s="291"/>
      <c r="Q189" s="291"/>
      <c r="R189" s="291"/>
      <c r="S189" s="291"/>
      <c r="T189" s="291"/>
      <c r="U189" s="291"/>
      <c r="V189" s="291"/>
    </row>
    <row r="190" spans="1:22" ht="18.600000000000001" customHeight="1" x14ac:dyDescent="0.2">
      <c r="B190" s="174" t="s">
        <v>336</v>
      </c>
      <c r="C190" s="159"/>
      <c r="D190" s="185">
        <f>-T4B!G297</f>
        <v>0</v>
      </c>
      <c r="E190" s="185">
        <f t="shared" ref="E190" si="2">+D190</f>
        <v>0</v>
      </c>
      <c r="F190" s="191" t="s">
        <v>4</v>
      </c>
      <c r="H190" s="191"/>
    </row>
    <row r="191" spans="1:22" ht="13.5" customHeight="1" x14ac:dyDescent="0.2">
      <c r="B191" s="166"/>
      <c r="C191" s="166"/>
      <c r="E191" s="166"/>
      <c r="F191" s="166"/>
      <c r="H191" s="166"/>
    </row>
    <row r="192" spans="1:22" ht="40.5" customHeight="1" x14ac:dyDescent="0.2">
      <c r="A192" s="166">
        <f>+A189+1</f>
        <v>40</v>
      </c>
      <c r="B192" s="552" t="s">
        <v>118</v>
      </c>
      <c r="C192" s="797"/>
      <c r="D192" s="193"/>
      <c r="E192" s="193"/>
      <c r="F192" s="189"/>
      <c r="H192" s="189"/>
    </row>
    <row r="193" spans="1:8" ht="20.45" customHeight="1" x14ac:dyDescent="0.2">
      <c r="B193" s="599" t="s">
        <v>177</v>
      </c>
      <c r="C193" s="547"/>
      <c r="D193" s="192">
        <v>0</v>
      </c>
      <c r="E193" s="192">
        <v>0</v>
      </c>
      <c r="F193" s="189" t="s">
        <v>4</v>
      </c>
      <c r="H193" s="189" t="s">
        <v>35</v>
      </c>
    </row>
    <row r="194" spans="1:8" ht="20.45" customHeight="1" x14ac:dyDescent="0.2">
      <c r="B194" s="599" t="s">
        <v>178</v>
      </c>
      <c r="C194" s="547"/>
      <c r="D194" s="192">
        <v>0</v>
      </c>
      <c r="E194" s="192">
        <v>0</v>
      </c>
      <c r="F194" s="189" t="s">
        <v>4</v>
      </c>
      <c r="H194" s="189" t="s">
        <v>35</v>
      </c>
    </row>
    <row r="195" spans="1:8" ht="20.45" customHeight="1" x14ac:dyDescent="0.2">
      <c r="B195" s="599" t="s">
        <v>179</v>
      </c>
      <c r="C195" s="547"/>
      <c r="D195" s="192">
        <v>0</v>
      </c>
      <c r="E195" s="192">
        <v>0</v>
      </c>
      <c r="F195" s="189" t="s">
        <v>4</v>
      </c>
      <c r="H195" s="189" t="s">
        <v>35</v>
      </c>
    </row>
    <row r="196" spans="1:8" ht="20.45" customHeight="1" x14ac:dyDescent="0.2">
      <c r="B196" s="599" t="s">
        <v>180</v>
      </c>
      <c r="C196" s="547"/>
      <c r="D196" s="192">
        <v>0</v>
      </c>
      <c r="E196" s="192">
        <v>0</v>
      </c>
      <c r="F196" s="189" t="s">
        <v>4</v>
      </c>
      <c r="H196" s="189" t="s">
        <v>35</v>
      </c>
    </row>
    <row r="197" spans="1:8" ht="20.45" customHeight="1" x14ac:dyDescent="0.2">
      <c r="B197" s="599" t="s">
        <v>181</v>
      </c>
      <c r="C197" s="547"/>
      <c r="D197" s="192">
        <v>0</v>
      </c>
      <c r="E197" s="192">
        <v>0</v>
      </c>
      <c r="F197" s="189" t="s">
        <v>4</v>
      </c>
      <c r="H197" s="189" t="s">
        <v>35</v>
      </c>
    </row>
    <row r="198" spans="1:8" ht="20.45" customHeight="1" x14ac:dyDescent="0.2">
      <c r="B198" s="599" t="s">
        <v>182</v>
      </c>
      <c r="C198" s="547"/>
      <c r="D198" s="192">
        <v>0</v>
      </c>
      <c r="E198" s="192">
        <v>0</v>
      </c>
      <c r="F198" s="189" t="s">
        <v>4</v>
      </c>
      <c r="H198" s="189" t="s">
        <v>35</v>
      </c>
    </row>
    <row r="199" spans="1:8" ht="25.5" customHeight="1" x14ac:dyDescent="0.2">
      <c r="B199" s="599" t="s">
        <v>183</v>
      </c>
      <c r="C199" s="547"/>
      <c r="D199" s="192">
        <v>0</v>
      </c>
      <c r="E199" s="192">
        <v>0</v>
      </c>
      <c r="F199" s="189" t="s">
        <v>4</v>
      </c>
      <c r="H199" s="189" t="s">
        <v>35</v>
      </c>
    </row>
    <row r="200" spans="1:8" ht="20.45" customHeight="1" x14ac:dyDescent="0.2">
      <c r="B200" s="599" t="s">
        <v>184</v>
      </c>
      <c r="C200" s="547"/>
      <c r="D200" s="192">
        <v>0</v>
      </c>
      <c r="E200" s="192">
        <v>0</v>
      </c>
      <c r="F200" s="189" t="s">
        <v>4</v>
      </c>
      <c r="H200" s="189" t="s">
        <v>35</v>
      </c>
    </row>
    <row r="201" spans="1:8" ht="20.45" customHeight="1" x14ac:dyDescent="0.2">
      <c r="B201" s="599" t="s">
        <v>185</v>
      </c>
      <c r="C201" s="547"/>
      <c r="D201" s="192">
        <v>0</v>
      </c>
      <c r="E201" s="192">
        <v>0</v>
      </c>
      <c r="F201" s="189" t="s">
        <v>4</v>
      </c>
      <c r="H201" s="189" t="s">
        <v>35</v>
      </c>
    </row>
    <row r="202" spans="1:8" ht="20.45" customHeight="1" x14ac:dyDescent="0.2">
      <c r="B202" s="547"/>
      <c r="C202" s="547"/>
      <c r="D202" s="192"/>
      <c r="E202" s="192"/>
      <c r="F202" s="189"/>
      <c r="H202" s="189"/>
    </row>
    <row r="203" spans="1:8" ht="20.45" customHeight="1" x14ac:dyDescent="0.2">
      <c r="B203" s="547"/>
      <c r="C203" s="547"/>
      <c r="D203" s="192"/>
      <c r="E203" s="192"/>
      <c r="F203" s="189"/>
      <c r="H203" s="189"/>
    </row>
    <row r="204" spans="1:8" ht="48" customHeight="1" x14ac:dyDescent="0.2">
      <c r="A204" s="166">
        <f>+A192+1</f>
        <v>41</v>
      </c>
      <c r="B204" s="179" t="s">
        <v>119</v>
      </c>
      <c r="C204" s="797"/>
      <c r="D204" s="193"/>
      <c r="E204" s="193"/>
      <c r="F204" s="189"/>
      <c r="H204" s="189"/>
    </row>
    <row r="205" spans="1:8" ht="29.1" customHeight="1" x14ac:dyDescent="0.2">
      <c r="B205" s="599" t="s">
        <v>432</v>
      </c>
      <c r="C205" s="547"/>
      <c r="D205" s="192">
        <v>0</v>
      </c>
      <c r="E205" s="192">
        <v>0</v>
      </c>
      <c r="F205" s="189" t="s">
        <v>4</v>
      </c>
      <c r="H205" s="189" t="s">
        <v>35</v>
      </c>
    </row>
    <row r="206" spans="1:8" ht="29.1" customHeight="1" x14ac:dyDescent="0.2">
      <c r="B206" s="935" t="s">
        <v>436</v>
      </c>
      <c r="C206" s="547"/>
      <c r="D206" s="192">
        <v>0</v>
      </c>
      <c r="E206" s="192">
        <v>0</v>
      </c>
      <c r="F206" s="189" t="s">
        <v>4</v>
      </c>
      <c r="H206" s="189" t="s">
        <v>35</v>
      </c>
    </row>
    <row r="207" spans="1:8" ht="29.1" customHeight="1" x14ac:dyDescent="0.2">
      <c r="B207" s="935" t="s">
        <v>437</v>
      </c>
      <c r="C207" s="547"/>
      <c r="D207" s="192">
        <v>0</v>
      </c>
      <c r="E207" s="192">
        <v>0</v>
      </c>
      <c r="F207" s="189" t="s">
        <v>4</v>
      </c>
      <c r="H207" s="189" t="s">
        <v>35</v>
      </c>
    </row>
    <row r="208" spans="1:8" ht="42" customHeight="1" x14ac:dyDescent="0.2">
      <c r="A208" s="166">
        <f>+A204+1</f>
        <v>42</v>
      </c>
      <c r="B208" s="179" t="s">
        <v>120</v>
      </c>
      <c r="C208" s="797"/>
      <c r="D208" s="193"/>
      <c r="E208" s="664"/>
      <c r="F208" s="189"/>
      <c r="H208" s="189"/>
    </row>
    <row r="209" spans="2:8" ht="29.1" customHeight="1" x14ac:dyDescent="0.2">
      <c r="B209" s="599" t="s">
        <v>432</v>
      </c>
      <c r="C209" s="547"/>
      <c r="D209" s="192">
        <v>0</v>
      </c>
      <c r="E209" s="798"/>
      <c r="F209" s="189" t="s">
        <v>8</v>
      </c>
      <c r="H209" s="189" t="s">
        <v>35</v>
      </c>
    </row>
    <row r="210" spans="2:8" ht="29.1" customHeight="1" x14ac:dyDescent="0.2">
      <c r="B210" s="935" t="s">
        <v>436</v>
      </c>
      <c r="C210" s="547"/>
      <c r="D210" s="192">
        <v>0</v>
      </c>
      <c r="E210" s="798"/>
      <c r="F210" s="189" t="s">
        <v>8</v>
      </c>
      <c r="H210" s="189" t="s">
        <v>35</v>
      </c>
    </row>
    <row r="211" spans="2:8" ht="29.1" customHeight="1" x14ac:dyDescent="0.2">
      <c r="B211" s="935" t="s">
        <v>437</v>
      </c>
      <c r="C211" s="547"/>
      <c r="D211" s="192">
        <v>0</v>
      </c>
      <c r="E211" s="798"/>
      <c r="F211" s="189" t="s">
        <v>8</v>
      </c>
      <c r="H211" s="189" t="s">
        <v>35</v>
      </c>
    </row>
    <row r="214" spans="2:8" x14ac:dyDescent="0.2">
      <c r="B214" s="122"/>
      <c r="C214" s="564"/>
      <c r="D214" s="572"/>
      <c r="E214" s="572"/>
      <c r="F214" s="215"/>
      <c r="H214" s="215"/>
    </row>
    <row r="215" spans="2:8" x14ac:dyDescent="0.2">
      <c r="B215" s="122"/>
      <c r="C215" s="564"/>
      <c r="D215" s="573" t="s">
        <v>0</v>
      </c>
      <c r="E215" s="573" t="s">
        <v>1</v>
      </c>
      <c r="F215" s="215"/>
      <c r="H215" s="215"/>
    </row>
    <row r="216" spans="2:8" x14ac:dyDescent="0.2">
      <c r="B216" s="574"/>
      <c r="C216" s="575"/>
      <c r="D216" s="576">
        <f>D12</f>
        <v>2022</v>
      </c>
      <c r="E216" s="576">
        <f t="shared" ref="E216:E218" si="3">E12</f>
        <v>2022</v>
      </c>
      <c r="F216" s="577"/>
      <c r="G216" s="212"/>
      <c r="H216" s="577"/>
    </row>
    <row r="217" spans="2:8" x14ac:dyDescent="0.2">
      <c r="B217" s="578"/>
      <c r="C217" s="579"/>
      <c r="D217" s="580" t="str">
        <f>D13</f>
        <v>NAAM DNB</v>
      </c>
      <c r="E217" s="580" t="str">
        <f t="shared" si="3"/>
        <v>NAAM DNB</v>
      </c>
      <c r="F217" s="577"/>
      <c r="G217" s="215"/>
      <c r="H217" s="577"/>
    </row>
    <row r="218" spans="2:8" x14ac:dyDescent="0.2">
      <c r="B218" s="581"/>
      <c r="C218" s="541"/>
      <c r="D218" s="582" t="str">
        <f>D14</f>
        <v>gas</v>
      </c>
      <c r="E218" s="582" t="str">
        <f t="shared" si="3"/>
        <v>gas</v>
      </c>
      <c r="F218" s="577"/>
      <c r="G218" s="212"/>
      <c r="H218" s="577"/>
    </row>
    <row r="219" spans="2:8" ht="25.5" x14ac:dyDescent="0.2">
      <c r="B219" s="583" t="s">
        <v>341</v>
      </c>
      <c r="C219" s="575"/>
      <c r="D219" s="584">
        <f>+SUM(D24,D27,D30,D33,D36,D38,D46,D51,D61,D65,D71,D77,D83)-D49</f>
        <v>0</v>
      </c>
      <c r="E219" s="584">
        <f>+SUM(E24,E27,E30,E33,E36,E38,E46,E51,E61,E65,E71,E77,E83)</f>
        <v>0</v>
      </c>
      <c r="F219" s="577"/>
      <c r="G219" s="212"/>
      <c r="H219" s="577"/>
    </row>
    <row r="220" spans="2:8" ht="21.95" customHeight="1" x14ac:dyDescent="0.2">
      <c r="B220" s="583" t="s">
        <v>338</v>
      </c>
      <c r="C220" s="575"/>
      <c r="D220" s="584">
        <f>+IF(D14="elektriciteit",0,IF(D14="gas",SUM(D92,D95,D98),"FOUT"))</f>
        <v>0</v>
      </c>
      <c r="E220" s="584">
        <f>+IF(E14="elektriciteit",0,IF(E14="gas",SUM(E92,E95,E98),"FOUT"))</f>
        <v>0</v>
      </c>
      <c r="F220" s="577"/>
      <c r="G220" s="212"/>
      <c r="H220" s="577"/>
    </row>
    <row r="221" spans="2:8" ht="21.95" customHeight="1" x14ac:dyDescent="0.2">
      <c r="B221" s="583" t="s">
        <v>323</v>
      </c>
      <c r="C221" s="575"/>
      <c r="D221" s="584">
        <f>+IF(D14="elektriciteit",SUM(D104,D107)-D110,IF(D14="gas",0,"FOUT"))</f>
        <v>0</v>
      </c>
      <c r="E221" s="584">
        <f>+IF(E14="elektriciteit",SUM(E104,E107),IF(E14="gas",0,"FOUT"))</f>
        <v>0</v>
      </c>
      <c r="F221" s="577"/>
      <c r="G221" s="212"/>
      <c r="H221" s="577"/>
    </row>
    <row r="222" spans="2:8" ht="21.95" customHeight="1" x14ac:dyDescent="0.2">
      <c r="B222" s="583" t="s">
        <v>324</v>
      </c>
      <c r="C222" s="575"/>
      <c r="D222" s="781"/>
      <c r="E222" s="781"/>
      <c r="F222" s="577"/>
      <c r="G222" s="212"/>
      <c r="H222" s="577"/>
    </row>
    <row r="223" spans="2:8" ht="21.95" customHeight="1" x14ac:dyDescent="0.2">
      <c r="B223" s="585" t="s">
        <v>325</v>
      </c>
      <c r="C223" s="546"/>
      <c r="D223" s="1000">
        <f>+SUM(D119,D122,D125,D127,D137,D138,D147,D149,D152,D153,D160,D161,D163,D165)-SUM(D131,D140,D143,D156,D157,D167)</f>
        <v>0</v>
      </c>
      <c r="E223" s="1000">
        <f>+SUM(E119,E122,E125,E127,E137,E138,E147,E149,E152,E153,E160,E161,E163,E165)-SUM(E131,E140,E143,E156,E157,E167)</f>
        <v>0</v>
      </c>
      <c r="F223" s="978" t="s">
        <v>468</v>
      </c>
      <c r="H223" s="572"/>
    </row>
    <row r="224" spans="2:8" ht="21.95" customHeight="1" x14ac:dyDescent="0.2">
      <c r="B224" s="586" t="s">
        <v>326</v>
      </c>
      <c r="C224" s="587"/>
      <c r="D224" s="584">
        <f>+SUM(D173,D176,D179,D181)</f>
        <v>0</v>
      </c>
      <c r="E224" s="584">
        <f>+SUM(E173,E176,E179,E181)</f>
        <v>0</v>
      </c>
      <c r="F224" s="572"/>
      <c r="H224" s="572"/>
    </row>
    <row r="225" spans="2:8" ht="21.95" customHeight="1" x14ac:dyDescent="0.2">
      <c r="B225" s="585" t="s">
        <v>327</v>
      </c>
      <c r="C225" s="546"/>
      <c r="D225" s="584">
        <f>+SUM(D190,D193,D194:D203,D205,D206,D207)-D209-D210-D211</f>
        <v>0</v>
      </c>
      <c r="E225" s="584">
        <f>+SUM(E190,E193,E194:E203,E205,E206,E207)</f>
        <v>0</v>
      </c>
      <c r="F225" s="572"/>
      <c r="H225" s="572"/>
    </row>
    <row r="226" spans="2:8" ht="14.45" customHeight="1" x14ac:dyDescent="0.2">
      <c r="B226" s="585"/>
      <c r="C226" s="546"/>
      <c r="D226" s="588"/>
      <c r="E226" s="589"/>
      <c r="F226" s="572"/>
      <c r="G226" s="212"/>
      <c r="H226" s="572"/>
    </row>
    <row r="227" spans="2:8" ht="33.6" customHeight="1" x14ac:dyDescent="0.2">
      <c r="B227" s="182" t="s">
        <v>115</v>
      </c>
      <c r="C227" s="546"/>
      <c r="D227" s="183">
        <f>+SUM(D219:D225)</f>
        <v>0</v>
      </c>
      <c r="E227" s="183">
        <f>+SUM(E219:E225)</f>
        <v>0</v>
      </c>
      <c r="F227" s="590"/>
      <c r="G227" s="212"/>
      <c r="H227" s="590"/>
    </row>
    <row r="228" spans="2:8" x14ac:dyDescent="0.2">
      <c r="E228" s="591"/>
    </row>
    <row r="230" spans="2:8" ht="27" customHeight="1" x14ac:dyDescent="0.2">
      <c r="B230" s="196" t="s">
        <v>196</v>
      </c>
      <c r="C230" s="199" t="s">
        <v>246</v>
      </c>
      <c r="D230" s="197"/>
      <c r="E230" s="198">
        <f>SUM(E231:E237)</f>
        <v>0</v>
      </c>
      <c r="F230" s="519"/>
      <c r="G230" s="206"/>
      <c r="H230" s="166"/>
    </row>
    <row r="231" spans="2:8" ht="21.95" customHeight="1" x14ac:dyDescent="0.2">
      <c r="B231" s="187" t="s">
        <v>340</v>
      </c>
      <c r="C231" s="199"/>
      <c r="D231" s="197"/>
      <c r="E231" s="570">
        <f>IF($E$218="elektriciteit",SUM(T5C!P17,T5D!O20),IF($E$218="gas",T5E!Q21,"FALSE"))</f>
        <v>0</v>
      </c>
      <c r="F231" s="519"/>
      <c r="G231" s="206"/>
      <c r="H231" s="166"/>
    </row>
    <row r="232" spans="2:8" ht="21.95" customHeight="1" x14ac:dyDescent="0.2">
      <c r="B232" s="187" t="s">
        <v>339</v>
      </c>
      <c r="C232" s="199"/>
      <c r="D232" s="197"/>
      <c r="E232" s="570">
        <f>IF($E$218="elektriciteit",0,IF($E$218="gas",SUM(T5E!Q24,T5F!J21),"FALSE"))</f>
        <v>0</v>
      </c>
      <c r="F232" s="519"/>
      <c r="G232" s="206"/>
      <c r="H232" s="166"/>
    </row>
    <row r="233" spans="2:8" ht="21.95" customHeight="1" x14ac:dyDescent="0.2">
      <c r="B233" s="187" t="s">
        <v>332</v>
      </c>
      <c r="C233" s="199"/>
      <c r="D233" s="197"/>
      <c r="E233" s="570">
        <f>IF($E$218="elektriciteit",T5C!P20,IF($E$218="gas",0,"FALSE"))</f>
        <v>0</v>
      </c>
      <c r="F233" s="519"/>
      <c r="G233" s="206"/>
      <c r="H233" s="166"/>
    </row>
    <row r="234" spans="2:8" ht="21.95" customHeight="1" x14ac:dyDescent="0.2">
      <c r="B234" s="187" t="s">
        <v>333</v>
      </c>
      <c r="C234" s="199"/>
      <c r="D234" s="197"/>
      <c r="E234" s="570">
        <f>IF($E$218="elektriciteit",SUM(T5C!P23,T5D!O23),IF($E$218="gas",SUM(T5E!Q27,T5F!J24),"FALSE"))</f>
        <v>0</v>
      </c>
      <c r="F234" s="519"/>
      <c r="G234" s="206"/>
      <c r="H234" s="166"/>
    </row>
    <row r="235" spans="2:8" ht="21.95" customHeight="1" x14ac:dyDescent="0.2">
      <c r="B235" s="187" t="s">
        <v>334</v>
      </c>
      <c r="C235" s="199"/>
      <c r="D235" s="197"/>
      <c r="E235" s="570">
        <f>IF($E$218="elektriciteit",T5C!P26,IF($E$218="gas",T5E!Q30,"FALSE"))</f>
        <v>0</v>
      </c>
      <c r="F235" s="519"/>
      <c r="G235" s="206"/>
      <c r="H235" s="166"/>
    </row>
    <row r="236" spans="2:8" ht="21.95" customHeight="1" x14ac:dyDescent="0.2">
      <c r="B236" s="187" t="s">
        <v>335</v>
      </c>
      <c r="C236" s="199"/>
      <c r="D236" s="197"/>
      <c r="E236" s="570">
        <f>IF($E$218="elektriciteit",T5C!P29,IF($E$218="gas",T5E!Q33,"FALSE"))</f>
        <v>0</v>
      </c>
      <c r="F236" s="519"/>
      <c r="G236" s="206"/>
      <c r="H236" s="166"/>
    </row>
    <row r="237" spans="2:8" ht="21.95" customHeight="1" x14ac:dyDescent="0.2">
      <c r="B237" s="187" t="s">
        <v>336</v>
      </c>
      <c r="C237" s="199"/>
      <c r="D237" s="197"/>
      <c r="E237" s="570">
        <f>IF($E$218="elektriciteit",T5C!P32,IF($E$218="gas",0,"FALSE"))</f>
        <v>0</v>
      </c>
      <c r="F237" s="519"/>
      <c r="G237" s="206"/>
      <c r="H237" s="166"/>
    </row>
    <row r="238" spans="2:8" x14ac:dyDescent="0.2">
      <c r="B238" s="592"/>
      <c r="D238" s="593"/>
      <c r="E238" s="594"/>
      <c r="F238" s="519"/>
      <c r="G238" s="206"/>
      <c r="H238" s="166"/>
    </row>
    <row r="239" spans="2:8" ht="24" customHeight="1" x14ac:dyDescent="0.2">
      <c r="B239" s="786" t="str">
        <f>"Regulatoir saldo inzake exogene kosten voor boekjaar "&amp;D216</f>
        <v>Regulatoir saldo inzake exogene kosten voor boekjaar 2022</v>
      </c>
      <c r="C239" s="199"/>
      <c r="D239" s="197"/>
      <c r="E239" s="184">
        <f>SUM(E240:E246)</f>
        <v>0</v>
      </c>
      <c r="F239" s="519"/>
      <c r="G239" s="206"/>
      <c r="H239" s="166"/>
    </row>
    <row r="240" spans="2:8" ht="22.5" customHeight="1" x14ac:dyDescent="0.2">
      <c r="B240" s="187" t="s">
        <v>340</v>
      </c>
      <c r="C240" s="199"/>
      <c r="D240" s="197"/>
      <c r="E240" s="595">
        <f>((E219+E221+E222)-(D219+D221+D222))+((D219+D221+D222)-(E231+E233+E234))</f>
        <v>0</v>
      </c>
      <c r="F240" s="519"/>
      <c r="G240" s="206"/>
      <c r="H240" s="166"/>
    </row>
    <row r="241" spans="2:8" ht="22.5" customHeight="1" x14ac:dyDescent="0.2">
      <c r="B241" s="187" t="s">
        <v>339</v>
      </c>
      <c r="C241" s="199"/>
      <c r="D241" s="197"/>
      <c r="E241" s="595">
        <f>(E220-D220)+(D220-E232)</f>
        <v>0</v>
      </c>
      <c r="F241" s="519"/>
      <c r="G241" s="206"/>
      <c r="H241" s="166"/>
    </row>
    <row r="242" spans="2:8" ht="22.5" customHeight="1" x14ac:dyDescent="0.2">
      <c r="B242" s="778" t="s">
        <v>332</v>
      </c>
      <c r="C242" s="779"/>
      <c r="D242" s="197"/>
      <c r="E242" s="780"/>
      <c r="F242" s="519"/>
      <c r="G242" s="206"/>
      <c r="H242" s="166"/>
    </row>
    <row r="243" spans="2:8" ht="22.5" customHeight="1" x14ac:dyDescent="0.2">
      <c r="B243" s="778" t="s">
        <v>333</v>
      </c>
      <c r="C243" s="779"/>
      <c r="D243" s="197"/>
      <c r="E243" s="780"/>
      <c r="F243" s="519"/>
      <c r="G243" s="206"/>
      <c r="H243" s="166"/>
    </row>
    <row r="244" spans="2:8" ht="22.5" customHeight="1" x14ac:dyDescent="0.2">
      <c r="B244" s="187" t="s">
        <v>334</v>
      </c>
      <c r="C244" s="199"/>
      <c r="D244" s="197"/>
      <c r="E244" s="595">
        <f>(E223-D223)+(D223-E235)</f>
        <v>0</v>
      </c>
      <c r="F244" s="519"/>
      <c r="G244" s="206"/>
      <c r="H244" s="166"/>
    </row>
    <row r="245" spans="2:8" ht="22.5" customHeight="1" x14ac:dyDescent="0.2">
      <c r="B245" s="187" t="s">
        <v>335</v>
      </c>
      <c r="C245" s="199"/>
      <c r="D245" s="197"/>
      <c r="E245" s="595">
        <f>(E224-D224)+(D224-E236)</f>
        <v>0</v>
      </c>
      <c r="F245" s="519"/>
      <c r="G245" s="206"/>
      <c r="H245" s="166"/>
    </row>
    <row r="246" spans="2:8" ht="22.5" customHeight="1" x14ac:dyDescent="0.2">
      <c r="B246" s="187" t="s">
        <v>336</v>
      </c>
      <c r="C246" s="199"/>
      <c r="D246" s="197"/>
      <c r="E246" s="595">
        <f>(E225-D225)+(D225-E237)</f>
        <v>0</v>
      </c>
      <c r="F246" s="519"/>
      <c r="G246" s="206"/>
      <c r="H246" s="166"/>
    </row>
    <row r="247" spans="2:8" x14ac:dyDescent="0.2">
      <c r="B247" s="592"/>
      <c r="D247" s="206"/>
      <c r="E247" s="233" t="s">
        <v>38</v>
      </c>
      <c r="F247" s="519"/>
      <c r="G247" s="206"/>
      <c r="H247" s="166"/>
    </row>
    <row r="248" spans="2:8" x14ac:dyDescent="0.2">
      <c r="B248" s="596"/>
      <c r="D248" s="206"/>
      <c r="E248" s="235" t="s">
        <v>39</v>
      </c>
      <c r="F248" s="519"/>
      <c r="G248" s="206"/>
      <c r="H248" s="166"/>
    </row>
  </sheetData>
  <sheetProtection algorithmName="SHA-512" hashValue="+Ch4RV2SsuN4GScLJS5EeIWapeBqYcfgAn3v8h6i2Sk1/ZZXySsx7PUQUP7JoZs7z2uw3WYxqWHgbcCGI475qw==" saltValue="wKuNxs5gghGn8Eapc+wbPA==" spinCount="100000" sheet="1" objects="1" scenarios="1"/>
  <customSheetViews>
    <customSheetView guid="{C8C7977F-B6BF-432B-A1A7-559450D521AF}" scale="85" topLeftCell="A67">
      <selection activeCell="B79" sqref="B79"/>
      <pageMargins left="0.75" right="0.75" top="1" bottom="1" header="0.5" footer="0.5"/>
      <pageSetup paperSize="9" orientation="portrait" r:id="rId1"/>
      <headerFooter alignWithMargins="0"/>
    </customSheetView>
  </customSheetViews>
  <mergeCells count="7">
    <mergeCell ref="A1:H1"/>
    <mergeCell ref="B16:B18"/>
    <mergeCell ref="C16:C18"/>
    <mergeCell ref="D16:D18"/>
    <mergeCell ref="F16:F18"/>
    <mergeCell ref="H16:H18"/>
    <mergeCell ref="E16:E18"/>
  </mergeCells>
  <conditionalFormatting sqref="E10:E18 E23:E24 E26:E27 E29:E30 E32:E33 E35:E36 E38:E43 E45:E46 E48:E49 E51:E59 E61:E63 E65:E69 E71:E75 E77:E81 E83:E87 E91:E92 E94:E95 E97:E98 E103:E104 E106:E107 E109:E110 E118:E119 E121:E122 E124:E125 E127:E134 E136:E138 E140:E145 E147 E149 E151:E153 E155:E157 E159:E161 E163 E172:E173 E175:E176 E178:E179 E181:E184 E189:E190 E192:E205 E215:E227 E230:E237 E239:E246 E247:I248 E208:E209">
    <cfRule type="expression" dxfId="68" priority="22">
      <formula>$S$1="ex-ante"</formula>
    </cfRule>
  </conditionalFormatting>
  <conditionalFormatting sqref="B89:H89 B91:H92 A91 A94:H94 B95:H95 A97 B97:H98 B220:E220 B232:E232 B241:E241">
    <cfRule type="expression" dxfId="67" priority="21">
      <formula>$D$14="elektriciteit"</formula>
    </cfRule>
  </conditionalFormatting>
  <conditionalFormatting sqref="A92">
    <cfRule type="expression" dxfId="66" priority="20">
      <formula>$D$14="elektriciteit"</formula>
    </cfRule>
  </conditionalFormatting>
  <conditionalFormatting sqref="A95">
    <cfRule type="expression" dxfId="65" priority="19">
      <formula>$D$14="elektriciteit"</formula>
    </cfRule>
  </conditionalFormatting>
  <conditionalFormatting sqref="A98">
    <cfRule type="expression" dxfId="64" priority="18">
      <formula>$D$14="elektriciteit"</formula>
    </cfRule>
  </conditionalFormatting>
  <conditionalFormatting sqref="A45:H46 A48:H49 A51:H59 B101:H101 A103:H104 A106:H107 A109:H110 A127:H134 A136:H138 A140:H145 A147:H147 A149:H149 A151:H153 A155:H157 A159:H161 A163:H163 B187:H187 A189:H190 A192:H205 B221:E221 B225:E225 B233:E233 B237:E237 B242:E242 B246:E246 A38:H43 A208:H209">
    <cfRule type="expression" dxfId="63" priority="17">
      <formula>$D$14="gas"</formula>
    </cfRule>
  </conditionalFormatting>
  <conditionalFormatting sqref="E206">
    <cfRule type="expression" dxfId="62" priority="16">
      <formula>$S$1="ex-ante"</formula>
    </cfRule>
  </conditionalFormatting>
  <conditionalFormatting sqref="A206:H206">
    <cfRule type="expression" dxfId="61" priority="15">
      <formula>$D$14="gas"</formula>
    </cfRule>
  </conditionalFormatting>
  <conditionalFormatting sqref="A210:D210 F210:H210">
    <cfRule type="expression" dxfId="60" priority="13">
      <formula>$D$14="gas"</formula>
    </cfRule>
  </conditionalFormatting>
  <conditionalFormatting sqref="E210">
    <cfRule type="expression" dxfId="59" priority="12">
      <formula>$S$1="ex-ante"</formula>
    </cfRule>
  </conditionalFormatting>
  <conditionalFormatting sqref="E210">
    <cfRule type="expression" dxfId="58" priority="11">
      <formula>$D$14="gas"</formula>
    </cfRule>
  </conditionalFormatting>
  <conditionalFormatting sqref="E207">
    <cfRule type="expression" dxfId="57" priority="10">
      <formula>$S$1="ex-ante"</formula>
    </cfRule>
  </conditionalFormatting>
  <conditionalFormatting sqref="A207:H207">
    <cfRule type="expression" dxfId="56" priority="9">
      <formula>$D$14="gas"</formula>
    </cfRule>
  </conditionalFormatting>
  <conditionalFormatting sqref="A211:D211 F211:H211">
    <cfRule type="expression" dxfId="55" priority="8">
      <formula>$D$14="gas"</formula>
    </cfRule>
  </conditionalFormatting>
  <conditionalFormatting sqref="E211">
    <cfRule type="expression" dxfId="54" priority="7">
      <formula>$S$1="ex-ante"</formula>
    </cfRule>
  </conditionalFormatting>
  <conditionalFormatting sqref="E211">
    <cfRule type="expression" dxfId="53" priority="6">
      <formula>$D$14="gas"</formula>
    </cfRule>
  </conditionalFormatting>
  <conditionalFormatting sqref="E165">
    <cfRule type="expression" dxfId="52" priority="5">
      <formula>$S$1="ex-ante"</formula>
    </cfRule>
  </conditionalFormatting>
  <conditionalFormatting sqref="E167">
    <cfRule type="expression" dxfId="51" priority="2">
      <formula>$S$1="ex-ante"</formula>
    </cfRule>
  </conditionalFormatting>
  <hyperlinks>
    <hyperlink ref="C23" location="T4B!A1" display="TABEL 4B" xr:uid="{00000000-0004-0000-0300-000000000000}"/>
    <hyperlink ref="C26" location="T5B!A1" display="TABEL 5B" xr:uid="{00000000-0004-0000-0300-000002000000}"/>
    <hyperlink ref="C29" location="T6B!A1" display="TABEL 6B" xr:uid="{00000000-0004-0000-0300-000003000000}"/>
    <hyperlink ref="C32" location="'T7'!A1" display="TABEL 7" xr:uid="{00000000-0004-0000-0300-000004000000}"/>
    <hyperlink ref="C35" location="'T8'!A1" display="TABEL 8" xr:uid="{00000000-0004-0000-0300-000005000000}"/>
    <hyperlink ref="C91" location="T4B!A1" display="TABEL 4B" xr:uid="{1D7C733D-482B-4523-8715-7860D04499AC}"/>
    <hyperlink ref="C94" location="T5B!A1" display="TABEL 5B" xr:uid="{84115FE1-9AEF-4727-8CE5-562166AC4050}"/>
    <hyperlink ref="C97" location="T6B!A1" display="TABEL 6B" xr:uid="{C9775CF4-524F-47CF-89B7-CB4BC0DAC6F7}"/>
    <hyperlink ref="C118" location="T4B!A1" display="TABEL 4B" xr:uid="{7A533D66-01EF-41A0-B3E9-0A417A19A703}"/>
    <hyperlink ref="C121" location="T5B!A1" display="TABEL 5B" xr:uid="{5E5022EE-18DD-42F5-AD76-7C842D007791}"/>
    <hyperlink ref="C124" location="T6B!A1" display="TABEL 6B" xr:uid="{E1622250-6BDA-41B1-BFAB-B2DF69A769A9}"/>
    <hyperlink ref="C172" location="T4B!A1" display="TABEL 4B" xr:uid="{CA48E292-79E4-4A46-BA92-C4CBA1BD72C2}"/>
    <hyperlink ref="C175" location="T5B!A1" display="TABEL 5B" xr:uid="{F35B2DF9-8BB0-401B-A69C-30BDA3041930}"/>
    <hyperlink ref="C178" location="T6B!A1" display="TABEL 6B" xr:uid="{4006E73A-8C06-4DEF-8B1F-FDB210D92E6A}"/>
    <hyperlink ref="C189" location="T4B!A1" display="TABEL 4B" xr:uid="{2199D71D-6538-4C4C-AB4C-A5CF8C10557B}"/>
  </hyperlinks>
  <pageMargins left="0.74803149606299213" right="0.74803149606299213" top="0.98425196850393704" bottom="0.98425196850393704" header="0.51181102362204722" footer="0.51181102362204722"/>
  <pageSetup paperSize="8" scale="47" fitToWidth="3" fitToHeight="3" orientation="portrait" r:id="rId2"/>
  <headerFooter alignWithMargins="0"/>
  <rowBreaks count="2" manualBreakCount="2">
    <brk id="126" max="13" man="1"/>
    <brk id="60" max="13" man="1"/>
  </rowBreaks>
  <extLst>
    <ext xmlns:x14="http://schemas.microsoft.com/office/spreadsheetml/2009/9/main" uri="{78C0D931-6437-407d-A8EE-F0AAD7539E65}">
      <x14:conditionalFormattings>
        <x14:conditionalFormatting xmlns:xm="http://schemas.microsoft.com/office/excel/2006/main">
          <x14:cfRule type="expression" priority="3" id="{62FF97C5-02E5-4C86-827E-0BA917933D45}">
            <xm:f>TITELBLAD!$C$10="elektriciteit"</xm:f>
            <x14:dxf>
              <fill>
                <patternFill patternType="lightUp"/>
              </fill>
            </x14:dxf>
          </x14:cfRule>
          <xm:sqref>A165:H165</xm:sqref>
        </x14:conditionalFormatting>
        <x14:conditionalFormatting xmlns:xm="http://schemas.microsoft.com/office/excel/2006/main">
          <x14:cfRule type="expression" priority="1" id="{6F0B39F9-5AC7-4F5F-B65F-E9AC21BFBB13}">
            <xm:f>TITELBLAD!$C$10="elektriciteit"</xm:f>
            <x14:dxf>
              <fill>
                <patternFill patternType="lightUp"/>
              </fill>
            </x14:dxf>
          </x14:cfRule>
          <xm:sqref>A167:H167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A1:AG69"/>
  <sheetViews>
    <sheetView zoomScale="80" zoomScaleNormal="80" zoomScaleSheetLayoutView="80" workbookViewId="0">
      <selection activeCell="H63" sqref="H63:L67"/>
    </sheetView>
  </sheetViews>
  <sheetFormatPr defaultColWidth="11.42578125" defaultRowHeight="12.75" x14ac:dyDescent="0.2"/>
  <cols>
    <col min="1" max="1" width="19.7109375" style="177" customWidth="1"/>
    <col min="2" max="2" width="14.85546875" style="177" customWidth="1"/>
    <col min="3" max="12" width="20.7109375" style="177" customWidth="1"/>
    <col min="13" max="13" width="2.28515625" style="177" customWidth="1"/>
    <col min="14" max="14" width="20.7109375" style="177" customWidth="1"/>
    <col min="15" max="15" width="2" style="177" customWidth="1"/>
    <col min="16" max="16" width="20.7109375" style="177" customWidth="1"/>
    <col min="17" max="17" width="26.7109375" style="177" bestFit="1" customWidth="1"/>
    <col min="18" max="18" width="14" style="177" customWidth="1"/>
    <col min="19" max="19" width="11.42578125" style="177"/>
    <col min="20" max="20" width="12.28515625" style="177" bestFit="1" customWidth="1"/>
    <col min="21" max="16384" width="11.42578125" style="177"/>
  </cols>
  <sheetData>
    <row r="1" spans="1:33" ht="21" customHeight="1" thickBot="1" x14ac:dyDescent="0.25">
      <c r="A1" s="1074" t="s">
        <v>343</v>
      </c>
      <c r="B1" s="1075"/>
      <c r="C1" s="1075"/>
      <c r="D1" s="1075"/>
      <c r="E1" s="1075"/>
      <c r="F1" s="1075"/>
      <c r="G1" s="1075"/>
      <c r="H1" s="1075"/>
      <c r="I1" s="1075"/>
      <c r="J1" s="1075"/>
      <c r="K1" s="1075"/>
      <c r="L1" s="1075"/>
      <c r="M1" s="1075"/>
      <c r="N1" s="1075"/>
      <c r="O1" s="1075"/>
      <c r="P1" s="1076"/>
      <c r="Q1" s="222"/>
      <c r="R1" s="223"/>
      <c r="S1" s="223"/>
      <c r="T1" s="223"/>
      <c r="U1" s="223"/>
      <c r="V1" s="223"/>
      <c r="W1" s="223"/>
      <c r="X1" s="223"/>
      <c r="Y1" s="223"/>
      <c r="Z1" s="223"/>
      <c r="AA1" s="223"/>
      <c r="AB1" s="223"/>
    </row>
    <row r="2" spans="1:33" x14ac:dyDescent="0.2">
      <c r="A2" s="224"/>
      <c r="B2" s="224"/>
      <c r="C2" s="224"/>
      <c r="D2" s="224"/>
      <c r="E2" s="224"/>
      <c r="F2" s="224"/>
      <c r="G2" s="224"/>
      <c r="H2" s="224"/>
      <c r="I2" s="224"/>
      <c r="J2" s="224"/>
      <c r="K2" s="224"/>
      <c r="L2" s="224"/>
      <c r="M2" s="224"/>
      <c r="N2" s="224"/>
      <c r="O2" s="226"/>
      <c r="P2" s="226"/>
      <c r="Q2" s="226"/>
      <c r="R2" s="223"/>
      <c r="S2" s="223"/>
      <c r="T2" s="223"/>
      <c r="U2" s="223"/>
      <c r="V2" s="223"/>
      <c r="W2" s="223"/>
      <c r="X2" s="223"/>
      <c r="Y2" s="223"/>
      <c r="Z2" s="223"/>
      <c r="AA2" s="223"/>
      <c r="AB2" s="223"/>
    </row>
    <row r="3" spans="1:33" ht="13.5" thickBot="1" x14ac:dyDescent="0.25">
      <c r="A3" s="224"/>
      <c r="B3" s="224"/>
      <c r="C3" s="224"/>
      <c r="D3" s="224"/>
      <c r="E3" s="224"/>
      <c r="F3" s="224"/>
      <c r="G3" s="224"/>
      <c r="H3" s="224"/>
      <c r="I3" s="224"/>
      <c r="J3" s="224"/>
      <c r="K3" s="224"/>
      <c r="L3" s="224"/>
      <c r="M3" s="224"/>
      <c r="N3" s="224"/>
      <c r="O3" s="226"/>
      <c r="P3" s="226"/>
      <c r="Q3" s="226"/>
      <c r="R3" s="223"/>
      <c r="S3" s="223"/>
      <c r="T3" s="223"/>
      <c r="U3" s="223"/>
      <c r="V3" s="223"/>
      <c r="W3" s="223"/>
      <c r="X3" s="223"/>
      <c r="Y3" s="223"/>
      <c r="Z3" s="223"/>
      <c r="AA3" s="223"/>
      <c r="AB3" s="223"/>
    </row>
    <row r="4" spans="1:33" s="178" customFormat="1" ht="21.75" customHeight="1" thickBot="1" x14ac:dyDescent="0.25">
      <c r="A4" s="1077" t="s">
        <v>344</v>
      </c>
      <c r="B4" s="1078"/>
      <c r="C4" s="1078"/>
      <c r="D4" s="1078"/>
      <c r="E4" s="1078"/>
      <c r="F4" s="1078"/>
      <c r="G4" s="1078"/>
      <c r="H4" s="1078"/>
      <c r="I4" s="1078"/>
      <c r="J4" s="1078"/>
      <c r="K4" s="1078"/>
      <c r="L4" s="1078"/>
      <c r="M4" s="1078"/>
      <c r="N4" s="1079"/>
      <c r="O4" s="228"/>
      <c r="P4" s="228"/>
      <c r="Q4" s="229" t="str">
        <f>+TITELBLAD!B16</f>
        <v>Rapportering over boekjaar:</v>
      </c>
      <c r="R4" s="229">
        <f>+TITELBLAD!E16</f>
        <v>2022</v>
      </c>
      <c r="S4" s="229" t="str">
        <f>+TITELBLAD!F16</f>
        <v>ex-ante</v>
      </c>
      <c r="T4" s="223"/>
      <c r="U4" s="223"/>
      <c r="V4" s="223"/>
      <c r="W4" s="223"/>
      <c r="X4" s="223"/>
      <c r="Y4" s="223"/>
      <c r="Z4" s="223"/>
      <c r="AA4" s="223"/>
      <c r="AB4" s="223"/>
      <c r="AC4" s="177"/>
      <c r="AD4" s="177"/>
      <c r="AE4" s="177"/>
      <c r="AF4" s="177"/>
      <c r="AG4" s="177"/>
    </row>
    <row r="5" spans="1:33" ht="13.5" thickBot="1" x14ac:dyDescent="0.25">
      <c r="C5" s="606"/>
      <c r="D5" s="606"/>
      <c r="E5" s="606"/>
      <c r="F5" s="606"/>
      <c r="G5" s="606"/>
      <c r="H5" s="606"/>
      <c r="I5" s="606"/>
      <c r="J5" s="606"/>
      <c r="K5" s="606"/>
      <c r="L5" s="606"/>
      <c r="O5" s="223"/>
      <c r="P5" s="223"/>
      <c r="Q5" s="229"/>
      <c r="R5" s="229"/>
      <c r="S5" s="229"/>
      <c r="T5" s="223"/>
      <c r="U5" s="223"/>
      <c r="V5" s="223"/>
      <c r="W5" s="223"/>
      <c r="X5" s="223"/>
      <c r="Y5" s="223"/>
      <c r="Z5" s="223"/>
      <c r="AA5" s="223"/>
      <c r="AB5" s="223"/>
    </row>
    <row r="6" spans="1:33" ht="17.25" thickBot="1" x14ac:dyDescent="0.25">
      <c r="C6" s="1080" t="str">
        <f>+TITELBLAD!C7</f>
        <v>NAAM DNB</v>
      </c>
      <c r="D6" s="1081"/>
      <c r="E6" s="1081"/>
      <c r="F6" s="1081"/>
      <c r="G6" s="1081"/>
      <c r="H6" s="1081"/>
      <c r="I6" s="1081"/>
      <c r="J6" s="1081"/>
      <c r="K6" s="1081"/>
      <c r="L6" s="1082"/>
      <c r="O6" s="223"/>
      <c r="P6" s="223"/>
      <c r="Q6" s="229"/>
      <c r="R6" s="229"/>
      <c r="S6" s="229"/>
      <c r="T6" s="223"/>
      <c r="U6" s="223"/>
      <c r="V6" s="223"/>
      <c r="W6" s="223"/>
      <c r="X6" s="223"/>
      <c r="Y6" s="223"/>
      <c r="Z6" s="223"/>
      <c r="AA6" s="223"/>
      <c r="AB6" s="223"/>
    </row>
    <row r="7" spans="1:33" ht="17.25" thickBot="1" x14ac:dyDescent="0.25">
      <c r="C7" s="1080" t="str">
        <f>+TITELBLAD!C10</f>
        <v>gas</v>
      </c>
      <c r="D7" s="1081"/>
      <c r="E7" s="1081"/>
      <c r="F7" s="1081"/>
      <c r="G7" s="1081"/>
      <c r="H7" s="1081"/>
      <c r="I7" s="1081"/>
      <c r="J7" s="1081"/>
      <c r="K7" s="1081"/>
      <c r="L7" s="1082"/>
      <c r="O7" s="223"/>
      <c r="P7" s="223"/>
      <c r="Q7" s="223"/>
      <c r="R7" s="223"/>
      <c r="S7" s="223"/>
      <c r="T7" s="223"/>
      <c r="U7" s="223"/>
      <c r="V7" s="223"/>
      <c r="W7" s="223"/>
      <c r="X7" s="223"/>
      <c r="Y7" s="223"/>
      <c r="Z7" s="223"/>
      <c r="AA7" s="223"/>
      <c r="AB7" s="223"/>
    </row>
    <row r="8" spans="1:33" s="178" customFormat="1" ht="17.25" thickBot="1" x14ac:dyDescent="0.25">
      <c r="A8" s="177"/>
      <c r="B8" s="177"/>
      <c r="C8" s="1080" t="s">
        <v>31</v>
      </c>
      <c r="D8" s="1081"/>
      <c r="E8" s="1081"/>
      <c r="F8" s="1081"/>
      <c r="G8" s="1081"/>
      <c r="H8" s="1081"/>
      <c r="I8" s="1081"/>
      <c r="J8" s="1081"/>
      <c r="K8" s="1081"/>
      <c r="L8" s="1082"/>
      <c r="M8" s="177"/>
      <c r="N8" s="177"/>
      <c r="O8" s="223"/>
      <c r="P8" s="223"/>
      <c r="Q8" s="223"/>
      <c r="R8" s="223"/>
      <c r="S8" s="223"/>
      <c r="T8" s="223"/>
      <c r="U8" s="223"/>
      <c r="V8" s="223"/>
      <c r="W8" s="223"/>
      <c r="X8" s="223"/>
      <c r="Y8" s="223"/>
      <c r="Z8" s="223"/>
      <c r="AA8" s="223"/>
      <c r="AB8" s="223"/>
      <c r="AC8" s="177"/>
      <c r="AD8" s="177"/>
      <c r="AE8" s="177"/>
      <c r="AF8" s="177"/>
      <c r="AG8" s="177"/>
    </row>
    <row r="9" spans="1:33" s="178" customFormat="1" ht="13.5" thickBot="1" x14ac:dyDescent="0.25">
      <c r="A9" s="177"/>
      <c r="B9" s="177"/>
      <c r="C9" s="230">
        <v>2015</v>
      </c>
      <c r="D9" s="231">
        <v>2016</v>
      </c>
      <c r="E9" s="231">
        <v>2017</v>
      </c>
      <c r="F9" s="231">
        <v>2018</v>
      </c>
      <c r="G9" s="231">
        <v>2019</v>
      </c>
      <c r="H9" s="231">
        <v>2020</v>
      </c>
      <c r="I9" s="231">
        <v>2021</v>
      </c>
      <c r="J9" s="231">
        <v>2022</v>
      </c>
      <c r="K9" s="231">
        <v>2023</v>
      </c>
      <c r="L9" s="231">
        <v>2024</v>
      </c>
      <c r="M9" s="177"/>
      <c r="N9" s="177"/>
      <c r="O9" s="223"/>
      <c r="P9" s="223"/>
      <c r="Q9" s="223"/>
      <c r="R9" s="223"/>
      <c r="S9" s="223"/>
      <c r="T9" s="223"/>
      <c r="U9" s="223"/>
      <c r="V9" s="223"/>
      <c r="W9" s="223"/>
      <c r="X9" s="223"/>
      <c r="Y9" s="223"/>
      <c r="Z9" s="223"/>
      <c r="AA9" s="223"/>
      <c r="AB9" s="223"/>
      <c r="AC9" s="177"/>
      <c r="AD9" s="177"/>
      <c r="AE9" s="177"/>
      <c r="AF9" s="177"/>
      <c r="AG9" s="177"/>
    </row>
    <row r="10" spans="1:33" s="178" customFormat="1" x14ac:dyDescent="0.2">
      <c r="A10" s="177"/>
      <c r="B10" s="177"/>
      <c r="C10" s="800">
        <v>0</v>
      </c>
      <c r="D10" s="801">
        <v>0</v>
      </c>
      <c r="E10" s="801">
        <v>0</v>
      </c>
      <c r="F10" s="801">
        <v>0</v>
      </c>
      <c r="G10" s="801">
        <v>0</v>
      </c>
      <c r="H10" s="801">
        <v>0</v>
      </c>
      <c r="I10" s="801">
        <v>0</v>
      </c>
      <c r="J10" s="801">
        <v>0</v>
      </c>
      <c r="K10" s="801">
        <v>0</v>
      </c>
      <c r="L10" s="801">
        <v>0</v>
      </c>
      <c r="M10" s="177"/>
      <c r="N10" s="177"/>
      <c r="O10" s="223"/>
      <c r="P10" s="223"/>
      <c r="Q10" s="223"/>
      <c r="R10" s="223"/>
      <c r="S10" s="223"/>
      <c r="T10" s="223"/>
      <c r="U10" s="223"/>
      <c r="V10" s="223"/>
      <c r="W10" s="223"/>
      <c r="X10" s="223"/>
      <c r="Y10" s="223"/>
      <c r="Z10" s="223"/>
      <c r="AA10" s="223"/>
      <c r="AB10" s="223"/>
      <c r="AC10" s="177"/>
      <c r="AD10" s="177"/>
      <c r="AE10" s="177"/>
      <c r="AF10" s="177"/>
      <c r="AG10" s="177"/>
    </row>
    <row r="11" spans="1:33" s="232" customFormat="1" x14ac:dyDescent="0.2">
      <c r="C11" s="233" t="s">
        <v>41</v>
      </c>
      <c r="F11" s="234"/>
      <c r="G11" s="234"/>
      <c r="H11" s="234"/>
      <c r="I11" s="234"/>
      <c r="J11" s="234"/>
      <c r="K11" s="234"/>
      <c r="L11" s="234"/>
      <c r="O11" s="223"/>
      <c r="P11" s="223"/>
      <c r="Q11" s="223"/>
      <c r="R11" s="223"/>
      <c r="S11" s="223"/>
      <c r="T11" s="223"/>
      <c r="U11" s="223"/>
      <c r="V11" s="223"/>
      <c r="W11" s="223"/>
      <c r="X11" s="223"/>
      <c r="Y11" s="223"/>
      <c r="Z11" s="223"/>
      <c r="AA11" s="223"/>
      <c r="AB11" s="223"/>
    </row>
    <row r="12" spans="1:33" s="232" customFormat="1" x14ac:dyDescent="0.2">
      <c r="C12" s="235" t="s">
        <v>133</v>
      </c>
      <c r="O12" s="223"/>
      <c r="P12" s="223"/>
      <c r="Q12" s="223"/>
      <c r="R12" s="223"/>
      <c r="S12" s="223"/>
      <c r="T12" s="223"/>
      <c r="U12" s="223"/>
      <c r="V12" s="223"/>
      <c r="W12" s="223"/>
      <c r="X12" s="223"/>
      <c r="Y12" s="223"/>
      <c r="Z12" s="223"/>
      <c r="AA12" s="223"/>
      <c r="AB12" s="223"/>
    </row>
    <row r="13" spans="1:33" s="232" customFormat="1" x14ac:dyDescent="0.2">
      <c r="C13" s="235"/>
      <c r="O13" s="223"/>
      <c r="P13" s="223"/>
      <c r="Q13" s="223"/>
      <c r="R13" s="223"/>
      <c r="S13" s="223"/>
      <c r="T13" s="223"/>
      <c r="U13" s="223"/>
      <c r="V13" s="223"/>
      <c r="W13" s="223"/>
      <c r="X13" s="223"/>
      <c r="Y13" s="223"/>
      <c r="Z13" s="223"/>
      <c r="AA13" s="223"/>
      <c r="AB13" s="223"/>
    </row>
    <row r="14" spans="1:33" ht="13.5" thickBot="1" x14ac:dyDescent="0.25">
      <c r="C14" s="236"/>
      <c r="O14" s="223"/>
      <c r="P14" s="223"/>
      <c r="Q14" s="223"/>
      <c r="R14" s="223"/>
      <c r="S14" s="223"/>
      <c r="T14" s="223"/>
      <c r="U14" s="223"/>
      <c r="V14" s="223"/>
      <c r="W14" s="223"/>
      <c r="X14" s="223"/>
      <c r="Y14" s="223"/>
      <c r="Z14" s="223"/>
      <c r="AA14" s="223"/>
      <c r="AB14" s="223"/>
    </row>
    <row r="15" spans="1:33" ht="21.75" customHeight="1" thickBot="1" x14ac:dyDescent="0.25">
      <c r="A15" s="1077" t="s">
        <v>18</v>
      </c>
      <c r="B15" s="1078"/>
      <c r="C15" s="1078"/>
      <c r="D15" s="1078"/>
      <c r="E15" s="1078"/>
      <c r="F15" s="1078"/>
      <c r="G15" s="1078"/>
      <c r="H15" s="1078"/>
      <c r="I15" s="1078"/>
      <c r="J15" s="1078"/>
      <c r="K15" s="1078"/>
      <c r="L15" s="1078"/>
      <c r="M15" s="1078"/>
      <c r="N15" s="1079"/>
      <c r="O15" s="1083"/>
      <c r="P15" s="1084"/>
      <c r="Q15" s="223"/>
      <c r="R15" s="223"/>
      <c r="S15" s="223"/>
      <c r="T15" s="223"/>
      <c r="U15" s="223"/>
      <c r="V15" s="223"/>
      <c r="W15" s="223"/>
      <c r="X15" s="223"/>
      <c r="Y15" s="223"/>
      <c r="Z15" s="223"/>
      <c r="AA15" s="223"/>
      <c r="AB15" s="223"/>
    </row>
    <row r="16" spans="1:33" x14ac:dyDescent="0.2">
      <c r="O16" s="223"/>
      <c r="P16" s="223"/>
      <c r="Q16" s="223"/>
      <c r="R16" s="223"/>
      <c r="S16" s="223"/>
      <c r="T16" s="223"/>
      <c r="U16" s="223"/>
      <c r="V16" s="223"/>
      <c r="W16" s="223"/>
      <c r="X16" s="223"/>
      <c r="Y16" s="223"/>
      <c r="Z16" s="223"/>
      <c r="AA16" s="223"/>
      <c r="AB16" s="223"/>
    </row>
    <row r="17" spans="1:33" x14ac:dyDescent="0.2">
      <c r="C17" s="233" t="s">
        <v>41</v>
      </c>
      <c r="O17" s="223"/>
      <c r="P17" s="223"/>
      <c r="Q17" s="223"/>
      <c r="R17" s="223"/>
      <c r="S17" s="223"/>
      <c r="T17" s="223"/>
      <c r="U17" s="223"/>
      <c r="V17" s="223"/>
      <c r="W17" s="223"/>
      <c r="X17" s="223"/>
      <c r="Y17" s="223"/>
      <c r="Z17" s="223"/>
      <c r="AA17" s="223"/>
      <c r="AB17" s="223"/>
    </row>
    <row r="18" spans="1:33" x14ac:dyDescent="0.2">
      <c r="C18" s="235" t="s">
        <v>133</v>
      </c>
      <c r="O18" s="223"/>
      <c r="P18" s="223"/>
      <c r="Q18" s="223"/>
      <c r="R18" s="223"/>
      <c r="S18" s="223"/>
      <c r="T18" s="223"/>
      <c r="U18" s="223"/>
      <c r="V18" s="223"/>
      <c r="W18" s="223"/>
      <c r="X18" s="223"/>
      <c r="Y18" s="223"/>
      <c r="Z18" s="223"/>
      <c r="AA18" s="223"/>
      <c r="AB18" s="223"/>
    </row>
    <row r="19" spans="1:33" ht="16.5" x14ac:dyDescent="0.2">
      <c r="C19" s="1094" t="s">
        <v>19</v>
      </c>
      <c r="D19" s="1095"/>
      <c r="E19" s="1095"/>
      <c r="F19" s="1095"/>
      <c r="G19" s="1095"/>
      <c r="H19" s="1095"/>
      <c r="I19" s="1095"/>
      <c r="J19" s="1095"/>
      <c r="K19" s="1095"/>
      <c r="L19" s="1096"/>
      <c r="N19" s="237" t="s">
        <v>20</v>
      </c>
      <c r="O19" s="223"/>
      <c r="P19" s="223"/>
      <c r="Q19" s="223"/>
      <c r="R19" s="223"/>
      <c r="S19" s="223"/>
      <c r="T19" s="223"/>
      <c r="U19" s="223"/>
      <c r="V19" s="223"/>
      <c r="W19" s="223"/>
      <c r="X19" s="223"/>
      <c r="Y19" s="223"/>
      <c r="Z19" s="223"/>
      <c r="AA19" s="223"/>
      <c r="AB19" s="223"/>
    </row>
    <row r="20" spans="1:33" ht="13.5" thickBot="1" x14ac:dyDescent="0.25">
      <c r="A20" s="1097"/>
      <c r="B20" s="1097"/>
      <c r="C20" s="238">
        <f t="shared" ref="C20:L20" si="0">C9</f>
        <v>2015</v>
      </c>
      <c r="D20" s="239">
        <f t="shared" si="0"/>
        <v>2016</v>
      </c>
      <c r="E20" s="239">
        <f t="shared" si="0"/>
        <v>2017</v>
      </c>
      <c r="F20" s="239">
        <f t="shared" si="0"/>
        <v>2018</v>
      </c>
      <c r="G20" s="239">
        <f t="shared" si="0"/>
        <v>2019</v>
      </c>
      <c r="H20" s="239">
        <f t="shared" si="0"/>
        <v>2020</v>
      </c>
      <c r="I20" s="239">
        <f t="shared" si="0"/>
        <v>2021</v>
      </c>
      <c r="J20" s="239">
        <f t="shared" si="0"/>
        <v>2022</v>
      </c>
      <c r="K20" s="239">
        <v>2023</v>
      </c>
      <c r="L20" s="239">
        <f t="shared" si="0"/>
        <v>2024</v>
      </c>
      <c r="N20" s="240"/>
      <c r="O20" s="223"/>
      <c r="P20" s="223"/>
      <c r="Q20" s="223"/>
      <c r="R20" s="223"/>
      <c r="S20" s="223"/>
      <c r="T20" s="223"/>
      <c r="U20" s="223"/>
      <c r="V20" s="223"/>
      <c r="W20" s="223"/>
      <c r="X20" s="223"/>
      <c r="Y20" s="223"/>
      <c r="Z20" s="223"/>
      <c r="AA20" s="223"/>
      <c r="AB20" s="223"/>
    </row>
    <row r="21" spans="1:33" s="178" customFormat="1" ht="12.75" customHeight="1" thickBot="1" x14ac:dyDescent="0.25">
      <c r="A21" s="1098" t="s">
        <v>21</v>
      </c>
      <c r="B21" s="241">
        <f>C9</f>
        <v>2015</v>
      </c>
      <c r="C21" s="802">
        <v>0</v>
      </c>
      <c r="D21" s="242"/>
      <c r="E21" s="242"/>
      <c r="F21" s="242"/>
      <c r="G21" s="242"/>
      <c r="H21" s="242"/>
      <c r="I21" s="242"/>
      <c r="J21" s="242"/>
      <c r="K21" s="242"/>
      <c r="L21" s="243"/>
      <c r="M21" s="244"/>
      <c r="N21" s="245">
        <f t="shared" ref="N21:N30" si="1">SUM(C21:L21)</f>
        <v>0</v>
      </c>
      <c r="O21" s="177"/>
      <c r="P21" s="177"/>
      <c r="Q21" s="177"/>
      <c r="R21" s="177"/>
      <c r="S21" s="177"/>
      <c r="T21" s="177"/>
      <c r="U21" s="177"/>
      <c r="V21" s="177"/>
      <c r="W21" s="177"/>
      <c r="X21" s="177"/>
      <c r="Y21" s="177"/>
      <c r="Z21" s="177"/>
      <c r="AA21" s="177"/>
      <c r="AB21" s="177"/>
      <c r="AC21" s="177"/>
      <c r="AD21" s="177"/>
      <c r="AE21" s="177"/>
      <c r="AF21" s="177"/>
      <c r="AG21" s="177"/>
    </row>
    <row r="22" spans="1:33" s="178" customFormat="1" ht="13.5" customHeight="1" thickBot="1" x14ac:dyDescent="0.25">
      <c r="A22" s="1099"/>
      <c r="B22" s="281">
        <f>D9</f>
        <v>2016</v>
      </c>
      <c r="C22" s="247">
        <f>C10-C21</f>
        <v>0</v>
      </c>
      <c r="D22" s="802">
        <v>0</v>
      </c>
      <c r="E22" s="248"/>
      <c r="F22" s="248"/>
      <c r="G22" s="248"/>
      <c r="H22" s="248"/>
      <c r="I22" s="248"/>
      <c r="J22" s="248"/>
      <c r="K22" s="248"/>
      <c r="L22" s="249"/>
      <c r="M22" s="244"/>
      <c r="N22" s="245">
        <f t="shared" si="1"/>
        <v>0</v>
      </c>
      <c r="O22" s="177"/>
      <c r="P22" s="177"/>
      <c r="Q22" s="177"/>
      <c r="R22" s="177"/>
      <c r="S22" s="177"/>
      <c r="T22" s="177"/>
      <c r="U22" s="177"/>
      <c r="V22" s="177"/>
      <c r="W22" s="177"/>
      <c r="X22" s="177"/>
      <c r="Y22" s="177"/>
      <c r="Z22" s="177"/>
      <c r="AA22" s="177"/>
      <c r="AB22" s="177"/>
      <c r="AC22" s="177"/>
      <c r="AD22" s="177"/>
      <c r="AE22" s="177"/>
      <c r="AF22" s="177"/>
      <c r="AG22" s="177"/>
    </row>
    <row r="23" spans="1:33" s="178" customFormat="1" ht="13.5" customHeight="1" thickBot="1" x14ac:dyDescent="0.25">
      <c r="A23" s="1099"/>
      <c r="B23" s="281">
        <f>E9</f>
        <v>2017</v>
      </c>
      <c r="C23" s="248"/>
      <c r="D23" s="247">
        <f>D10-D22</f>
        <v>0</v>
      </c>
      <c r="E23" s="802">
        <v>0</v>
      </c>
      <c r="F23" s="248"/>
      <c r="G23" s="248"/>
      <c r="H23" s="248"/>
      <c r="I23" s="248"/>
      <c r="J23" s="248"/>
      <c r="K23" s="248"/>
      <c r="L23" s="249"/>
      <c r="M23" s="244"/>
      <c r="N23" s="245">
        <f t="shared" si="1"/>
        <v>0</v>
      </c>
      <c r="O23" s="177"/>
      <c r="P23" s="177"/>
      <c r="Q23" s="177"/>
      <c r="R23" s="177"/>
      <c r="S23" s="177"/>
      <c r="T23" s="177"/>
      <c r="U23" s="177"/>
      <c r="V23" s="177"/>
      <c r="W23" s="177"/>
      <c r="X23" s="177"/>
      <c r="Y23" s="177"/>
      <c r="Z23" s="177"/>
      <c r="AA23" s="177"/>
      <c r="AB23" s="177"/>
      <c r="AC23" s="177"/>
      <c r="AD23" s="177"/>
      <c r="AE23" s="177"/>
      <c r="AF23" s="177"/>
      <c r="AG23" s="177"/>
    </row>
    <row r="24" spans="1:33" s="178" customFormat="1" ht="13.5" customHeight="1" thickBot="1" x14ac:dyDescent="0.25">
      <c r="A24" s="1099"/>
      <c r="B24" s="281">
        <f>F9</f>
        <v>2018</v>
      </c>
      <c r="C24" s="248"/>
      <c r="D24" s="248"/>
      <c r="E24" s="247">
        <f>E10-E23</f>
        <v>0</v>
      </c>
      <c r="F24" s="802">
        <v>0</v>
      </c>
      <c r="G24" s="248"/>
      <c r="H24" s="248"/>
      <c r="I24" s="248"/>
      <c r="J24" s="248"/>
      <c r="K24" s="248"/>
      <c r="L24" s="249"/>
      <c r="M24" s="244"/>
      <c r="N24" s="245">
        <f t="shared" si="1"/>
        <v>0</v>
      </c>
      <c r="O24" s="177"/>
      <c r="P24" s="177"/>
      <c r="Q24" s="177"/>
      <c r="R24" s="177"/>
      <c r="S24" s="177"/>
      <c r="T24" s="177"/>
      <c r="U24" s="177"/>
      <c r="V24" s="177"/>
      <c r="W24" s="177"/>
      <c r="X24" s="177"/>
      <c r="Y24" s="177"/>
      <c r="Z24" s="177"/>
      <c r="AA24" s="177"/>
      <c r="AB24" s="177"/>
      <c r="AC24" s="177"/>
      <c r="AD24" s="177"/>
      <c r="AE24" s="177"/>
      <c r="AF24" s="177"/>
      <c r="AG24" s="177"/>
    </row>
    <row r="25" spans="1:33" s="178" customFormat="1" ht="13.5" customHeight="1" thickBot="1" x14ac:dyDescent="0.25">
      <c r="A25" s="1099"/>
      <c r="B25" s="281">
        <f>G9</f>
        <v>2019</v>
      </c>
      <c r="C25" s="248"/>
      <c r="D25" s="248"/>
      <c r="E25" s="248"/>
      <c r="F25" s="247">
        <f>F10-F24</f>
        <v>0</v>
      </c>
      <c r="G25" s="802">
        <v>0</v>
      </c>
      <c r="H25" s="248"/>
      <c r="I25" s="248"/>
      <c r="J25" s="248"/>
      <c r="K25" s="248"/>
      <c r="L25" s="249"/>
      <c r="M25" s="244"/>
      <c r="N25" s="245">
        <f t="shared" si="1"/>
        <v>0</v>
      </c>
      <c r="O25" s="177"/>
      <c r="P25" s="177"/>
      <c r="Q25" s="177"/>
      <c r="R25" s="177"/>
      <c r="S25" s="177"/>
      <c r="T25" s="177"/>
      <c r="U25" s="177"/>
      <c r="V25" s="177"/>
      <c r="W25" s="177"/>
      <c r="X25" s="177"/>
      <c r="Y25" s="177"/>
      <c r="Z25" s="177"/>
      <c r="AA25" s="177"/>
      <c r="AB25" s="177"/>
      <c r="AC25" s="177"/>
      <c r="AD25" s="177"/>
      <c r="AE25" s="177"/>
      <c r="AF25" s="177"/>
      <c r="AG25" s="177"/>
    </row>
    <row r="26" spans="1:33" s="178" customFormat="1" ht="13.5" customHeight="1" thickBot="1" x14ac:dyDescent="0.25">
      <c r="A26" s="1099"/>
      <c r="B26" s="281">
        <f>+H9</f>
        <v>2020</v>
      </c>
      <c r="C26" s="248"/>
      <c r="D26" s="248"/>
      <c r="E26" s="248"/>
      <c r="F26" s="251"/>
      <c r="G26" s="247">
        <f>G$10-G25</f>
        <v>0</v>
      </c>
      <c r="H26" s="802">
        <v>0</v>
      </c>
      <c r="I26" s="248"/>
      <c r="J26" s="248"/>
      <c r="K26" s="248"/>
      <c r="L26" s="249"/>
      <c r="M26" s="244"/>
      <c r="N26" s="245">
        <f t="shared" si="1"/>
        <v>0</v>
      </c>
      <c r="O26" s="177"/>
      <c r="P26" s="177"/>
      <c r="Q26" s="177"/>
      <c r="R26" s="177"/>
      <c r="S26" s="177"/>
      <c r="T26" s="177"/>
      <c r="U26" s="177"/>
      <c r="V26" s="177"/>
      <c r="W26" s="177"/>
      <c r="X26" s="177"/>
      <c r="Y26" s="177"/>
      <c r="Z26" s="177"/>
      <c r="AA26" s="177"/>
      <c r="AB26" s="177"/>
      <c r="AC26" s="177"/>
      <c r="AD26" s="177"/>
      <c r="AE26" s="177"/>
      <c r="AF26" s="177"/>
      <c r="AG26" s="177"/>
    </row>
    <row r="27" spans="1:33" s="178" customFormat="1" ht="13.5" customHeight="1" thickBot="1" x14ac:dyDescent="0.25">
      <c r="A27" s="1099"/>
      <c r="B27" s="281">
        <f>+I9</f>
        <v>2021</v>
      </c>
      <c r="C27" s="248"/>
      <c r="D27" s="248"/>
      <c r="E27" s="248"/>
      <c r="F27" s="251"/>
      <c r="G27" s="248"/>
      <c r="H27" s="247">
        <f>H$10-H26</f>
        <v>0</v>
      </c>
      <c r="I27" s="802">
        <v>0</v>
      </c>
      <c r="J27" s="248"/>
      <c r="K27" s="248"/>
      <c r="L27" s="249"/>
      <c r="M27" s="244"/>
      <c r="N27" s="245">
        <f t="shared" si="1"/>
        <v>0</v>
      </c>
      <c r="O27" s="177"/>
      <c r="P27" s="177"/>
      <c r="Q27" s="177"/>
      <c r="R27" s="177"/>
      <c r="S27" s="177"/>
      <c r="T27" s="177"/>
      <c r="U27" s="177"/>
      <c r="V27" s="177"/>
      <c r="W27" s="177"/>
      <c r="X27" s="177"/>
      <c r="Y27" s="177"/>
      <c r="Z27" s="177"/>
      <c r="AA27" s="177"/>
      <c r="AB27" s="177"/>
      <c r="AC27" s="177"/>
      <c r="AD27" s="177"/>
      <c r="AE27" s="177"/>
      <c r="AF27" s="177"/>
      <c r="AG27" s="177"/>
    </row>
    <row r="28" spans="1:33" s="178" customFormat="1" ht="13.5" customHeight="1" thickBot="1" x14ac:dyDescent="0.25">
      <c r="A28" s="1099"/>
      <c r="B28" s="281">
        <f>+J9</f>
        <v>2022</v>
      </c>
      <c r="C28" s="248"/>
      <c r="D28" s="248"/>
      <c r="E28" s="248"/>
      <c r="F28" s="251"/>
      <c r="G28" s="248"/>
      <c r="H28" s="248"/>
      <c r="I28" s="247">
        <f>I$10-I27</f>
        <v>0</v>
      </c>
      <c r="J28" s="802">
        <v>0</v>
      </c>
      <c r="K28" s="248"/>
      <c r="L28" s="249"/>
      <c r="M28" s="244"/>
      <c r="N28" s="245">
        <f t="shared" si="1"/>
        <v>0</v>
      </c>
      <c r="O28" s="177"/>
      <c r="P28" s="177"/>
      <c r="Q28" s="177"/>
      <c r="R28" s="177"/>
      <c r="S28" s="177"/>
      <c r="T28" s="177"/>
      <c r="U28" s="177"/>
      <c r="V28" s="177"/>
      <c r="W28" s="177"/>
      <c r="X28" s="177"/>
      <c r="Y28" s="177"/>
      <c r="Z28" s="177"/>
      <c r="AA28" s="177"/>
      <c r="AB28" s="177"/>
      <c r="AC28" s="177"/>
      <c r="AD28" s="177"/>
      <c r="AE28" s="177"/>
      <c r="AF28" s="177"/>
      <c r="AG28" s="177"/>
    </row>
    <row r="29" spans="1:33" s="178" customFormat="1" ht="13.5" customHeight="1" thickBot="1" x14ac:dyDescent="0.25">
      <c r="A29" s="1099"/>
      <c r="B29" s="281">
        <f>+K9</f>
        <v>2023</v>
      </c>
      <c r="C29" s="248"/>
      <c r="D29" s="248"/>
      <c r="E29" s="248"/>
      <c r="F29" s="251"/>
      <c r="G29" s="248"/>
      <c r="H29" s="248"/>
      <c r="I29" s="248"/>
      <c r="J29" s="247">
        <f>J$10-J28</f>
        <v>0</v>
      </c>
      <c r="K29" s="802">
        <v>0</v>
      </c>
      <c r="L29" s="249"/>
      <c r="M29" s="244"/>
      <c r="N29" s="245">
        <f t="shared" si="1"/>
        <v>0</v>
      </c>
      <c r="O29" s="177"/>
      <c r="P29" s="177"/>
      <c r="Q29" s="177"/>
      <c r="R29" s="177"/>
      <c r="S29" s="177"/>
      <c r="T29" s="177"/>
      <c r="U29" s="177"/>
      <c r="V29" s="177"/>
      <c r="W29" s="177"/>
      <c r="X29" s="177"/>
      <c r="Y29" s="177"/>
      <c r="Z29" s="177"/>
      <c r="AA29" s="177"/>
      <c r="AB29" s="177"/>
      <c r="AC29" s="177"/>
      <c r="AD29" s="177"/>
      <c r="AE29" s="177"/>
      <c r="AF29" s="177"/>
      <c r="AG29" s="177"/>
    </row>
    <row r="30" spans="1:33" s="178" customFormat="1" ht="13.5" customHeight="1" thickBot="1" x14ac:dyDescent="0.25">
      <c r="A30" s="1099"/>
      <c r="B30" s="281">
        <f>L9</f>
        <v>2024</v>
      </c>
      <c r="C30" s="248"/>
      <c r="D30" s="248"/>
      <c r="E30" s="248"/>
      <c r="F30" s="248"/>
      <c r="G30" s="248"/>
      <c r="H30" s="251"/>
      <c r="I30" s="251"/>
      <c r="J30" s="251"/>
      <c r="K30" s="247">
        <f>K$10-K29</f>
        <v>0</v>
      </c>
      <c r="L30" s="802">
        <v>0</v>
      </c>
      <c r="M30" s="244"/>
      <c r="N30" s="245">
        <f t="shared" si="1"/>
        <v>0</v>
      </c>
      <c r="O30" s="177"/>
      <c r="P30" s="177"/>
      <c r="Q30" s="177"/>
      <c r="R30" s="177"/>
      <c r="S30" s="177"/>
      <c r="T30" s="177"/>
      <c r="U30" s="177"/>
      <c r="V30" s="177"/>
      <c r="W30" s="177"/>
      <c r="X30" s="177"/>
      <c r="Y30" s="177"/>
      <c r="Z30" s="177"/>
      <c r="AA30" s="177"/>
      <c r="AB30" s="177"/>
      <c r="AC30" s="177"/>
      <c r="AD30" s="177"/>
      <c r="AE30" s="177"/>
      <c r="AF30" s="177"/>
      <c r="AG30" s="177"/>
    </row>
    <row r="31" spans="1:33" s="256" customFormat="1" ht="15.75" x14ac:dyDescent="0.2">
      <c r="A31" s="1100"/>
      <c r="B31" s="326" t="s">
        <v>22</v>
      </c>
      <c r="C31" s="252">
        <f t="shared" ref="C31" si="2">SUM(C21:C30)</f>
        <v>0</v>
      </c>
      <c r="D31" s="252">
        <f t="shared" ref="D31:L31" si="3">SUM(D21:D30)</f>
        <v>0</v>
      </c>
      <c r="E31" s="252">
        <f t="shared" si="3"/>
        <v>0</v>
      </c>
      <c r="F31" s="252">
        <f t="shared" si="3"/>
        <v>0</v>
      </c>
      <c r="G31" s="252">
        <f t="shared" si="3"/>
        <v>0</v>
      </c>
      <c r="H31" s="252">
        <f t="shared" si="3"/>
        <v>0</v>
      </c>
      <c r="I31" s="252">
        <f t="shared" si="3"/>
        <v>0</v>
      </c>
      <c r="J31" s="252">
        <f t="shared" si="3"/>
        <v>0</v>
      </c>
      <c r="K31" s="252">
        <f t="shared" si="3"/>
        <v>0</v>
      </c>
      <c r="L31" s="282">
        <f t="shared" si="3"/>
        <v>0</v>
      </c>
      <c r="M31" s="253"/>
      <c r="N31" s="254">
        <f>SUM(N21:N30)</f>
        <v>0</v>
      </c>
      <c r="O31" s="255"/>
      <c r="P31" s="255"/>
      <c r="Q31" s="255"/>
      <c r="R31" s="255"/>
      <c r="S31" s="255"/>
      <c r="T31" s="255"/>
      <c r="U31" s="255"/>
      <c r="V31" s="255"/>
      <c r="W31" s="255"/>
      <c r="X31" s="255"/>
      <c r="Y31" s="255"/>
      <c r="Z31" s="255"/>
      <c r="AA31" s="255"/>
      <c r="AB31" s="255"/>
      <c r="AC31" s="255"/>
      <c r="AD31" s="255"/>
      <c r="AE31" s="255"/>
      <c r="AF31" s="255"/>
      <c r="AG31" s="255"/>
    </row>
    <row r="32" spans="1:33" s="235" customFormat="1" ht="15.75" customHeight="1" x14ac:dyDescent="0.2">
      <c r="A32" s="257" t="s">
        <v>34</v>
      </c>
      <c r="C32" s="258">
        <f>+C31+C48</f>
        <v>0</v>
      </c>
      <c r="D32" s="258">
        <f t="shared" ref="D32:L32" si="4">+D31+D48</f>
        <v>0</v>
      </c>
      <c r="E32" s="258">
        <f t="shared" si="4"/>
        <v>0</v>
      </c>
      <c r="F32" s="258">
        <f t="shared" si="4"/>
        <v>0</v>
      </c>
      <c r="G32" s="258">
        <f t="shared" si="4"/>
        <v>0</v>
      </c>
      <c r="H32" s="258">
        <f t="shared" si="4"/>
        <v>0</v>
      </c>
      <c r="I32" s="258">
        <f t="shared" si="4"/>
        <v>0</v>
      </c>
      <c r="J32" s="258">
        <f t="shared" si="4"/>
        <v>0</v>
      </c>
      <c r="K32" s="258">
        <f t="shared" si="4"/>
        <v>0</v>
      </c>
      <c r="L32" s="258">
        <f t="shared" si="4"/>
        <v>0</v>
      </c>
      <c r="M32" s="258"/>
      <c r="N32" s="258">
        <f>+N31+N48</f>
        <v>0</v>
      </c>
      <c r="O32" s="258">
        <f>+O31+O48</f>
        <v>0</v>
      </c>
    </row>
    <row r="33" spans="1:33" s="259" customFormat="1" x14ac:dyDescent="0.2">
      <c r="A33" s="235"/>
      <c r="B33" s="235"/>
      <c r="C33" s="258"/>
      <c r="D33" s="258"/>
      <c r="E33" s="258"/>
      <c r="F33" s="258"/>
      <c r="G33" s="258"/>
      <c r="H33" s="258"/>
      <c r="I33" s="258"/>
      <c r="J33" s="258"/>
      <c r="K33" s="258"/>
      <c r="L33" s="258"/>
      <c r="M33" s="235"/>
      <c r="N33" s="235"/>
      <c r="O33" s="235"/>
      <c r="P33" s="235"/>
      <c r="Q33" s="235"/>
      <c r="R33" s="235"/>
      <c r="S33" s="235"/>
      <c r="T33" s="235"/>
      <c r="U33" s="235"/>
      <c r="V33" s="235"/>
      <c r="W33" s="235"/>
      <c r="X33" s="235"/>
      <c r="Y33" s="235"/>
      <c r="Z33" s="235"/>
      <c r="AA33" s="235"/>
      <c r="AB33" s="235"/>
      <c r="AC33" s="235"/>
      <c r="AD33" s="235"/>
      <c r="AE33" s="235"/>
      <c r="AF33" s="235"/>
      <c r="AG33" s="235"/>
    </row>
    <row r="34" spans="1:33" s="259" customFormat="1" x14ac:dyDescent="0.2">
      <c r="A34" s="235"/>
      <c r="B34" s="235"/>
      <c r="C34" s="233" t="s">
        <v>32</v>
      </c>
      <c r="D34" s="258"/>
      <c r="E34" s="258"/>
      <c r="F34" s="258"/>
      <c r="G34" s="258"/>
      <c r="H34" s="258"/>
      <c r="I34" s="258"/>
      <c r="J34" s="258"/>
      <c r="K34" s="258"/>
      <c r="L34" s="258"/>
      <c r="M34" s="235"/>
      <c r="N34" s="235"/>
      <c r="O34" s="235"/>
      <c r="P34" s="235"/>
      <c r="Q34" s="235"/>
      <c r="R34" s="235"/>
      <c r="S34" s="235"/>
      <c r="T34" s="235"/>
      <c r="U34" s="235"/>
      <c r="V34" s="235"/>
      <c r="W34" s="235"/>
      <c r="X34" s="235"/>
      <c r="Y34" s="235"/>
      <c r="Z34" s="235"/>
      <c r="AA34" s="235"/>
      <c r="AB34" s="235"/>
      <c r="AC34" s="235"/>
      <c r="AD34" s="235"/>
      <c r="AE34" s="235"/>
      <c r="AF34" s="235"/>
      <c r="AG34" s="235"/>
    </row>
    <row r="35" spans="1:33" s="259" customFormat="1" x14ac:dyDescent="0.2">
      <c r="A35" s="235"/>
      <c r="B35" s="235"/>
      <c r="C35" s="233" t="s">
        <v>33</v>
      </c>
      <c r="D35" s="258"/>
      <c r="E35" s="258"/>
      <c r="F35" s="258"/>
      <c r="G35" s="258"/>
      <c r="H35" s="258"/>
      <c r="I35" s="258"/>
      <c r="J35" s="258"/>
      <c r="K35" s="258"/>
      <c r="L35" s="258"/>
      <c r="M35" s="235"/>
      <c r="N35" s="235"/>
      <c r="O35" s="235"/>
      <c r="P35" s="235"/>
      <c r="Q35" s="235"/>
      <c r="R35" s="235"/>
      <c r="S35" s="235"/>
      <c r="T35" s="235"/>
      <c r="U35" s="235"/>
      <c r="V35" s="235"/>
      <c r="W35" s="235"/>
      <c r="X35" s="235"/>
      <c r="Y35" s="235"/>
      <c r="Z35" s="235"/>
      <c r="AA35" s="235"/>
      <c r="AB35" s="235"/>
      <c r="AC35" s="235"/>
      <c r="AD35" s="235"/>
      <c r="AE35" s="235"/>
      <c r="AF35" s="235"/>
      <c r="AG35" s="235"/>
    </row>
    <row r="36" spans="1:33" s="178" customFormat="1" ht="16.5" x14ac:dyDescent="0.2">
      <c r="A36" s="177"/>
      <c r="B36" s="177"/>
      <c r="C36" s="1085" t="s">
        <v>19</v>
      </c>
      <c r="D36" s="1086"/>
      <c r="E36" s="1086"/>
      <c r="F36" s="1086"/>
      <c r="G36" s="1086"/>
      <c r="H36" s="1086"/>
      <c r="I36" s="1086"/>
      <c r="J36" s="1086"/>
      <c r="K36" s="1086"/>
      <c r="L36" s="1087"/>
      <c r="M36" s="177"/>
      <c r="N36" s="237" t="s">
        <v>20</v>
      </c>
      <c r="O36" s="177"/>
      <c r="P36" s="237" t="s">
        <v>20</v>
      </c>
      <c r="Q36" s="177"/>
      <c r="R36" s="177"/>
      <c r="S36" s="177"/>
      <c r="T36" s="177"/>
      <c r="U36" s="177"/>
      <c r="V36" s="177"/>
      <c r="W36" s="177"/>
      <c r="X36" s="177"/>
      <c r="Y36" s="177"/>
      <c r="Z36" s="177"/>
      <c r="AA36" s="177"/>
      <c r="AB36" s="177"/>
      <c r="AC36" s="177"/>
      <c r="AD36" s="177"/>
      <c r="AE36" s="177"/>
      <c r="AF36" s="177"/>
      <c r="AG36" s="177"/>
    </row>
    <row r="37" spans="1:33" s="178" customFormat="1" x14ac:dyDescent="0.2">
      <c r="A37" s="177"/>
      <c r="B37" s="177"/>
      <c r="C37" s="239">
        <f t="shared" ref="C37:L37" si="5">C20</f>
        <v>2015</v>
      </c>
      <c r="D37" s="239">
        <f t="shared" si="5"/>
        <v>2016</v>
      </c>
      <c r="E37" s="239">
        <f t="shared" si="5"/>
        <v>2017</v>
      </c>
      <c r="F37" s="239">
        <f t="shared" si="5"/>
        <v>2018</v>
      </c>
      <c r="G37" s="239">
        <f t="shared" si="5"/>
        <v>2019</v>
      </c>
      <c r="H37" s="239">
        <f t="shared" si="5"/>
        <v>2020</v>
      </c>
      <c r="I37" s="239">
        <f t="shared" si="5"/>
        <v>2021</v>
      </c>
      <c r="J37" s="239">
        <f t="shared" si="5"/>
        <v>2022</v>
      </c>
      <c r="K37" s="239">
        <f t="shared" si="5"/>
        <v>2023</v>
      </c>
      <c r="L37" s="239">
        <f t="shared" si="5"/>
        <v>2024</v>
      </c>
      <c r="M37" s="177"/>
      <c r="N37" s="240" t="s">
        <v>23</v>
      </c>
      <c r="O37" s="177"/>
      <c r="P37" s="240" t="s">
        <v>24</v>
      </c>
      <c r="Q37" s="177"/>
      <c r="R37" s="177"/>
      <c r="S37" s="177"/>
      <c r="T37" s="177"/>
      <c r="U37" s="177"/>
      <c r="V37" s="177"/>
      <c r="W37" s="177"/>
      <c r="X37" s="177"/>
      <c r="Y37" s="177"/>
      <c r="Z37" s="177"/>
      <c r="AA37" s="177"/>
      <c r="AB37" s="177"/>
      <c r="AC37" s="177"/>
      <c r="AD37" s="177"/>
      <c r="AE37" s="177"/>
      <c r="AF37" s="177"/>
      <c r="AG37" s="177"/>
    </row>
    <row r="38" spans="1:33" s="178" customFormat="1" x14ac:dyDescent="0.2">
      <c r="A38" s="1091" t="s">
        <v>93</v>
      </c>
      <c r="B38" s="600">
        <f>B21</f>
        <v>2015</v>
      </c>
      <c r="C38" s="261"/>
      <c r="D38" s="261"/>
      <c r="E38" s="261"/>
      <c r="F38" s="261"/>
      <c r="G38" s="261"/>
      <c r="H38" s="261"/>
      <c r="I38" s="261"/>
      <c r="J38" s="261"/>
      <c r="K38" s="261"/>
      <c r="L38" s="262"/>
      <c r="M38" s="244"/>
      <c r="N38" s="245">
        <f t="shared" ref="N38:N47" si="6">SUM(C38:L38)</f>
        <v>0</v>
      </c>
      <c r="O38" s="244"/>
      <c r="P38" s="263">
        <f>SUM(N21,N38)</f>
        <v>0</v>
      </c>
      <c r="Q38" s="177"/>
      <c r="R38" s="177"/>
      <c r="S38" s="177"/>
      <c r="T38" s="177"/>
      <c r="U38" s="177"/>
      <c r="V38" s="177"/>
      <c r="W38" s="177"/>
      <c r="X38" s="177"/>
      <c r="Y38" s="177"/>
      <c r="Z38" s="177"/>
      <c r="AA38" s="177"/>
      <c r="AB38" s="177"/>
      <c r="AC38" s="177"/>
      <c r="AD38" s="177"/>
      <c r="AE38" s="177"/>
      <c r="AF38" s="177"/>
      <c r="AG38" s="177"/>
    </row>
    <row r="39" spans="1:33" s="178" customFormat="1" x14ac:dyDescent="0.2">
      <c r="A39" s="1092"/>
      <c r="B39" s="601">
        <f>B22</f>
        <v>2016</v>
      </c>
      <c r="C39" s="261"/>
      <c r="D39" s="261"/>
      <c r="E39" s="261"/>
      <c r="F39" s="261"/>
      <c r="G39" s="261"/>
      <c r="H39" s="261"/>
      <c r="I39" s="261"/>
      <c r="J39" s="261"/>
      <c r="K39" s="261"/>
      <c r="L39" s="265"/>
      <c r="M39" s="244"/>
      <c r="N39" s="245">
        <f t="shared" si="6"/>
        <v>0</v>
      </c>
      <c r="O39" s="244"/>
      <c r="P39" s="263">
        <f>SUM(N22,N39)</f>
        <v>0</v>
      </c>
      <c r="Q39" s="177"/>
      <c r="R39" s="177"/>
      <c r="S39" s="177"/>
      <c r="T39" s="177"/>
      <c r="U39" s="177"/>
      <c r="V39" s="177"/>
      <c r="W39" s="177"/>
      <c r="X39" s="177"/>
      <c r="Y39" s="177"/>
      <c r="Z39" s="177"/>
      <c r="AA39" s="177"/>
      <c r="AB39" s="177"/>
      <c r="AC39" s="177"/>
      <c r="AD39" s="177"/>
      <c r="AE39" s="177"/>
      <c r="AF39" s="177"/>
      <c r="AG39" s="177"/>
    </row>
    <row r="40" spans="1:33" s="178" customFormat="1" x14ac:dyDescent="0.2">
      <c r="A40" s="1092" t="s">
        <v>25</v>
      </c>
      <c r="B40" s="601">
        <f>B23</f>
        <v>2017</v>
      </c>
      <c r="C40" s="247">
        <f>+IF($S$4="ex-ante",IF(C$37&lt;=($R$4-2),IF($B40&lt;=($R$4),T4B!G149,0),0),IF($S$4="ex-post",IF(C$37&lt;=($R$4-1),IF($B40&lt;=($R$4+1),T4B!G149,0),0),0))</f>
        <v>0</v>
      </c>
      <c r="D40" s="261"/>
      <c r="E40" s="261"/>
      <c r="F40" s="261"/>
      <c r="G40" s="261"/>
      <c r="H40" s="261"/>
      <c r="I40" s="261"/>
      <c r="J40" s="261"/>
      <c r="K40" s="261"/>
      <c r="L40" s="265"/>
      <c r="M40" s="244"/>
      <c r="N40" s="245">
        <f t="shared" si="6"/>
        <v>0</v>
      </c>
      <c r="O40" s="244"/>
      <c r="P40" s="263">
        <f>SUM(N23,N40)</f>
        <v>0</v>
      </c>
      <c r="Q40" s="177"/>
      <c r="R40" s="177"/>
      <c r="S40" s="177"/>
      <c r="T40" s="177"/>
      <c r="U40" s="177"/>
      <c r="V40" s="177"/>
      <c r="W40" s="177"/>
      <c r="X40" s="177"/>
      <c r="Y40" s="177"/>
      <c r="Z40" s="177"/>
      <c r="AA40" s="177"/>
      <c r="AB40" s="177"/>
      <c r="AC40" s="177"/>
      <c r="AD40" s="177"/>
      <c r="AE40" s="177"/>
      <c r="AF40" s="177"/>
      <c r="AG40" s="177"/>
    </row>
    <row r="41" spans="1:33" s="178" customFormat="1" x14ac:dyDescent="0.2">
      <c r="A41" s="1092"/>
      <c r="B41" s="601">
        <f>B24</f>
        <v>2018</v>
      </c>
      <c r="C41" s="247">
        <f>+IF($S$4="ex-ante",IF(C$37&lt;=($R$4-2),IF($B41&lt;=($R$4),T4B!G150,0),0),IF($S$4="ex-post",IF(C$37&lt;=($R$4-1),IF($B41&lt;=($R$4+1),T4B!G150,0),0),0))</f>
        <v>0</v>
      </c>
      <c r="D41" s="247">
        <f>+IF($S$4="ex-ante",IF(D$37&lt;=($R$4-2),IF($B41&lt;=($R$4),T4B!H150,0),0),IF($S$4="ex-post",IF(D$37&lt;=($R$4-1),IF($B41&lt;=($R$4+1),T4B!H150,0),0),0))</f>
        <v>0</v>
      </c>
      <c r="E41" s="261"/>
      <c r="F41" s="261"/>
      <c r="G41" s="261"/>
      <c r="H41" s="261"/>
      <c r="I41" s="261"/>
      <c r="J41" s="261"/>
      <c r="K41" s="261"/>
      <c r="L41" s="265"/>
      <c r="M41" s="244"/>
      <c r="N41" s="245">
        <f t="shared" si="6"/>
        <v>0</v>
      </c>
      <c r="O41" s="244"/>
      <c r="P41" s="263">
        <f>SUM(N24,N41)</f>
        <v>0</v>
      </c>
      <c r="Q41" s="236" t="s">
        <v>27</v>
      </c>
      <c r="R41" s="177"/>
      <c r="S41" s="177"/>
      <c r="T41" s="177"/>
      <c r="U41" s="177"/>
      <c r="V41" s="177"/>
      <c r="W41" s="177"/>
      <c r="X41" s="177"/>
      <c r="Y41" s="177"/>
      <c r="Z41" s="177"/>
      <c r="AA41" s="177"/>
      <c r="AB41" s="177"/>
      <c r="AC41" s="177"/>
      <c r="AD41" s="177"/>
      <c r="AE41" s="177"/>
      <c r="AF41" s="177"/>
      <c r="AG41" s="177"/>
    </row>
    <row r="42" spans="1:33" s="178" customFormat="1" x14ac:dyDescent="0.2">
      <c r="A42" s="1092" t="s">
        <v>26</v>
      </c>
      <c r="B42" s="601">
        <f>B25</f>
        <v>2019</v>
      </c>
      <c r="C42" s="247">
        <f>+IF($S$4="ex-ante",IF(C$37&lt;=($R$4-2),IF($B42&lt;=($R$4),T4B!G151,0),0),IF($S$4="ex-post",IF(C$37&lt;=($R$4-1),IF($B42&lt;=($R$4+1),T4B!G151,0),0),0))</f>
        <v>0</v>
      </c>
      <c r="D42" s="247">
        <f>+IF($S$4="ex-ante",IF(D$37&lt;=($R$4-2),IF($B42&lt;=($R$4),T4B!H151,0),0),IF($S$4="ex-post",IF(D$37&lt;=($R$4-1),IF($B42&lt;=($R$4+1),T4B!H151,0),0),0))</f>
        <v>0</v>
      </c>
      <c r="E42" s="247">
        <f>+IF($S$4="ex-ante",IF(E$37&lt;=($R$4-2),IF($B42&lt;=($R$4),T4B!I151,0),0),IF($S$4="ex-post",IF(E$37&lt;=($R$4-1),IF($B42&lt;=($R$4+1),T4B!I151,0),0),0))</f>
        <v>0</v>
      </c>
      <c r="F42" s="261"/>
      <c r="G42" s="261"/>
      <c r="H42" s="261"/>
      <c r="I42" s="261"/>
      <c r="J42" s="261"/>
      <c r="K42" s="261"/>
      <c r="L42" s="265"/>
      <c r="M42" s="244"/>
      <c r="N42" s="245">
        <f t="shared" si="6"/>
        <v>0</v>
      </c>
      <c r="O42" s="244"/>
      <c r="P42" s="263">
        <f>SUM(N25,N42)</f>
        <v>0</v>
      </c>
      <c r="Q42" s="236" t="s">
        <v>28</v>
      </c>
      <c r="R42" s="177"/>
      <c r="S42" s="177"/>
      <c r="T42" s="177"/>
      <c r="U42" s="177"/>
      <c r="V42" s="177"/>
      <c r="W42" s="177"/>
      <c r="X42" s="177"/>
      <c r="Y42" s="177"/>
      <c r="Z42" s="177"/>
      <c r="AA42" s="177"/>
      <c r="AB42" s="177"/>
      <c r="AC42" s="177"/>
      <c r="AD42" s="177"/>
      <c r="AE42" s="177"/>
      <c r="AF42" s="177"/>
      <c r="AG42" s="177"/>
    </row>
    <row r="43" spans="1:33" s="178" customFormat="1" x14ac:dyDescent="0.2">
      <c r="A43" s="1092"/>
      <c r="B43" s="601">
        <f t="shared" ref="B43:B46" si="7">B26</f>
        <v>2020</v>
      </c>
      <c r="C43" s="247">
        <f>+IF($S$4="ex-ante",IF(C$37&lt;=($R$4-2),IF($B43&lt;=($R$4),T4B!G152,0),0),IF($S$4="ex-post",IF(C$37&lt;=($R$4-1),IF($B43&lt;=($R$4+1),T4B!G152,0),0),0))</f>
        <v>0</v>
      </c>
      <c r="D43" s="247">
        <f>+IF($S$4="ex-ante",IF(D$37&lt;=($R$4-2),IF($B43&lt;=($R$4),T4B!H152,0),0),IF($S$4="ex-post",IF(D$37&lt;=($R$4-1),IF($B43&lt;=($R$4+1),T4B!H152,0),0),0))</f>
        <v>0</v>
      </c>
      <c r="E43" s="247">
        <f>+IF($S$4="ex-ante",IF(E$37&lt;=($R$4-2),IF($B43&lt;=($R$4),T4B!I152,0),0),IF($S$4="ex-post",IF(E$37&lt;=($R$4-1),IF($B43&lt;=($R$4+1),T4B!I152,0),0),0))</f>
        <v>0</v>
      </c>
      <c r="F43" s="247">
        <f>+IF($S$4="ex-ante",IF(F$37&lt;=($R$4-2),IF($B43&lt;=($R$4),T4B!J152,0),0),IF($S$4="ex-post",IF(F$37&lt;=($R$4-1),IF($B43&lt;=($R$4+1),T4B!J152,0),0),0))</f>
        <v>0</v>
      </c>
      <c r="G43" s="261"/>
      <c r="H43" s="261"/>
      <c r="I43" s="261"/>
      <c r="J43" s="261"/>
      <c r="K43" s="261"/>
      <c r="L43" s="265"/>
      <c r="M43" s="244"/>
      <c r="N43" s="245">
        <f t="shared" si="6"/>
        <v>0</v>
      </c>
      <c r="O43" s="244"/>
      <c r="P43" s="263">
        <f t="shared" ref="P43:P46" si="8">SUM(N26,N43)</f>
        <v>0</v>
      </c>
      <c r="Q43" s="236"/>
      <c r="R43" s="177"/>
      <c r="S43" s="177"/>
      <c r="T43" s="177"/>
      <c r="U43" s="177"/>
      <c r="V43" s="177"/>
      <c r="W43" s="177"/>
      <c r="X43" s="177"/>
      <c r="Y43" s="177"/>
      <c r="Z43" s="177"/>
      <c r="AA43" s="177"/>
      <c r="AB43" s="177"/>
      <c r="AC43" s="177"/>
      <c r="AD43" s="177"/>
      <c r="AE43" s="177"/>
      <c r="AF43" s="177"/>
      <c r="AG43" s="177"/>
    </row>
    <row r="44" spans="1:33" s="178" customFormat="1" x14ac:dyDescent="0.2">
      <c r="A44" s="1092"/>
      <c r="B44" s="601">
        <f t="shared" si="7"/>
        <v>2021</v>
      </c>
      <c r="C44" s="247">
        <f>+IF($S$4="ex-ante",IF(C$37&lt;=($R$4-2),IF($B44&lt;=($R$4),T4B!G153,0),0),IF($S$4="ex-post",IF(C$37&lt;=($R$4-1),IF($B44&lt;=($R$4+1),T4B!G153,0),0),0))</f>
        <v>0</v>
      </c>
      <c r="D44" s="247">
        <f>+IF($S$4="ex-ante",IF(D$37&lt;=($R$4-2),IF($B44&lt;=($R$4),T4B!H153,0),0),IF($S$4="ex-post",IF(D$37&lt;=($R$4-1),IF($B44&lt;=($R$4+1),T4B!H153,0),0),0))</f>
        <v>0</v>
      </c>
      <c r="E44" s="247">
        <f>+IF($S$4="ex-ante",IF(E$37&lt;=($R$4-2),IF($B44&lt;=($R$4),T4B!I153,0),0),IF($S$4="ex-post",IF(E$37&lt;=($R$4-1),IF($B44&lt;=($R$4+1),T4B!I153,0),0),0))</f>
        <v>0</v>
      </c>
      <c r="F44" s="247">
        <f>+IF($S$4="ex-ante",IF(F$37&lt;=($R$4-2),IF($B44&lt;=($R$4),T4B!J153,0),0),IF($S$4="ex-post",IF(F$37&lt;=($R$4-1),IF($B44&lt;=($R$4+1),T4B!J153,0),0),0))</f>
        <v>0</v>
      </c>
      <c r="G44" s="247">
        <f>+IF($S$4="ex-ante",IF(G$37&lt;=($R$4-2),IF($B44&lt;=($R$4),T4B!K153,0),0),IF($S$4="ex-post",IF(G$37&lt;=($R$4-1),IF($B44&lt;=($R$4+1),T4B!K153,0),0),0))</f>
        <v>0</v>
      </c>
      <c r="H44" s="261"/>
      <c r="I44" s="261"/>
      <c r="J44" s="261"/>
      <c r="K44" s="261"/>
      <c r="L44" s="265"/>
      <c r="M44" s="244"/>
      <c r="N44" s="245">
        <f t="shared" si="6"/>
        <v>0</v>
      </c>
      <c r="O44" s="244"/>
      <c r="P44" s="263">
        <f t="shared" si="8"/>
        <v>0</v>
      </c>
      <c r="Q44" s="236"/>
      <c r="R44" s="177"/>
      <c r="S44" s="177"/>
      <c r="T44" s="177"/>
      <c r="U44" s="177"/>
      <c r="V44" s="177"/>
      <c r="W44" s="177"/>
      <c r="X44" s="177"/>
      <c r="Y44" s="177"/>
      <c r="Z44" s="177"/>
      <c r="AA44" s="177"/>
      <c r="AB44" s="177"/>
      <c r="AC44" s="177"/>
      <c r="AD44" s="177"/>
      <c r="AE44" s="177"/>
      <c r="AF44" s="177"/>
      <c r="AG44" s="177"/>
    </row>
    <row r="45" spans="1:33" s="178" customFormat="1" x14ac:dyDescent="0.2">
      <c r="A45" s="1092"/>
      <c r="B45" s="601">
        <f t="shared" si="7"/>
        <v>2022</v>
      </c>
      <c r="C45" s="247">
        <f>+IF($S$4="ex-ante",IF(C$37&lt;=($R$4-2),IF($B45&lt;=($R$4),T4B!G154,0),0),IF($S$4="ex-post",IF(C$37&lt;=($R$4-1),IF($B45&lt;=($R$4+1),T4B!G154,0),0),0))</f>
        <v>0</v>
      </c>
      <c r="D45" s="247">
        <f>+IF($S$4="ex-ante",IF(D$37&lt;=($R$4-2),IF($B45&lt;=($R$4),T4B!H154,0),0),IF($S$4="ex-post",IF(D$37&lt;=($R$4-1),IF($B45&lt;=($R$4+1),T4B!H154,0),0),0))</f>
        <v>0</v>
      </c>
      <c r="E45" s="247">
        <f>+IF($S$4="ex-ante",IF(E$37&lt;=($R$4-2),IF($B45&lt;=($R$4),T4B!I154,0),0),IF($S$4="ex-post",IF(E$37&lt;=($R$4-1),IF($B45&lt;=($R$4+1),T4B!I154,0),0),0))</f>
        <v>0</v>
      </c>
      <c r="F45" s="247">
        <f>+IF($S$4="ex-ante",IF(F$37&lt;=($R$4-2),IF($B45&lt;=($R$4),T4B!J154,0),0),IF($S$4="ex-post",IF(F$37&lt;=($R$4-1),IF($B45&lt;=($R$4+1),T4B!J154,0),0),0))</f>
        <v>0</v>
      </c>
      <c r="G45" s="247">
        <f>+IF($S$4="ex-ante",IF(G$37&lt;=($R$4-2),IF($B45&lt;=($R$4),T4B!K154,0),0),IF($S$4="ex-post",IF(G$37&lt;=($R$4-1),IF($B45&lt;=($R$4+1),T4B!K154,0),0),0))</f>
        <v>0</v>
      </c>
      <c r="H45" s="247">
        <f>+IF($S$4="ex-ante",IF(H$37&lt;=($R$4-2),IF($B45&lt;=($R$4),T4B!L154,0),0),IF($S$4="ex-post",IF(H$37&lt;=($R$4-1),IF($B45&lt;=($R$4+1),T4B!L154,0),0),0))</f>
        <v>0</v>
      </c>
      <c r="I45" s="261"/>
      <c r="J45" s="261"/>
      <c r="K45" s="261"/>
      <c r="L45" s="265"/>
      <c r="M45" s="244"/>
      <c r="N45" s="245">
        <f t="shared" si="6"/>
        <v>0</v>
      </c>
      <c r="O45" s="244"/>
      <c r="P45" s="263">
        <f t="shared" si="8"/>
        <v>0</v>
      </c>
      <c r="Q45" s="236"/>
      <c r="R45" s="177"/>
      <c r="S45" s="177"/>
      <c r="T45" s="177"/>
      <c r="U45" s="177"/>
      <c r="V45" s="177"/>
      <c r="W45" s="177"/>
      <c r="X45" s="177"/>
      <c r="Y45" s="177"/>
      <c r="Z45" s="177"/>
      <c r="AA45" s="177"/>
      <c r="AB45" s="177"/>
      <c r="AC45" s="177"/>
      <c r="AD45" s="177"/>
      <c r="AE45" s="177"/>
      <c r="AF45" s="177"/>
      <c r="AG45" s="177"/>
    </row>
    <row r="46" spans="1:33" s="178" customFormat="1" x14ac:dyDescent="0.2">
      <c r="A46" s="1092"/>
      <c r="B46" s="601">
        <f t="shared" si="7"/>
        <v>2023</v>
      </c>
      <c r="C46" s="261"/>
      <c r="D46" s="261"/>
      <c r="E46" s="261"/>
      <c r="F46" s="261"/>
      <c r="G46" s="261"/>
      <c r="H46" s="247">
        <f>+IF($S$4="ex-ante",IF(H$37&lt;=($R$4-2),IF($B46&lt;=($R$4),T4B!L155,0),0),IF($S$4="ex-post",IF(H$37&lt;=($R$4-1),IF($B46&lt;=($R$4+1),T4B!L155,0),0),0))</f>
        <v>0</v>
      </c>
      <c r="I46" s="247">
        <f>+IF($S$4="ex-ante",IF(I$37&lt;=($R$4-2),IF($B46&lt;=($R$4),T4B!M155,0),0),IF($S$4="ex-post",IF(I$37&lt;=($R$4-1),IF($B46&lt;=($R$4+1),T4B!M155,0),0),0))</f>
        <v>0</v>
      </c>
      <c r="J46" s="261"/>
      <c r="K46" s="261"/>
      <c r="L46" s="265"/>
      <c r="M46" s="244"/>
      <c r="N46" s="245">
        <f t="shared" si="6"/>
        <v>0</v>
      </c>
      <c r="O46" s="244"/>
      <c r="P46" s="263">
        <f t="shared" si="8"/>
        <v>0</v>
      </c>
      <c r="Q46" s="236"/>
      <c r="R46" s="177"/>
      <c r="S46" s="177"/>
      <c r="T46" s="177"/>
      <c r="U46" s="177"/>
      <c r="V46" s="177"/>
      <c r="W46" s="177"/>
      <c r="X46" s="177"/>
      <c r="Y46" s="177"/>
      <c r="Z46" s="177"/>
      <c r="AA46" s="177"/>
      <c r="AB46" s="177"/>
      <c r="AC46" s="177"/>
      <c r="AD46" s="177"/>
      <c r="AE46" s="177"/>
      <c r="AF46" s="177"/>
      <c r="AG46" s="177"/>
    </row>
    <row r="47" spans="1:33" s="178" customFormat="1" x14ac:dyDescent="0.2">
      <c r="A47" s="1092"/>
      <c r="B47" s="601">
        <f t="shared" ref="B47" si="9">B30</f>
        <v>2024</v>
      </c>
      <c r="C47" s="261"/>
      <c r="D47" s="261"/>
      <c r="E47" s="261"/>
      <c r="F47" s="261"/>
      <c r="G47" s="261"/>
      <c r="H47" s="261"/>
      <c r="I47" s="247">
        <f>+IF($S$4="ex-ante",IF(I$37&lt;=($R$4-2),IF($B47&lt;=($R$4),T4B!M156,0),0),IF($S$4="ex-post",IF(I$37&lt;=($R$4-1),IF($B47&lt;=($R$4+1),T4B!M156,0),0),0))</f>
        <v>0</v>
      </c>
      <c r="J47" s="247">
        <f>+IF($S$4="ex-ante",IF(J$37&lt;=($R$4-2),IF($B47&lt;=($R$4),T4B!N156,0),0),IF($S$4="ex-post",IF(J$37&lt;=($R$4-1),IF($B47&lt;=($R$4+1),T4B!N156,0),0),0))</f>
        <v>0</v>
      </c>
      <c r="K47" s="261"/>
      <c r="L47" s="265"/>
      <c r="M47" s="244"/>
      <c r="N47" s="245">
        <f t="shared" si="6"/>
        <v>0</v>
      </c>
      <c r="O47" s="244"/>
      <c r="P47" s="263">
        <f t="shared" ref="P47" si="10">SUM(N30,N47)</f>
        <v>0</v>
      </c>
      <c r="Q47" s="236"/>
      <c r="R47" s="177"/>
      <c r="S47" s="177"/>
      <c r="T47" s="177"/>
      <c r="U47" s="177"/>
      <c r="V47" s="177"/>
      <c r="W47" s="177"/>
      <c r="X47" s="177"/>
      <c r="Y47" s="177"/>
      <c r="Z47" s="177"/>
      <c r="AA47" s="177"/>
      <c r="AB47" s="177"/>
      <c r="AC47" s="177"/>
      <c r="AD47" s="177"/>
      <c r="AE47" s="177"/>
      <c r="AF47" s="177"/>
      <c r="AG47" s="177"/>
    </row>
    <row r="48" spans="1:33" s="256" customFormat="1" ht="15.75" x14ac:dyDescent="0.2">
      <c r="A48" s="1093"/>
      <c r="B48" s="602" t="s">
        <v>22</v>
      </c>
      <c r="C48" s="327">
        <f t="shared" ref="C48:L48" si="11">SUM(C38:C47)</f>
        <v>0</v>
      </c>
      <c r="D48" s="327">
        <f t="shared" si="11"/>
        <v>0</v>
      </c>
      <c r="E48" s="327">
        <f t="shared" si="11"/>
        <v>0</v>
      </c>
      <c r="F48" s="327">
        <f>SUM(F38:F47)</f>
        <v>0</v>
      </c>
      <c r="G48" s="327">
        <f t="shared" si="11"/>
        <v>0</v>
      </c>
      <c r="H48" s="327">
        <f t="shared" si="11"/>
        <v>0</v>
      </c>
      <c r="I48" s="327">
        <f t="shared" si="11"/>
        <v>0</v>
      </c>
      <c r="J48" s="327">
        <f t="shared" si="11"/>
        <v>0</v>
      </c>
      <c r="K48" s="327">
        <f t="shared" si="11"/>
        <v>0</v>
      </c>
      <c r="L48" s="327">
        <f t="shared" si="11"/>
        <v>0</v>
      </c>
      <c r="M48" s="244"/>
      <c r="N48" s="254">
        <f>SUM(N38:N47)</f>
        <v>0</v>
      </c>
      <c r="O48" s="253"/>
      <c r="P48" s="254">
        <f>SUM(P38:P47)</f>
        <v>0</v>
      </c>
      <c r="Q48" s="255"/>
      <c r="R48" s="255"/>
      <c r="S48" s="255"/>
      <c r="T48" s="255"/>
      <c r="U48" s="255"/>
      <c r="V48" s="255"/>
      <c r="W48" s="255"/>
      <c r="X48" s="255"/>
      <c r="Y48" s="255"/>
      <c r="Z48" s="255"/>
      <c r="AA48" s="255"/>
      <c r="AB48" s="255"/>
      <c r="AC48" s="255"/>
      <c r="AD48" s="255"/>
      <c r="AE48" s="255"/>
      <c r="AF48" s="255"/>
      <c r="AG48" s="255"/>
    </row>
    <row r="49" spans="1:33" x14ac:dyDescent="0.2">
      <c r="A49" s="603"/>
      <c r="B49" s="603"/>
      <c r="M49" s="244"/>
    </row>
    <row r="51" spans="1:33" ht="13.5" thickBot="1" x14ac:dyDescent="0.25"/>
    <row r="52" spans="1:33" s="178" customFormat="1" ht="22.5" customHeight="1" thickBot="1" x14ac:dyDescent="0.25">
      <c r="A52" s="1077" t="s">
        <v>142</v>
      </c>
      <c r="B52" s="1078"/>
      <c r="C52" s="1078"/>
      <c r="D52" s="1078"/>
      <c r="E52" s="1078"/>
      <c r="F52" s="1078"/>
      <c r="G52" s="1078"/>
      <c r="H52" s="1078"/>
      <c r="I52" s="1078"/>
      <c r="J52" s="1078"/>
      <c r="K52" s="1078"/>
      <c r="L52" s="1078"/>
      <c r="M52" s="1078"/>
      <c r="N52" s="1079"/>
      <c r="P52" s="177"/>
      <c r="Q52" s="177"/>
      <c r="R52" s="177"/>
      <c r="S52" s="177"/>
      <c r="T52" s="177"/>
      <c r="U52" s="177"/>
      <c r="V52" s="177"/>
      <c r="W52" s="177"/>
      <c r="X52" s="177"/>
      <c r="Y52" s="177"/>
      <c r="Z52" s="177"/>
      <c r="AA52" s="177"/>
      <c r="AB52" s="177"/>
      <c r="AC52" s="177"/>
      <c r="AD52" s="177"/>
      <c r="AE52" s="177"/>
      <c r="AF52" s="177"/>
      <c r="AG52" s="177"/>
    </row>
    <row r="54" spans="1:33" x14ac:dyDescent="0.2">
      <c r="C54" s="233" t="s">
        <v>131</v>
      </c>
    </row>
    <row r="55" spans="1:33" x14ac:dyDescent="0.2">
      <c r="C55" s="233" t="s">
        <v>30</v>
      </c>
    </row>
    <row r="56" spans="1:33" ht="16.5" x14ac:dyDescent="0.2">
      <c r="C56" s="1085" t="s">
        <v>19</v>
      </c>
      <c r="D56" s="1086"/>
      <c r="E56" s="1086"/>
      <c r="F56" s="1086"/>
      <c r="G56" s="1086"/>
      <c r="H56" s="1086"/>
      <c r="I56" s="1086"/>
      <c r="J56" s="1086"/>
      <c r="K56" s="1086"/>
      <c r="L56" s="1087"/>
    </row>
    <row r="57" spans="1:33" x14ac:dyDescent="0.2">
      <c r="C57" s="239">
        <f t="shared" ref="C57:L57" si="12">C37</f>
        <v>2015</v>
      </c>
      <c r="D57" s="239">
        <f t="shared" si="12"/>
        <v>2016</v>
      </c>
      <c r="E57" s="239">
        <f t="shared" si="12"/>
        <v>2017</v>
      </c>
      <c r="F57" s="239">
        <f t="shared" si="12"/>
        <v>2018</v>
      </c>
      <c r="G57" s="239">
        <f t="shared" si="12"/>
        <v>2019</v>
      </c>
      <c r="H57" s="239">
        <f t="shared" si="12"/>
        <v>2020</v>
      </c>
      <c r="I57" s="239">
        <f t="shared" si="12"/>
        <v>2021</v>
      </c>
      <c r="J57" s="239">
        <f t="shared" si="12"/>
        <v>2022</v>
      </c>
      <c r="K57" s="239">
        <f t="shared" si="12"/>
        <v>2023</v>
      </c>
      <c r="L57" s="239">
        <f t="shared" si="12"/>
        <v>2024</v>
      </c>
      <c r="N57" s="93" t="s">
        <v>20</v>
      </c>
    </row>
    <row r="58" spans="1:33" x14ac:dyDescent="0.2">
      <c r="A58" s="1088" t="s">
        <v>358</v>
      </c>
      <c r="B58" s="267">
        <f>B38</f>
        <v>2015</v>
      </c>
      <c r="C58" s="247">
        <f>+C21</f>
        <v>0</v>
      </c>
      <c r="D58" s="268"/>
      <c r="E58" s="261"/>
      <c r="F58" s="261"/>
      <c r="G58" s="261"/>
      <c r="H58" s="261"/>
      <c r="I58" s="261"/>
      <c r="J58" s="261"/>
      <c r="K58" s="261"/>
      <c r="L58" s="262"/>
      <c r="N58" s="269">
        <f t="shared" ref="N58:N67" si="13">SUM(C58:L58)</f>
        <v>0</v>
      </c>
    </row>
    <row r="59" spans="1:33" x14ac:dyDescent="0.2">
      <c r="A59" s="1089"/>
      <c r="B59" s="239">
        <f>B39</f>
        <v>2016</v>
      </c>
      <c r="C59" s="247">
        <f>+C58+C39+C22</f>
        <v>0</v>
      </c>
      <c r="D59" s="247">
        <f>+D22</f>
        <v>0</v>
      </c>
      <c r="E59" s="270"/>
      <c r="F59" s="270"/>
      <c r="G59" s="270"/>
      <c r="H59" s="270"/>
      <c r="I59" s="270"/>
      <c r="J59" s="270"/>
      <c r="K59" s="270"/>
      <c r="L59" s="271"/>
      <c r="N59" s="269">
        <f t="shared" si="13"/>
        <v>0</v>
      </c>
    </row>
    <row r="60" spans="1:33" x14ac:dyDescent="0.2">
      <c r="A60" s="1089"/>
      <c r="B60" s="239">
        <f>B40</f>
        <v>2017</v>
      </c>
      <c r="C60" s="247">
        <f>+C59+C40+C23</f>
        <v>0</v>
      </c>
      <c r="D60" s="247">
        <f>+D59+D40+D23</f>
        <v>0</v>
      </c>
      <c r="E60" s="247">
        <f>+E23</f>
        <v>0</v>
      </c>
      <c r="F60" s="270"/>
      <c r="G60" s="270"/>
      <c r="H60" s="270"/>
      <c r="I60" s="270"/>
      <c r="J60" s="270"/>
      <c r="K60" s="270"/>
      <c r="L60" s="271"/>
      <c r="N60" s="269">
        <f t="shared" si="13"/>
        <v>0</v>
      </c>
    </row>
    <row r="61" spans="1:33" x14ac:dyDescent="0.2">
      <c r="A61" s="1089"/>
      <c r="B61" s="239">
        <f>B41</f>
        <v>2018</v>
      </c>
      <c r="C61" s="247">
        <f>+C60+C41+C24</f>
        <v>0</v>
      </c>
      <c r="D61" s="247">
        <f>+D60+D41+D24</f>
        <v>0</v>
      </c>
      <c r="E61" s="247">
        <f>+E60+E41+E24</f>
        <v>0</v>
      </c>
      <c r="F61" s="247">
        <f>+F24</f>
        <v>0</v>
      </c>
      <c r="G61" s="270"/>
      <c r="H61" s="270"/>
      <c r="I61" s="270"/>
      <c r="J61" s="270"/>
      <c r="K61" s="270"/>
      <c r="L61" s="271"/>
      <c r="N61" s="269">
        <f t="shared" si="13"/>
        <v>0</v>
      </c>
    </row>
    <row r="62" spans="1:33" x14ac:dyDescent="0.2">
      <c r="A62" s="1089"/>
      <c r="B62" s="239">
        <f>B42</f>
        <v>2019</v>
      </c>
      <c r="C62" s="247">
        <f>+C61+C42+C25</f>
        <v>0</v>
      </c>
      <c r="D62" s="247">
        <f>+D61+D42+D25</f>
        <v>0</v>
      </c>
      <c r="E62" s="247">
        <f>+E61+E42+E25</f>
        <v>0</v>
      </c>
      <c r="F62" s="247">
        <f>+F61+F42+F25</f>
        <v>0</v>
      </c>
      <c r="G62" s="247">
        <f>+G25</f>
        <v>0</v>
      </c>
      <c r="H62" s="270"/>
      <c r="I62" s="270"/>
      <c r="J62" s="270"/>
      <c r="K62" s="270"/>
      <c r="L62" s="271"/>
      <c r="N62" s="269">
        <f t="shared" si="13"/>
        <v>0</v>
      </c>
    </row>
    <row r="63" spans="1:33" x14ac:dyDescent="0.2">
      <c r="A63" s="1089"/>
      <c r="B63" s="267">
        <f t="shared" ref="B63:B66" si="14">B43</f>
        <v>2020</v>
      </c>
      <c r="C63" s="247">
        <f t="shared" ref="C63:G63" si="15">+C62+C43+C26</f>
        <v>0</v>
      </c>
      <c r="D63" s="247">
        <f t="shared" si="15"/>
        <v>0</v>
      </c>
      <c r="E63" s="247">
        <f t="shared" si="15"/>
        <v>0</v>
      </c>
      <c r="F63" s="247">
        <f t="shared" si="15"/>
        <v>0</v>
      </c>
      <c r="G63" s="247">
        <f t="shared" si="15"/>
        <v>0</v>
      </c>
      <c r="H63" s="247">
        <f t="shared" ref="H63:J65" si="16">+H26</f>
        <v>0</v>
      </c>
      <c r="I63" s="270"/>
      <c r="J63" s="270"/>
      <c r="K63" s="270"/>
      <c r="L63" s="271"/>
      <c r="N63" s="269">
        <f t="shared" si="13"/>
        <v>0</v>
      </c>
    </row>
    <row r="64" spans="1:33" x14ac:dyDescent="0.2">
      <c r="A64" s="1089"/>
      <c r="B64" s="267">
        <f t="shared" si="14"/>
        <v>2021</v>
      </c>
      <c r="C64" s="247">
        <f t="shared" ref="C64:H64" si="17">+C63+C44+C27</f>
        <v>0</v>
      </c>
      <c r="D64" s="247">
        <f t="shared" si="17"/>
        <v>0</v>
      </c>
      <c r="E64" s="247">
        <f t="shared" si="17"/>
        <v>0</v>
      </c>
      <c r="F64" s="247">
        <f t="shared" si="17"/>
        <v>0</v>
      </c>
      <c r="G64" s="247">
        <f t="shared" si="17"/>
        <v>0</v>
      </c>
      <c r="H64" s="247">
        <f t="shared" si="17"/>
        <v>0</v>
      </c>
      <c r="I64" s="247">
        <f t="shared" si="16"/>
        <v>0</v>
      </c>
      <c r="J64" s="270"/>
      <c r="K64" s="270"/>
      <c r="L64" s="271"/>
      <c r="N64" s="269">
        <f t="shared" si="13"/>
        <v>0</v>
      </c>
    </row>
    <row r="65" spans="1:14" x14ac:dyDescent="0.2">
      <c r="A65" s="1089"/>
      <c r="B65" s="267">
        <f t="shared" si="14"/>
        <v>2022</v>
      </c>
      <c r="C65" s="247">
        <f t="shared" ref="C65:K67" si="18">+C64+C45+C28</f>
        <v>0</v>
      </c>
      <c r="D65" s="247">
        <f t="shared" si="18"/>
        <v>0</v>
      </c>
      <c r="E65" s="247">
        <f t="shared" si="18"/>
        <v>0</v>
      </c>
      <c r="F65" s="247">
        <f t="shared" si="18"/>
        <v>0</v>
      </c>
      <c r="G65" s="247">
        <f t="shared" si="18"/>
        <v>0</v>
      </c>
      <c r="H65" s="247">
        <f t="shared" si="18"/>
        <v>0</v>
      </c>
      <c r="I65" s="247">
        <f t="shared" si="18"/>
        <v>0</v>
      </c>
      <c r="J65" s="247">
        <f t="shared" si="16"/>
        <v>0</v>
      </c>
      <c r="K65" s="270"/>
      <c r="L65" s="271"/>
      <c r="N65" s="269">
        <f t="shared" si="13"/>
        <v>0</v>
      </c>
    </row>
    <row r="66" spans="1:14" x14ac:dyDescent="0.2">
      <c r="A66" s="1089"/>
      <c r="B66" s="267">
        <f t="shared" si="14"/>
        <v>2023</v>
      </c>
      <c r="C66" s="283"/>
      <c r="D66" s="270"/>
      <c r="E66" s="270"/>
      <c r="F66" s="270"/>
      <c r="G66" s="270"/>
      <c r="H66" s="247">
        <f t="shared" si="18"/>
        <v>0</v>
      </c>
      <c r="I66" s="247">
        <f t="shared" si="18"/>
        <v>0</v>
      </c>
      <c r="J66" s="247">
        <f t="shared" si="18"/>
        <v>0</v>
      </c>
      <c r="K66" s="247">
        <f>+K29</f>
        <v>0</v>
      </c>
      <c r="L66" s="271"/>
      <c r="N66" s="269">
        <f t="shared" si="13"/>
        <v>0</v>
      </c>
    </row>
    <row r="67" spans="1:14" x14ac:dyDescent="0.2">
      <c r="A67" s="1090"/>
      <c r="B67" s="239">
        <f t="shared" ref="B67" si="19">B47</f>
        <v>2024</v>
      </c>
      <c r="C67" s="284"/>
      <c r="D67" s="285"/>
      <c r="E67" s="285"/>
      <c r="F67" s="285"/>
      <c r="G67" s="285"/>
      <c r="H67" s="285"/>
      <c r="I67" s="247">
        <f t="shared" si="18"/>
        <v>0</v>
      </c>
      <c r="J67" s="247">
        <f t="shared" si="18"/>
        <v>0</v>
      </c>
      <c r="K67" s="247">
        <f t="shared" si="18"/>
        <v>0</v>
      </c>
      <c r="L67" s="247">
        <f>+L30</f>
        <v>0</v>
      </c>
      <c r="N67" s="269">
        <f t="shared" si="13"/>
        <v>0</v>
      </c>
    </row>
    <row r="68" spans="1:14" x14ac:dyDescent="0.2">
      <c r="C68" s="233"/>
    </row>
    <row r="69" spans="1:14" x14ac:dyDescent="0.2">
      <c r="C69" s="233"/>
    </row>
  </sheetData>
  <sheetProtection algorithmName="SHA-512" hashValue="8uAO8L2dtrHBu6tTF4BiTP0L+iemxsjpZ0LC8+FGI4ORReJ9f29H9PLF/FplGCksWuygz0am698ilCIWds8Xnw==" saltValue="1paZ4r2FpLAs6AS//v1c3Q==" spinCount="100000" sheet="1" objects="1" scenarios="1"/>
  <customSheetViews>
    <customSheetView guid="{C8C7977F-B6BF-432B-A1A7-559450D521AF}" scale="80">
      <selection activeCell="C25" sqref="C25"/>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15">
    <mergeCell ref="C56:L56"/>
    <mergeCell ref="A58:A67"/>
    <mergeCell ref="C36:L36"/>
    <mergeCell ref="A38:A48"/>
    <mergeCell ref="C19:L19"/>
    <mergeCell ref="A20:B20"/>
    <mergeCell ref="A21:A31"/>
    <mergeCell ref="A52:N52"/>
    <mergeCell ref="A1:P1"/>
    <mergeCell ref="A4:N4"/>
    <mergeCell ref="C8:L8"/>
    <mergeCell ref="A15:N15"/>
    <mergeCell ref="O15:P15"/>
    <mergeCell ref="C6:L6"/>
    <mergeCell ref="C7:L7"/>
  </mergeCells>
  <pageMargins left="0.78740157480314965" right="0.78740157480314965" top="0.98425196850393704" bottom="0.98425196850393704" header="0.51181102362204722" footer="0.51181102362204722"/>
  <pageSetup paperSize="8" scale="88" orientation="landscape" r:id="rId2"/>
  <headerFooter alignWithMargins="0">
    <oddFooter>&amp;CPage &amp;P</oddFooter>
  </headerFooter>
  <ignoredErrors>
    <ignoredError sqref="N37 P37" numberStoredAsText="1"/>
    <ignoredError sqref="L48 C48:G48 N38:N42"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6"/>
  <dimension ref="A1:V911"/>
  <sheetViews>
    <sheetView zoomScale="80" zoomScaleNormal="80" workbookViewId="0">
      <selection activeCell="C371" sqref="C371"/>
    </sheetView>
  </sheetViews>
  <sheetFormatPr defaultColWidth="9.140625" defaultRowHeight="12.75" x14ac:dyDescent="0.2"/>
  <cols>
    <col min="1" max="1" width="2.42578125" style="166" customWidth="1"/>
    <col min="2" max="2" width="9.140625" style="166"/>
    <col min="3" max="3" width="19" style="166" customWidth="1"/>
    <col min="4" max="4" width="12.85546875" style="166" customWidth="1"/>
    <col min="5" max="5" width="24.28515625" style="166" customWidth="1"/>
    <col min="6" max="6" width="9.42578125" style="166" customWidth="1"/>
    <col min="7" max="16" width="30.7109375" style="166" customWidth="1"/>
    <col min="17" max="17" width="2.140625" style="203" customWidth="1"/>
    <col min="18" max="18" width="30.7109375" style="166" customWidth="1"/>
    <col min="19" max="16384" width="9.140625" style="166"/>
  </cols>
  <sheetData>
    <row r="1" spans="1:22" ht="25.5" customHeight="1" thickBot="1" x14ac:dyDescent="0.25">
      <c r="A1" s="1028" t="s">
        <v>345</v>
      </c>
      <c r="B1" s="1029"/>
      <c r="C1" s="1029"/>
      <c r="D1" s="1029"/>
      <c r="E1" s="1029"/>
      <c r="F1" s="1029"/>
      <c r="G1" s="1029"/>
      <c r="H1" s="1029"/>
      <c r="I1" s="1029"/>
      <c r="J1" s="1030"/>
      <c r="K1" s="287"/>
      <c r="L1" s="288"/>
      <c r="M1" s="288"/>
      <c r="N1" s="288"/>
      <c r="O1" s="288"/>
      <c r="P1" s="288"/>
      <c r="Q1" s="288"/>
      <c r="S1" s="289"/>
      <c r="T1" s="289"/>
      <c r="U1" s="289"/>
      <c r="V1" s="289"/>
    </row>
    <row r="2" spans="1:22" x14ac:dyDescent="0.2">
      <c r="B2" s="203" t="str">
        <f>+TITELBLAD!B16</f>
        <v>Rapportering over boekjaar:</v>
      </c>
      <c r="C2" s="203"/>
      <c r="D2" s="203">
        <f>+TITELBLAD!E16</f>
        <v>2022</v>
      </c>
      <c r="E2" s="203" t="str">
        <f>+TITELBLAD!F16</f>
        <v>ex-ante</v>
      </c>
      <c r="F2" s="291"/>
      <c r="G2" s="291"/>
      <c r="H2" s="290"/>
      <c r="I2" s="226"/>
      <c r="J2" s="225"/>
      <c r="K2" s="226"/>
      <c r="L2" s="226"/>
      <c r="M2" s="226"/>
      <c r="N2" s="226"/>
      <c r="O2" s="226"/>
      <c r="P2" s="226"/>
      <c r="Q2" s="291"/>
      <c r="R2" s="226"/>
    </row>
    <row r="3" spans="1:22" ht="13.5" thickBot="1" x14ac:dyDescent="0.25">
      <c r="B3" s="292" t="s">
        <v>15</v>
      </c>
      <c r="H3" s="233"/>
      <c r="I3" s="225"/>
      <c r="J3" s="225"/>
      <c r="K3" s="226"/>
      <c r="L3" s="226"/>
      <c r="M3" s="226"/>
      <c r="N3" s="226"/>
      <c r="O3" s="226"/>
      <c r="P3" s="226"/>
      <c r="Q3" s="291"/>
      <c r="R3" s="226"/>
    </row>
    <row r="4" spans="1:22" ht="13.5" thickBot="1" x14ac:dyDescent="0.25">
      <c r="B4" s="1051" t="str">
        <f>+TITELBLAD!C7</f>
        <v>NAAM DNB</v>
      </c>
      <c r="C4" s="1052"/>
      <c r="D4" s="1052"/>
      <c r="E4" s="1053"/>
      <c r="H4" s="233"/>
      <c r="I4" s="225"/>
      <c r="J4" s="225"/>
      <c r="K4" s="226"/>
      <c r="L4" s="226"/>
      <c r="M4" s="226"/>
      <c r="N4" s="226"/>
      <c r="O4" s="226"/>
      <c r="P4" s="226"/>
      <c r="Q4" s="291"/>
      <c r="R4" s="226"/>
    </row>
    <row r="5" spans="1:22" x14ac:dyDescent="0.2">
      <c r="H5" s="233"/>
      <c r="I5" s="225"/>
      <c r="J5" s="225"/>
      <c r="K5" s="226"/>
      <c r="L5" s="226"/>
      <c r="M5" s="226"/>
      <c r="N5" s="226"/>
      <c r="O5" s="226"/>
      <c r="P5" s="226"/>
      <c r="Q5" s="291"/>
      <c r="R5" s="226"/>
    </row>
    <row r="6" spans="1:22" ht="13.5" thickBot="1" x14ac:dyDescent="0.25">
      <c r="B6" s="292" t="s">
        <v>16</v>
      </c>
      <c r="H6" s="233"/>
      <c r="I6" s="225"/>
      <c r="J6" s="225"/>
      <c r="K6" s="226"/>
      <c r="L6" s="226"/>
      <c r="M6" s="226"/>
      <c r="N6" s="226"/>
      <c r="O6" s="226"/>
      <c r="P6" s="226"/>
      <c r="Q6" s="291"/>
      <c r="R6" s="226"/>
    </row>
    <row r="7" spans="1:22" ht="13.5" thickBot="1" x14ac:dyDescent="0.25">
      <c r="B7" s="1054" t="str">
        <f>+TITELBLAD!C10</f>
        <v>gas</v>
      </c>
      <c r="C7" s="1055"/>
      <c r="D7" s="1055"/>
      <c r="E7" s="1056"/>
      <c r="H7" s="233"/>
      <c r="I7" s="225"/>
      <c r="J7" s="225"/>
      <c r="K7" s="226"/>
      <c r="L7" s="226"/>
      <c r="M7" s="226"/>
      <c r="N7" s="226"/>
      <c r="O7" s="226"/>
      <c r="P7" s="226"/>
      <c r="Q7" s="291"/>
      <c r="R7" s="226"/>
    </row>
    <row r="8" spans="1:22" x14ac:dyDescent="0.2">
      <c r="H8" s="233"/>
      <c r="I8" s="225"/>
      <c r="J8" s="225"/>
      <c r="K8" s="226"/>
      <c r="L8" s="226"/>
      <c r="M8" s="226"/>
      <c r="N8" s="226"/>
      <c r="O8" s="226"/>
      <c r="P8" s="226"/>
      <c r="Q8" s="291"/>
      <c r="R8" s="226"/>
    </row>
    <row r="9" spans="1:22" x14ac:dyDescent="0.2">
      <c r="K9" s="291"/>
      <c r="L9" s="291"/>
      <c r="M9" s="291"/>
      <c r="N9" s="291"/>
      <c r="O9" s="291"/>
      <c r="P9" s="291"/>
      <c r="Q9" s="291"/>
      <c r="R9" s="291"/>
    </row>
    <row r="10" spans="1:22" x14ac:dyDescent="0.2">
      <c r="K10" s="291"/>
      <c r="L10" s="291"/>
      <c r="M10" s="291"/>
      <c r="N10" s="291"/>
      <c r="O10" s="291"/>
      <c r="P10" s="291"/>
      <c r="Q10" s="291"/>
      <c r="R10" s="291"/>
    </row>
    <row r="11" spans="1:22" x14ac:dyDescent="0.2">
      <c r="G11" s="293" t="s">
        <v>41</v>
      </c>
      <c r="H11" s="294"/>
      <c r="I11" s="295"/>
      <c r="K11" s="291"/>
      <c r="L11" s="291"/>
      <c r="M11" s="291"/>
      <c r="N11" s="291"/>
      <c r="O11" s="291"/>
      <c r="P11" s="291"/>
      <c r="Q11" s="291"/>
      <c r="R11" s="291"/>
    </row>
    <row r="12" spans="1:22" x14ac:dyDescent="0.2">
      <c r="G12" s="236" t="s">
        <v>133</v>
      </c>
      <c r="H12" s="294"/>
      <c r="I12" s="295"/>
    </row>
    <row r="13" spans="1:22" ht="60" customHeight="1" x14ac:dyDescent="0.2">
      <c r="B13" s="1101" t="s">
        <v>346</v>
      </c>
      <c r="C13" s="1102"/>
      <c r="D13" s="1102"/>
      <c r="E13" s="1103"/>
      <c r="F13" s="167"/>
      <c r="G13" s="165">
        <v>2015</v>
      </c>
      <c r="H13" s="165">
        <f>+G13+1</f>
        <v>2016</v>
      </c>
      <c r="I13" s="165">
        <f>+H13+1</f>
        <v>2017</v>
      </c>
      <c r="J13" s="165">
        <f>+I13+1</f>
        <v>2018</v>
      </c>
      <c r="K13" s="165">
        <f>+J13+1</f>
        <v>2019</v>
      </c>
      <c r="L13" s="165">
        <f t="shared" ref="L13:P13" si="0">+K13+1</f>
        <v>2020</v>
      </c>
      <c r="M13" s="165">
        <f t="shared" si="0"/>
        <v>2021</v>
      </c>
      <c r="N13" s="165">
        <f t="shared" si="0"/>
        <v>2022</v>
      </c>
      <c r="O13" s="165">
        <f t="shared" si="0"/>
        <v>2023</v>
      </c>
      <c r="P13" s="165">
        <f t="shared" si="0"/>
        <v>2024</v>
      </c>
      <c r="R13" s="165" t="s">
        <v>20</v>
      </c>
    </row>
    <row r="14" spans="1:22" s="296" customFormat="1" ht="12" customHeight="1" x14ac:dyDescent="0.2">
      <c r="B14" s="297"/>
      <c r="C14" s="297"/>
      <c r="D14" s="297"/>
      <c r="E14" s="297"/>
      <c r="F14" s="298"/>
      <c r="G14" s="299"/>
      <c r="H14" s="220"/>
      <c r="I14" s="220"/>
      <c r="Q14" s="300"/>
    </row>
    <row r="15" spans="1:22" ht="24" customHeight="1" x14ac:dyDescent="0.2">
      <c r="B15" s="1111" t="s">
        <v>201</v>
      </c>
      <c r="C15" s="1111"/>
      <c r="D15" s="1111"/>
      <c r="E15" s="1111"/>
      <c r="F15" s="167"/>
      <c r="G15" s="207">
        <v>0</v>
      </c>
      <c r="H15" s="207">
        <v>0</v>
      </c>
      <c r="I15" s="207">
        <v>0</v>
      </c>
      <c r="J15" s="207">
        <v>0</v>
      </c>
      <c r="K15" s="207">
        <v>0</v>
      </c>
      <c r="L15" s="207">
        <v>0</v>
      </c>
      <c r="M15" s="207">
        <v>0</v>
      </c>
      <c r="N15" s="207">
        <v>0</v>
      </c>
      <c r="O15" s="207">
        <v>0</v>
      </c>
      <c r="P15" s="207">
        <v>0</v>
      </c>
      <c r="R15" s="803">
        <f>SUM(G15:P15)</f>
        <v>0</v>
      </c>
    </row>
    <row r="16" spans="1:22" ht="24" customHeight="1" x14ac:dyDescent="0.2">
      <c r="B16" s="1111" t="s">
        <v>347</v>
      </c>
      <c r="C16" s="1111"/>
      <c r="D16" s="1111"/>
      <c r="E16" s="1111"/>
      <c r="F16" s="167"/>
      <c r="G16" s="335"/>
      <c r="H16" s="335"/>
      <c r="I16" s="335"/>
      <c r="J16" s="335"/>
      <c r="K16" s="335"/>
      <c r="L16" s="335"/>
      <c r="M16" s="335"/>
      <c r="N16" s="207">
        <v>0</v>
      </c>
      <c r="O16" s="207">
        <v>0</v>
      </c>
      <c r="P16" s="207">
        <v>0</v>
      </c>
      <c r="R16" s="803">
        <f>SUM(N16:P16)</f>
        <v>0</v>
      </c>
    </row>
    <row r="17" spans="2:18" ht="24" customHeight="1" x14ac:dyDescent="0.2">
      <c r="B17" s="1111" t="s">
        <v>66</v>
      </c>
      <c r="C17" s="1111"/>
      <c r="D17" s="1111"/>
      <c r="E17" s="1111"/>
      <c r="F17" s="167"/>
      <c r="G17" s="207">
        <v>0</v>
      </c>
      <c r="H17" s="207">
        <v>0</v>
      </c>
      <c r="I17" s="207">
        <v>0</v>
      </c>
      <c r="J17" s="207">
        <v>0</v>
      </c>
      <c r="K17" s="207">
        <v>0</v>
      </c>
      <c r="L17" s="207">
        <v>0</v>
      </c>
      <c r="M17" s="207">
        <v>0</v>
      </c>
      <c r="N17" s="207">
        <v>0</v>
      </c>
      <c r="O17" s="207">
        <v>0</v>
      </c>
      <c r="P17" s="207">
        <v>0</v>
      </c>
      <c r="R17" s="803">
        <f t="shared" ref="R17:R20" si="1">SUM(G17:P17)</f>
        <v>0</v>
      </c>
    </row>
    <row r="18" spans="2:18" ht="24" customHeight="1" x14ac:dyDescent="0.2">
      <c r="B18" s="1111" t="s">
        <v>350</v>
      </c>
      <c r="C18" s="1111"/>
      <c r="D18" s="1111"/>
      <c r="E18" s="1111"/>
      <c r="F18" s="167"/>
      <c r="G18" s="207">
        <v>0</v>
      </c>
      <c r="H18" s="207">
        <v>0</v>
      </c>
      <c r="I18" s="207">
        <v>0</v>
      </c>
      <c r="J18" s="207">
        <v>0</v>
      </c>
      <c r="K18" s="207">
        <v>0</v>
      </c>
      <c r="L18" s="207">
        <v>0</v>
      </c>
      <c r="M18" s="335"/>
      <c r="N18" s="335"/>
      <c r="O18" s="335"/>
      <c r="P18" s="335"/>
      <c r="R18" s="803">
        <f>SUM(G18:L18)</f>
        <v>0</v>
      </c>
    </row>
    <row r="19" spans="2:18" ht="24" customHeight="1" x14ac:dyDescent="0.2">
      <c r="B19" s="1111" t="s">
        <v>169</v>
      </c>
      <c r="C19" s="1111"/>
      <c r="D19" s="1111"/>
      <c r="E19" s="1111"/>
      <c r="F19" s="167"/>
      <c r="G19" s="207">
        <v>0</v>
      </c>
      <c r="H19" s="207">
        <v>0</v>
      </c>
      <c r="I19" s="207">
        <v>0</v>
      </c>
      <c r="J19" s="207">
        <v>0</v>
      </c>
      <c r="K19" s="207">
        <v>0</v>
      </c>
      <c r="L19" s="207">
        <v>0</v>
      </c>
      <c r="M19" s="335"/>
      <c r="N19" s="335"/>
      <c r="O19" s="335"/>
      <c r="P19" s="335"/>
      <c r="R19" s="803">
        <f>SUM(G19:L19)</f>
        <v>0</v>
      </c>
    </row>
    <row r="20" spans="2:18" ht="24" customHeight="1" x14ac:dyDescent="0.2">
      <c r="B20" s="1111" t="s">
        <v>67</v>
      </c>
      <c r="C20" s="1111"/>
      <c r="D20" s="1111"/>
      <c r="E20" s="1111"/>
      <c r="F20" s="167"/>
      <c r="G20" s="207">
        <v>0</v>
      </c>
      <c r="H20" s="207">
        <v>0</v>
      </c>
      <c r="I20" s="207">
        <v>0</v>
      </c>
      <c r="J20" s="207">
        <v>0</v>
      </c>
      <c r="K20" s="207">
        <v>0</v>
      </c>
      <c r="L20" s="207">
        <v>0</v>
      </c>
      <c r="M20" s="207">
        <v>0</v>
      </c>
      <c r="N20" s="207">
        <v>0</v>
      </c>
      <c r="O20" s="207">
        <v>0</v>
      </c>
      <c r="P20" s="207">
        <v>0</v>
      </c>
      <c r="R20" s="803">
        <f t="shared" si="1"/>
        <v>0</v>
      </c>
    </row>
    <row r="21" spans="2:18" ht="24" customHeight="1" x14ac:dyDescent="0.2">
      <c r="B21" s="1111" t="s">
        <v>96</v>
      </c>
      <c r="C21" s="1111"/>
      <c r="D21" s="1111"/>
      <c r="E21" s="1111"/>
      <c r="F21" s="167"/>
      <c r="G21" s="207">
        <v>0</v>
      </c>
      <c r="H21" s="207">
        <v>0</v>
      </c>
      <c r="I21" s="207">
        <v>0</v>
      </c>
      <c r="J21" s="207">
        <v>0</v>
      </c>
      <c r="K21" s="207">
        <v>0</v>
      </c>
      <c r="L21" s="207">
        <v>0</v>
      </c>
      <c r="M21" s="207">
        <v>0</v>
      </c>
      <c r="N21" s="335"/>
      <c r="O21" s="335"/>
      <c r="P21" s="335"/>
      <c r="R21" s="803">
        <f>SUM(G21:M21)</f>
        <v>0</v>
      </c>
    </row>
    <row r="22" spans="2:18" ht="24" customHeight="1" x14ac:dyDescent="0.2">
      <c r="B22" s="1111" t="s">
        <v>357</v>
      </c>
      <c r="C22" s="1111"/>
      <c r="D22" s="1111"/>
      <c r="E22" s="1111"/>
      <c r="F22" s="167"/>
      <c r="G22" s="207">
        <v>0</v>
      </c>
      <c r="H22" s="207">
        <v>0</v>
      </c>
      <c r="I22" s="207">
        <v>0</v>
      </c>
      <c r="J22" s="207">
        <v>0</v>
      </c>
      <c r="K22" s="207">
        <v>0</v>
      </c>
      <c r="L22" s="207">
        <v>0</v>
      </c>
      <c r="M22" s="207">
        <v>0</v>
      </c>
      <c r="N22" s="207">
        <v>0</v>
      </c>
      <c r="O22" s="207">
        <v>0</v>
      </c>
      <c r="P22" s="207">
        <v>0</v>
      </c>
      <c r="R22" s="803">
        <f t="shared" ref="R22" si="2">SUM(G22:P22)</f>
        <v>0</v>
      </c>
    </row>
    <row r="23" spans="2:18" ht="24" customHeight="1" x14ac:dyDescent="0.2">
      <c r="B23" s="1111" t="s">
        <v>349</v>
      </c>
      <c r="C23" s="1111"/>
      <c r="D23" s="1111"/>
      <c r="E23" s="1111"/>
      <c r="F23" s="167"/>
      <c r="G23" s="207">
        <v>0</v>
      </c>
      <c r="H23" s="207">
        <v>0</v>
      </c>
      <c r="I23" s="207">
        <v>0</v>
      </c>
      <c r="J23" s="207">
        <v>0</v>
      </c>
      <c r="K23" s="207">
        <v>0</v>
      </c>
      <c r="L23" s="207">
        <v>0</v>
      </c>
      <c r="M23" s="207">
        <v>0</v>
      </c>
      <c r="N23" s="335"/>
      <c r="O23" s="335"/>
      <c r="P23" s="335"/>
      <c r="R23" s="803">
        <f>SUM(G23:M23)</f>
        <v>0</v>
      </c>
    </row>
    <row r="24" spans="2:18" ht="24" customHeight="1" x14ac:dyDescent="0.2">
      <c r="B24" s="1129" t="s">
        <v>352</v>
      </c>
      <c r="C24" s="1130"/>
      <c r="D24" s="1130"/>
      <c r="E24" s="1131"/>
      <c r="F24" s="167"/>
      <c r="G24" s="335"/>
      <c r="H24" s="335"/>
      <c r="I24" s="335"/>
      <c r="J24" s="335"/>
      <c r="K24" s="335"/>
      <c r="L24" s="335"/>
      <c r="M24" s="335"/>
      <c r="N24" s="207">
        <v>0</v>
      </c>
      <c r="O24" s="207">
        <v>0</v>
      </c>
      <c r="P24" s="207">
        <v>0</v>
      </c>
      <c r="R24" s="803">
        <f>SUM(N24:P24)</f>
        <v>0</v>
      </c>
    </row>
    <row r="25" spans="2:18" x14ac:dyDescent="0.2">
      <c r="G25" s="301"/>
      <c r="H25" s="301"/>
      <c r="I25" s="301"/>
      <c r="J25" s="301"/>
      <c r="K25" s="301"/>
      <c r="L25" s="301"/>
      <c r="M25" s="301"/>
      <c r="N25" s="301"/>
      <c r="O25" s="301"/>
      <c r="P25" s="301"/>
      <c r="R25" s="302"/>
    </row>
    <row r="26" spans="2:18" ht="23.25" customHeight="1" x14ac:dyDescent="0.2">
      <c r="B26" s="1125" t="s">
        <v>22</v>
      </c>
      <c r="C26" s="1126"/>
      <c r="D26" s="1126"/>
      <c r="E26" s="1127"/>
      <c r="F26" s="172"/>
      <c r="G26" s="173">
        <f t="shared" ref="G26:P26" si="3">SUM(G15:G24)</f>
        <v>0</v>
      </c>
      <c r="H26" s="173">
        <f t="shared" si="3"/>
        <v>0</v>
      </c>
      <c r="I26" s="173">
        <f t="shared" si="3"/>
        <v>0</v>
      </c>
      <c r="J26" s="173">
        <f t="shared" si="3"/>
        <v>0</v>
      </c>
      <c r="K26" s="173">
        <f t="shared" si="3"/>
        <v>0</v>
      </c>
      <c r="L26" s="173">
        <f t="shared" si="3"/>
        <v>0</v>
      </c>
      <c r="M26" s="173">
        <f t="shared" si="3"/>
        <v>0</v>
      </c>
      <c r="N26" s="173">
        <f t="shared" si="3"/>
        <v>0</v>
      </c>
      <c r="O26" s="173">
        <f t="shared" si="3"/>
        <v>0</v>
      </c>
      <c r="P26" s="173">
        <f t="shared" si="3"/>
        <v>0</v>
      </c>
      <c r="R26" s="173">
        <f>SUM(G26:P26)</f>
        <v>0</v>
      </c>
    </row>
    <row r="27" spans="2:18" x14ac:dyDescent="0.2">
      <c r="B27" s="1110" t="s">
        <v>97</v>
      </c>
      <c r="C27" s="1110"/>
      <c r="D27" s="1110"/>
      <c r="E27" s="1110"/>
      <c r="F27" s="218"/>
      <c r="G27" s="303">
        <f>+G26-T4A!C31</f>
        <v>0</v>
      </c>
      <c r="H27" s="303">
        <f>+H26-T4A!D31</f>
        <v>0</v>
      </c>
      <c r="I27" s="303">
        <f>+I26-T4A!E31</f>
        <v>0</v>
      </c>
      <c r="J27" s="303">
        <f>+J26-T4A!F31</f>
        <v>0</v>
      </c>
      <c r="K27" s="304">
        <f>+K26-T4A!G31</f>
        <v>0</v>
      </c>
      <c r="L27" s="304">
        <f>+L26-T4A!H31</f>
        <v>0</v>
      </c>
      <c r="M27" s="304">
        <f>+M26-T4A!I31</f>
        <v>0</v>
      </c>
      <c r="N27" s="304">
        <f>+N26-T4A!J31</f>
        <v>0</v>
      </c>
      <c r="O27" s="304">
        <f>+O26-T4A!K31</f>
        <v>0</v>
      </c>
      <c r="P27" s="304">
        <f>+P26-T4A!L31</f>
        <v>0</v>
      </c>
      <c r="R27" s="304">
        <f>+R26-T4A!N31</f>
        <v>0</v>
      </c>
    </row>
    <row r="28" spans="2:18" x14ac:dyDescent="0.2">
      <c r="B28" s="305"/>
      <c r="C28" s="305"/>
      <c r="D28" s="305"/>
      <c r="E28" s="305"/>
      <c r="F28" s="306"/>
      <c r="G28" s="307"/>
      <c r="H28" s="307"/>
      <c r="I28" s="307"/>
      <c r="J28" s="307"/>
    </row>
    <row r="29" spans="2:18" x14ac:dyDescent="0.2">
      <c r="G29" s="308" t="s">
        <v>32</v>
      </c>
      <c r="H29" s="301"/>
    </row>
    <row r="30" spans="2:18" x14ac:dyDescent="0.2">
      <c r="G30" s="308" t="s">
        <v>33</v>
      </c>
      <c r="H30" s="301"/>
    </row>
    <row r="31" spans="2:18" ht="60" customHeight="1" x14ac:dyDescent="0.2">
      <c r="B31" s="1101" t="s">
        <v>348</v>
      </c>
      <c r="C31" s="1102"/>
      <c r="D31" s="1102"/>
      <c r="E31" s="1103"/>
      <c r="F31" s="167"/>
      <c r="G31" s="165">
        <v>2015</v>
      </c>
      <c r="H31" s="165">
        <f>+G31+1</f>
        <v>2016</v>
      </c>
      <c r="I31" s="165">
        <f>+H31+1</f>
        <v>2017</v>
      </c>
      <c r="J31" s="165">
        <f>+I31+1</f>
        <v>2018</v>
      </c>
      <c r="K31" s="165">
        <f>+J31+1</f>
        <v>2019</v>
      </c>
      <c r="L31" s="165">
        <f t="shared" ref="L31:P31" si="4">+K31+1</f>
        <v>2020</v>
      </c>
      <c r="M31" s="165">
        <f t="shared" si="4"/>
        <v>2021</v>
      </c>
      <c r="N31" s="165">
        <f t="shared" si="4"/>
        <v>2022</v>
      </c>
      <c r="O31" s="165">
        <f t="shared" si="4"/>
        <v>2023</v>
      </c>
      <c r="P31" s="165">
        <f t="shared" si="4"/>
        <v>2024</v>
      </c>
      <c r="R31" s="165" t="s">
        <v>20</v>
      </c>
    </row>
    <row r="32" spans="2:18" s="296" customFormat="1" ht="12" customHeight="1" x14ac:dyDescent="0.2">
      <c r="B32" s="297"/>
      <c r="C32" s="297"/>
      <c r="D32" s="297"/>
      <c r="E32" s="297"/>
      <c r="F32" s="298"/>
      <c r="G32" s="299"/>
      <c r="H32" s="220"/>
      <c r="I32" s="220"/>
      <c r="Q32" s="300"/>
    </row>
    <row r="33" spans="2:18" ht="36" customHeight="1" x14ac:dyDescent="0.2">
      <c r="B33" s="1118" t="s">
        <v>201</v>
      </c>
      <c r="C33" s="1119"/>
      <c r="D33" s="1119"/>
      <c r="E33" s="1120"/>
      <c r="F33" s="167"/>
      <c r="G33" s="804"/>
      <c r="H33" s="804"/>
      <c r="I33" s="804"/>
      <c r="J33" s="804"/>
      <c r="K33" s="804"/>
      <c r="L33" s="804"/>
      <c r="M33" s="804"/>
      <c r="N33" s="804"/>
      <c r="O33" s="804"/>
      <c r="P33" s="804"/>
      <c r="R33" s="804"/>
    </row>
    <row r="34" spans="2:18" ht="28.5" customHeight="1" x14ac:dyDescent="0.2">
      <c r="B34" s="1107" t="str">
        <f>"per 31/12/"&amp;$G$13</f>
        <v>per 31/12/2015</v>
      </c>
      <c r="C34" s="1108"/>
      <c r="D34" s="1108"/>
      <c r="E34" s="1109"/>
      <c r="F34" s="167"/>
      <c r="G34" s="247"/>
      <c r="H34" s="247"/>
      <c r="I34" s="247"/>
      <c r="J34" s="247"/>
      <c r="K34" s="247"/>
      <c r="L34" s="247"/>
      <c r="M34" s="247"/>
      <c r="N34" s="247"/>
      <c r="O34" s="247"/>
      <c r="P34" s="247"/>
      <c r="R34" s="803">
        <f t="shared" ref="R34:R108" si="5">SUM(G34:P34)</f>
        <v>0</v>
      </c>
    </row>
    <row r="35" spans="2:18" ht="28.5" customHeight="1" x14ac:dyDescent="0.2">
      <c r="B35" s="1107" t="str">
        <f>"per 31/12/"&amp;$H$13</f>
        <v>per 31/12/2016</v>
      </c>
      <c r="C35" s="1108"/>
      <c r="D35" s="1108"/>
      <c r="E35" s="1109"/>
      <c r="F35" s="167"/>
      <c r="G35" s="247"/>
      <c r="H35" s="247"/>
      <c r="I35" s="247"/>
      <c r="J35" s="247"/>
      <c r="K35" s="247"/>
      <c r="L35" s="247"/>
      <c r="M35" s="247"/>
      <c r="N35" s="247"/>
      <c r="O35" s="247"/>
      <c r="P35" s="247"/>
      <c r="R35" s="803">
        <f t="shared" si="5"/>
        <v>0</v>
      </c>
    </row>
    <row r="36" spans="2:18" ht="28.5" customHeight="1" x14ac:dyDescent="0.2">
      <c r="B36" s="1107" t="str">
        <f>"per 31/12/"&amp;$I$13</f>
        <v>per 31/12/2017</v>
      </c>
      <c r="C36" s="1108"/>
      <c r="D36" s="1108"/>
      <c r="E36" s="1109"/>
      <c r="F36" s="167"/>
      <c r="G36" s="247">
        <f>J307</f>
        <v>0</v>
      </c>
      <c r="H36" s="247"/>
      <c r="I36" s="247"/>
      <c r="J36" s="247"/>
      <c r="K36" s="247"/>
      <c r="L36" s="247"/>
      <c r="M36" s="247"/>
      <c r="N36" s="247"/>
      <c r="O36" s="247"/>
      <c r="P36" s="247"/>
      <c r="R36" s="803">
        <f t="shared" si="5"/>
        <v>0</v>
      </c>
    </row>
    <row r="37" spans="2:18" ht="28.5" customHeight="1" x14ac:dyDescent="0.2">
      <c r="B37" s="1107" t="str">
        <f>"per 31/12/"&amp;$J$13</f>
        <v>per 31/12/2018</v>
      </c>
      <c r="C37" s="1108"/>
      <c r="D37" s="1108"/>
      <c r="E37" s="1109"/>
      <c r="F37" s="167"/>
      <c r="G37" s="247">
        <f>L312</f>
        <v>0</v>
      </c>
      <c r="H37" s="247">
        <f>L313</f>
        <v>0</v>
      </c>
      <c r="I37" s="247"/>
      <c r="J37" s="247"/>
      <c r="K37" s="247"/>
      <c r="L37" s="247"/>
      <c r="M37" s="247"/>
      <c r="N37" s="247"/>
      <c r="O37" s="247"/>
      <c r="P37" s="247"/>
      <c r="R37" s="803">
        <f t="shared" si="5"/>
        <v>0</v>
      </c>
    </row>
    <row r="38" spans="2:18" ht="28.5" customHeight="1" x14ac:dyDescent="0.2">
      <c r="B38" s="1107" t="str">
        <f>"per 31/12/"&amp;$K$13</f>
        <v>per 31/12/2019</v>
      </c>
      <c r="C38" s="1108"/>
      <c r="D38" s="1108"/>
      <c r="E38" s="1109"/>
      <c r="F38" s="167"/>
      <c r="G38" s="247">
        <f>L319</f>
        <v>0</v>
      </c>
      <c r="H38" s="247">
        <f>L320</f>
        <v>0</v>
      </c>
      <c r="I38" s="247">
        <f>L321</f>
        <v>0</v>
      </c>
      <c r="J38" s="247"/>
      <c r="K38" s="247"/>
      <c r="L38" s="247"/>
      <c r="M38" s="247"/>
      <c r="N38" s="247"/>
      <c r="O38" s="247"/>
      <c r="P38" s="247"/>
      <c r="R38" s="803">
        <f t="shared" si="5"/>
        <v>0</v>
      </c>
    </row>
    <row r="39" spans="2:18" ht="28.5" customHeight="1" x14ac:dyDescent="0.2">
      <c r="B39" s="1107" t="str">
        <f>"per 31/12/"&amp;$L$13</f>
        <v>per 31/12/2020</v>
      </c>
      <c r="C39" s="1108"/>
      <c r="D39" s="1108"/>
      <c r="E39" s="1109"/>
      <c r="F39" s="167"/>
      <c r="G39" s="247">
        <f>L327</f>
        <v>0</v>
      </c>
      <c r="H39" s="247">
        <f>L328</f>
        <v>0</v>
      </c>
      <c r="I39" s="247">
        <f>L329</f>
        <v>0</v>
      </c>
      <c r="J39" s="247">
        <f>L330</f>
        <v>0</v>
      </c>
      <c r="K39" s="247"/>
      <c r="L39" s="247"/>
      <c r="M39" s="247"/>
      <c r="N39" s="247"/>
      <c r="O39" s="247"/>
      <c r="P39" s="247"/>
      <c r="R39" s="803">
        <f t="shared" si="5"/>
        <v>0</v>
      </c>
    </row>
    <row r="40" spans="2:18" ht="28.5" customHeight="1" x14ac:dyDescent="0.2">
      <c r="B40" s="1107" t="str">
        <f>"per 31/12/"&amp;$M$13</f>
        <v>per 31/12/2021</v>
      </c>
      <c r="C40" s="1108"/>
      <c r="D40" s="1108"/>
      <c r="E40" s="1109"/>
      <c r="F40" s="167"/>
      <c r="G40" s="247">
        <f>+H336</f>
        <v>0</v>
      </c>
      <c r="H40" s="247">
        <f>H337</f>
        <v>0</v>
      </c>
      <c r="I40" s="247">
        <f>H338</f>
        <v>0</v>
      </c>
      <c r="J40" s="247">
        <f>H339</f>
        <v>0</v>
      </c>
      <c r="K40" s="247">
        <f>H340</f>
        <v>0</v>
      </c>
      <c r="L40" s="247"/>
      <c r="M40" s="247"/>
      <c r="N40" s="247"/>
      <c r="O40" s="247"/>
      <c r="P40" s="247"/>
      <c r="R40" s="803">
        <f t="shared" si="5"/>
        <v>0</v>
      </c>
    </row>
    <row r="41" spans="2:18" ht="28.5" customHeight="1" x14ac:dyDescent="0.2">
      <c r="B41" s="1107" t="str">
        <f>"per 31/12/"&amp;$N$13</f>
        <v>per 31/12/2022</v>
      </c>
      <c r="C41" s="1108"/>
      <c r="D41" s="1108"/>
      <c r="E41" s="1109"/>
      <c r="F41" s="167"/>
      <c r="G41" s="247">
        <f>H346</f>
        <v>0</v>
      </c>
      <c r="H41" s="247">
        <f>H347</f>
        <v>0</v>
      </c>
      <c r="I41" s="247">
        <f>H348</f>
        <v>0</v>
      </c>
      <c r="J41" s="247">
        <f>H349</f>
        <v>0</v>
      </c>
      <c r="K41" s="247">
        <f>H350</f>
        <v>0</v>
      </c>
      <c r="L41" s="247">
        <f>H351</f>
        <v>0</v>
      </c>
      <c r="M41" s="247"/>
      <c r="N41" s="247"/>
      <c r="O41" s="247"/>
      <c r="P41" s="247"/>
      <c r="R41" s="803">
        <f t="shared" si="5"/>
        <v>0</v>
      </c>
    </row>
    <row r="42" spans="2:18" ht="28.5" customHeight="1" x14ac:dyDescent="0.2">
      <c r="B42" s="1107" t="str">
        <f>"per 31/12/"&amp;$O$13</f>
        <v>per 31/12/2023</v>
      </c>
      <c r="C42" s="1108"/>
      <c r="D42" s="1108"/>
      <c r="E42" s="1109"/>
      <c r="F42" s="167"/>
      <c r="G42" s="247"/>
      <c r="H42" s="247"/>
      <c r="I42" s="247"/>
      <c r="J42" s="247"/>
      <c r="K42" s="247"/>
      <c r="L42" s="247">
        <f>H357</f>
        <v>0</v>
      </c>
      <c r="M42" s="247">
        <f>H358</f>
        <v>0</v>
      </c>
      <c r="N42" s="247"/>
      <c r="O42" s="247"/>
      <c r="P42" s="247"/>
      <c r="R42" s="803">
        <f t="shared" si="5"/>
        <v>0</v>
      </c>
    </row>
    <row r="43" spans="2:18" ht="28.5" customHeight="1" x14ac:dyDescent="0.2">
      <c r="B43" s="1107" t="str">
        <f>"per 31/12/"&amp;$P$13</f>
        <v>per 31/12/2024</v>
      </c>
      <c r="C43" s="1108"/>
      <c r="D43" s="1108"/>
      <c r="E43" s="1109"/>
      <c r="F43" s="167"/>
      <c r="G43" s="247"/>
      <c r="H43" s="247"/>
      <c r="I43" s="247"/>
      <c r="J43" s="247"/>
      <c r="K43" s="247"/>
      <c r="L43" s="247"/>
      <c r="M43" s="247">
        <f>H364</f>
        <v>0</v>
      </c>
      <c r="N43" s="247">
        <f>H365</f>
        <v>0</v>
      </c>
      <c r="O43" s="247"/>
      <c r="P43" s="247"/>
      <c r="R43" s="803">
        <f t="shared" si="5"/>
        <v>0</v>
      </c>
    </row>
    <row r="44" spans="2:18" ht="36" customHeight="1" x14ac:dyDescent="0.2">
      <c r="B44" s="1118" t="s">
        <v>347</v>
      </c>
      <c r="C44" s="1119"/>
      <c r="D44" s="1119"/>
      <c r="E44" s="1120"/>
      <c r="F44" s="167"/>
      <c r="G44" s="804"/>
      <c r="H44" s="804"/>
      <c r="I44" s="804"/>
      <c r="J44" s="804"/>
      <c r="K44" s="804"/>
      <c r="L44" s="804"/>
      <c r="M44" s="804"/>
      <c r="N44" s="804"/>
      <c r="O44" s="804"/>
      <c r="P44" s="804"/>
      <c r="R44" s="804"/>
    </row>
    <row r="45" spans="2:18" ht="28.5" customHeight="1" x14ac:dyDescent="0.2">
      <c r="B45" s="1112" t="str">
        <f>"per 31/12/"&amp;$G$13</f>
        <v>per 31/12/2015</v>
      </c>
      <c r="C45" s="1113"/>
      <c r="D45" s="1113"/>
      <c r="E45" s="1114"/>
      <c r="F45" s="167"/>
      <c r="G45" s="247"/>
      <c r="H45" s="247"/>
      <c r="I45" s="247"/>
      <c r="J45" s="247"/>
      <c r="K45" s="247"/>
      <c r="L45" s="247"/>
      <c r="M45" s="247"/>
      <c r="N45" s="247"/>
      <c r="O45" s="247"/>
      <c r="P45" s="247"/>
      <c r="R45" s="803"/>
    </row>
    <row r="46" spans="2:18" ht="28.5" customHeight="1" x14ac:dyDescent="0.2">
      <c r="B46" s="1112" t="str">
        <f>"per 31/12/"&amp;$H$13</f>
        <v>per 31/12/2016</v>
      </c>
      <c r="C46" s="1113"/>
      <c r="D46" s="1113"/>
      <c r="E46" s="1114"/>
      <c r="F46" s="167"/>
      <c r="G46" s="247"/>
      <c r="H46" s="247"/>
      <c r="I46" s="247"/>
      <c r="J46" s="247"/>
      <c r="K46" s="247"/>
      <c r="L46" s="247"/>
      <c r="M46" s="247"/>
      <c r="N46" s="247"/>
      <c r="O46" s="247"/>
      <c r="P46" s="247"/>
      <c r="R46" s="803"/>
    </row>
    <row r="47" spans="2:18" ht="28.5" customHeight="1" x14ac:dyDescent="0.2">
      <c r="B47" s="1112" t="str">
        <f>"per 31/12/"&amp;$I$13</f>
        <v>per 31/12/2017</v>
      </c>
      <c r="C47" s="1113"/>
      <c r="D47" s="1113"/>
      <c r="E47" s="1114"/>
      <c r="F47" s="167"/>
      <c r="G47" s="520"/>
      <c r="H47" s="247"/>
      <c r="I47" s="247"/>
      <c r="J47" s="247"/>
      <c r="K47" s="247"/>
      <c r="L47" s="247"/>
      <c r="M47" s="247"/>
      <c r="N47" s="247"/>
      <c r="O47" s="247"/>
      <c r="P47" s="247"/>
      <c r="R47" s="805"/>
    </row>
    <row r="48" spans="2:18" ht="28.5" customHeight="1" x14ac:dyDescent="0.2">
      <c r="B48" s="1112" t="str">
        <f>"per 31/12/"&amp;$J$13</f>
        <v>per 31/12/2018</v>
      </c>
      <c r="C48" s="1113"/>
      <c r="D48" s="1113"/>
      <c r="E48" s="1114"/>
      <c r="F48" s="167"/>
      <c r="G48" s="520"/>
      <c r="H48" s="520"/>
      <c r="I48" s="247"/>
      <c r="J48" s="247"/>
      <c r="K48" s="247"/>
      <c r="L48" s="247"/>
      <c r="M48" s="247"/>
      <c r="N48" s="247"/>
      <c r="O48" s="247"/>
      <c r="P48" s="247"/>
      <c r="R48" s="805"/>
    </row>
    <row r="49" spans="2:18" ht="28.5" customHeight="1" x14ac:dyDescent="0.2">
      <c r="B49" s="1112" t="str">
        <f>"per 31/12/"&amp;$K$13</f>
        <v>per 31/12/2019</v>
      </c>
      <c r="C49" s="1113"/>
      <c r="D49" s="1113"/>
      <c r="E49" s="1114"/>
      <c r="F49" s="167"/>
      <c r="G49" s="520"/>
      <c r="H49" s="520"/>
      <c r="I49" s="520"/>
      <c r="J49" s="247"/>
      <c r="K49" s="247"/>
      <c r="L49" s="247"/>
      <c r="M49" s="247"/>
      <c r="N49" s="247"/>
      <c r="O49" s="247"/>
      <c r="P49" s="247"/>
      <c r="R49" s="805"/>
    </row>
    <row r="50" spans="2:18" ht="28.5" customHeight="1" x14ac:dyDescent="0.2">
      <c r="B50" s="1112" t="str">
        <f>"per 31/12/"&amp;$L$13</f>
        <v>per 31/12/2020</v>
      </c>
      <c r="C50" s="1113"/>
      <c r="D50" s="1113"/>
      <c r="E50" s="1114"/>
      <c r="F50" s="167"/>
      <c r="G50" s="520"/>
      <c r="H50" s="520"/>
      <c r="I50" s="520"/>
      <c r="J50" s="520"/>
      <c r="K50" s="247"/>
      <c r="L50" s="247"/>
      <c r="M50" s="247"/>
      <c r="N50" s="247"/>
      <c r="O50" s="247"/>
      <c r="P50" s="247"/>
      <c r="R50" s="805"/>
    </row>
    <row r="51" spans="2:18" ht="28.5" customHeight="1" x14ac:dyDescent="0.2">
      <c r="B51" s="1112" t="str">
        <f>"per 31/12/"&amp;$M$13</f>
        <v>per 31/12/2021</v>
      </c>
      <c r="C51" s="1113"/>
      <c r="D51" s="1113"/>
      <c r="E51" s="1114"/>
      <c r="F51" s="167"/>
      <c r="G51" s="520"/>
      <c r="H51" s="520"/>
      <c r="I51" s="520"/>
      <c r="J51" s="520"/>
      <c r="K51" s="520"/>
      <c r="L51" s="247"/>
      <c r="M51" s="247"/>
      <c r="N51" s="247"/>
      <c r="O51" s="247"/>
      <c r="P51" s="247"/>
      <c r="R51" s="805"/>
    </row>
    <row r="52" spans="2:18" ht="28.5" customHeight="1" x14ac:dyDescent="0.2">
      <c r="B52" s="1112" t="str">
        <f>"per 31/12/"&amp;$N$13</f>
        <v>per 31/12/2022</v>
      </c>
      <c r="C52" s="1113"/>
      <c r="D52" s="1113"/>
      <c r="E52" s="1114"/>
      <c r="F52" s="167"/>
      <c r="G52" s="520"/>
      <c r="H52" s="520"/>
      <c r="I52" s="520"/>
      <c r="J52" s="520"/>
      <c r="K52" s="520"/>
      <c r="L52" s="520"/>
      <c r="M52" s="247"/>
      <c r="N52" s="247"/>
      <c r="O52" s="247"/>
      <c r="P52" s="247"/>
      <c r="R52" s="805"/>
    </row>
    <row r="53" spans="2:18" ht="28.5" customHeight="1" x14ac:dyDescent="0.2">
      <c r="B53" s="1112" t="str">
        <f>"per 31/12/"&amp;$O$13</f>
        <v>per 31/12/2023</v>
      </c>
      <c r="C53" s="1113"/>
      <c r="D53" s="1113"/>
      <c r="E53" s="1114"/>
      <c r="F53" s="167"/>
      <c r="G53" s="247"/>
      <c r="H53" s="247"/>
      <c r="I53" s="247"/>
      <c r="J53" s="247"/>
      <c r="K53" s="247"/>
      <c r="L53" s="520"/>
      <c r="M53" s="520"/>
      <c r="N53" s="247"/>
      <c r="O53" s="247"/>
      <c r="P53" s="247"/>
      <c r="R53" s="805"/>
    </row>
    <row r="54" spans="2:18" ht="28.5" customHeight="1" x14ac:dyDescent="0.2">
      <c r="B54" s="1107" t="str">
        <f>"per 31/12/"&amp;$P$13</f>
        <v>per 31/12/2024</v>
      </c>
      <c r="C54" s="1108"/>
      <c r="D54" s="1108"/>
      <c r="E54" s="1109"/>
      <c r="F54" s="167"/>
      <c r="G54" s="247"/>
      <c r="H54" s="247"/>
      <c r="I54" s="247"/>
      <c r="J54" s="247"/>
      <c r="K54" s="247"/>
      <c r="L54" s="247"/>
      <c r="M54" s="520"/>
      <c r="N54" s="247">
        <f>+H382</f>
        <v>0</v>
      </c>
      <c r="O54" s="247"/>
      <c r="P54" s="247"/>
      <c r="R54" s="803">
        <f>+N54</f>
        <v>0</v>
      </c>
    </row>
    <row r="55" spans="2:18" ht="27.75" customHeight="1" x14ac:dyDescent="0.2">
      <c r="B55" s="1118" t="s">
        <v>66</v>
      </c>
      <c r="C55" s="1119"/>
      <c r="D55" s="1119"/>
      <c r="E55" s="1120"/>
      <c r="F55" s="167"/>
      <c r="G55" s="804"/>
      <c r="H55" s="804"/>
      <c r="I55" s="804"/>
      <c r="J55" s="804"/>
      <c r="K55" s="804"/>
      <c r="L55" s="804"/>
      <c r="M55" s="804"/>
      <c r="N55" s="804"/>
      <c r="O55" s="804"/>
      <c r="P55" s="804"/>
      <c r="R55" s="804"/>
    </row>
    <row r="56" spans="2:18" ht="28.5" customHeight="1" x14ac:dyDescent="0.2">
      <c r="B56" s="1107" t="str">
        <f>"per 31/12/"&amp;$G$13</f>
        <v>per 31/12/2015</v>
      </c>
      <c r="C56" s="1108"/>
      <c r="D56" s="1108"/>
      <c r="E56" s="1109"/>
      <c r="F56" s="167"/>
      <c r="G56" s="247"/>
      <c r="H56" s="247"/>
      <c r="I56" s="247"/>
      <c r="J56" s="247"/>
      <c r="K56" s="247"/>
      <c r="L56" s="247"/>
      <c r="M56" s="247"/>
      <c r="N56" s="247"/>
      <c r="O56" s="247"/>
      <c r="P56" s="247"/>
      <c r="R56" s="803">
        <f t="shared" si="5"/>
        <v>0</v>
      </c>
    </row>
    <row r="57" spans="2:18" ht="28.5" customHeight="1" x14ac:dyDescent="0.2">
      <c r="B57" s="1107" t="str">
        <f>"per 31/12/"&amp;$H$13</f>
        <v>per 31/12/2016</v>
      </c>
      <c r="C57" s="1108"/>
      <c r="D57" s="1108"/>
      <c r="E57" s="1109"/>
      <c r="F57" s="167"/>
      <c r="G57" s="247"/>
      <c r="H57" s="247"/>
      <c r="I57" s="247"/>
      <c r="J57" s="247"/>
      <c r="K57" s="247"/>
      <c r="L57" s="247"/>
      <c r="M57" s="247"/>
      <c r="N57" s="247"/>
      <c r="O57" s="247"/>
      <c r="P57" s="247"/>
      <c r="R57" s="803">
        <f t="shared" si="5"/>
        <v>0</v>
      </c>
    </row>
    <row r="58" spans="2:18" ht="28.5" customHeight="1" x14ac:dyDescent="0.2">
      <c r="B58" s="1107" t="str">
        <f>"per 31/12/"&amp;$I$13</f>
        <v>per 31/12/2017</v>
      </c>
      <c r="C58" s="1108"/>
      <c r="D58" s="1108"/>
      <c r="E58" s="1109"/>
      <c r="F58" s="167"/>
      <c r="G58" s="247">
        <f>J397</f>
        <v>0</v>
      </c>
      <c r="H58" s="247"/>
      <c r="I58" s="247"/>
      <c r="J58" s="247"/>
      <c r="K58" s="247"/>
      <c r="L58" s="247"/>
      <c r="M58" s="247"/>
      <c r="N58" s="247"/>
      <c r="O58" s="247"/>
      <c r="P58" s="247"/>
      <c r="R58" s="803">
        <f t="shared" si="5"/>
        <v>0</v>
      </c>
    </row>
    <row r="59" spans="2:18" ht="28.5" customHeight="1" x14ac:dyDescent="0.2">
      <c r="B59" s="1107" t="str">
        <f>"per 31/12/"&amp;$J$13</f>
        <v>per 31/12/2018</v>
      </c>
      <c r="C59" s="1108"/>
      <c r="D59" s="1108"/>
      <c r="E59" s="1109"/>
      <c r="F59" s="167"/>
      <c r="G59" s="247">
        <f>L402</f>
        <v>0</v>
      </c>
      <c r="H59" s="247">
        <f>L403</f>
        <v>0</v>
      </c>
      <c r="I59" s="247"/>
      <c r="J59" s="247"/>
      <c r="K59" s="247"/>
      <c r="L59" s="247"/>
      <c r="M59" s="247"/>
      <c r="N59" s="247"/>
      <c r="O59" s="247"/>
      <c r="P59" s="247"/>
      <c r="R59" s="803">
        <f t="shared" si="5"/>
        <v>0</v>
      </c>
    </row>
    <row r="60" spans="2:18" ht="28.5" customHeight="1" x14ac:dyDescent="0.2">
      <c r="B60" s="1107" t="str">
        <f>"per 31/12/"&amp;$K$13</f>
        <v>per 31/12/2019</v>
      </c>
      <c r="C60" s="1108"/>
      <c r="D60" s="1108"/>
      <c r="E60" s="1109"/>
      <c r="F60" s="167"/>
      <c r="G60" s="247">
        <f>L409</f>
        <v>0</v>
      </c>
      <c r="H60" s="247">
        <f>L410</f>
        <v>0</v>
      </c>
      <c r="I60" s="247">
        <f>L411</f>
        <v>0</v>
      </c>
      <c r="J60" s="247"/>
      <c r="K60" s="247"/>
      <c r="L60" s="247"/>
      <c r="M60" s="247"/>
      <c r="N60" s="247"/>
      <c r="O60" s="247"/>
      <c r="P60" s="247"/>
      <c r="R60" s="803">
        <f t="shared" si="5"/>
        <v>0</v>
      </c>
    </row>
    <row r="61" spans="2:18" ht="28.5" customHeight="1" x14ac:dyDescent="0.2">
      <c r="B61" s="1107" t="str">
        <f>"per 31/12/"&amp;$L$13</f>
        <v>per 31/12/2020</v>
      </c>
      <c r="C61" s="1108"/>
      <c r="D61" s="1108"/>
      <c r="E61" s="1109"/>
      <c r="F61" s="167"/>
      <c r="G61" s="247">
        <f>L417</f>
        <v>0</v>
      </c>
      <c r="H61" s="247">
        <f>L418</f>
        <v>0</v>
      </c>
      <c r="I61" s="247">
        <f>L419</f>
        <v>0</v>
      </c>
      <c r="J61" s="247">
        <f>L420</f>
        <v>0</v>
      </c>
      <c r="K61" s="247"/>
      <c r="L61" s="247"/>
      <c r="M61" s="247"/>
      <c r="N61" s="247"/>
      <c r="O61" s="247"/>
      <c r="P61" s="247"/>
      <c r="R61" s="803">
        <f t="shared" si="5"/>
        <v>0</v>
      </c>
    </row>
    <row r="62" spans="2:18" ht="28.5" customHeight="1" x14ac:dyDescent="0.2">
      <c r="B62" s="1107" t="str">
        <f>"per 31/12/"&amp;$M$13</f>
        <v>per 31/12/2021</v>
      </c>
      <c r="C62" s="1108"/>
      <c r="D62" s="1108"/>
      <c r="E62" s="1109"/>
      <c r="F62" s="167"/>
      <c r="G62" s="247">
        <f>H426</f>
        <v>0</v>
      </c>
      <c r="H62" s="247">
        <f>H427</f>
        <v>0</v>
      </c>
      <c r="I62" s="247">
        <f>H428</f>
        <v>0</v>
      </c>
      <c r="J62" s="247">
        <f>H429</f>
        <v>0</v>
      </c>
      <c r="K62" s="247">
        <f>H430</f>
        <v>0</v>
      </c>
      <c r="L62" s="247"/>
      <c r="M62" s="247"/>
      <c r="N62" s="247"/>
      <c r="O62" s="247"/>
      <c r="P62" s="247"/>
      <c r="R62" s="803">
        <f t="shared" si="5"/>
        <v>0</v>
      </c>
    </row>
    <row r="63" spans="2:18" ht="28.5" customHeight="1" x14ac:dyDescent="0.2">
      <c r="B63" s="1107" t="str">
        <f>"per 31/12/"&amp;$N$13</f>
        <v>per 31/12/2022</v>
      </c>
      <c r="C63" s="1108"/>
      <c r="D63" s="1108"/>
      <c r="E63" s="1109"/>
      <c r="F63" s="167"/>
      <c r="G63" s="247">
        <f>H436</f>
        <v>0</v>
      </c>
      <c r="H63" s="247">
        <f>H437</f>
        <v>0</v>
      </c>
      <c r="I63" s="247">
        <f>H438</f>
        <v>0</v>
      </c>
      <c r="J63" s="247">
        <f>H439</f>
        <v>0</v>
      </c>
      <c r="K63" s="247">
        <f>H440</f>
        <v>0</v>
      </c>
      <c r="L63" s="247">
        <f>H441</f>
        <v>0</v>
      </c>
      <c r="M63" s="247"/>
      <c r="N63" s="247"/>
      <c r="O63" s="247"/>
      <c r="P63" s="247"/>
      <c r="R63" s="803">
        <f t="shared" si="5"/>
        <v>0</v>
      </c>
    </row>
    <row r="64" spans="2:18" ht="28.5" customHeight="1" x14ac:dyDescent="0.2">
      <c r="B64" s="1107" t="str">
        <f>"per 31/12/"&amp;$O$13</f>
        <v>per 31/12/2023</v>
      </c>
      <c r="C64" s="1108"/>
      <c r="D64" s="1108"/>
      <c r="E64" s="1109"/>
      <c r="F64" s="167"/>
      <c r="G64" s="247"/>
      <c r="H64" s="247"/>
      <c r="I64" s="247"/>
      <c r="J64" s="247"/>
      <c r="K64" s="247"/>
      <c r="L64" s="247">
        <f>H447</f>
        <v>0</v>
      </c>
      <c r="M64" s="247">
        <f>H448</f>
        <v>0</v>
      </c>
      <c r="N64" s="247"/>
      <c r="O64" s="247"/>
      <c r="P64" s="247"/>
      <c r="R64" s="803">
        <f t="shared" si="5"/>
        <v>0</v>
      </c>
    </row>
    <row r="65" spans="2:18" ht="28.5" customHeight="1" x14ac:dyDescent="0.2">
      <c r="B65" s="1107" t="str">
        <f>"per 31/12/"&amp;$P$13</f>
        <v>per 31/12/2024</v>
      </c>
      <c r="C65" s="1108"/>
      <c r="D65" s="1108"/>
      <c r="E65" s="1109"/>
      <c r="F65" s="167"/>
      <c r="G65" s="247"/>
      <c r="H65" s="247"/>
      <c r="I65" s="247"/>
      <c r="J65" s="247"/>
      <c r="K65" s="247"/>
      <c r="L65" s="247"/>
      <c r="M65" s="247">
        <f>H454</f>
        <v>0</v>
      </c>
      <c r="N65" s="247">
        <f>H455</f>
        <v>0</v>
      </c>
      <c r="O65" s="247"/>
      <c r="P65" s="247"/>
      <c r="R65" s="803">
        <f t="shared" si="5"/>
        <v>0</v>
      </c>
    </row>
    <row r="66" spans="2:18" ht="33.75" customHeight="1" x14ac:dyDescent="0.2">
      <c r="B66" s="1128" t="s">
        <v>350</v>
      </c>
      <c r="C66" s="1128"/>
      <c r="D66" s="1128"/>
      <c r="E66" s="1128"/>
      <c r="F66" s="167"/>
      <c r="G66" s="804"/>
      <c r="H66" s="804"/>
      <c r="I66" s="804"/>
      <c r="J66" s="804"/>
      <c r="K66" s="804"/>
      <c r="L66" s="804"/>
      <c r="M66" s="804"/>
      <c r="N66" s="804"/>
      <c r="O66" s="804"/>
      <c r="P66" s="804"/>
      <c r="R66" s="804"/>
    </row>
    <row r="67" spans="2:18" ht="28.5" customHeight="1" x14ac:dyDescent="0.2">
      <c r="B67" s="1107" t="str">
        <f>"per 31/12/"&amp;$G$13</f>
        <v>per 31/12/2015</v>
      </c>
      <c r="C67" s="1108"/>
      <c r="D67" s="1108"/>
      <c r="E67" s="1109"/>
      <c r="F67" s="167"/>
      <c r="G67" s="247"/>
      <c r="H67" s="247"/>
      <c r="I67" s="247"/>
      <c r="J67" s="247"/>
      <c r="K67" s="247"/>
      <c r="L67" s="247"/>
      <c r="M67" s="247"/>
      <c r="N67" s="247"/>
      <c r="O67" s="247"/>
      <c r="P67" s="247"/>
      <c r="R67" s="803">
        <f t="shared" ref="R67:R75" si="6">SUM(G67:P67)</f>
        <v>0</v>
      </c>
    </row>
    <row r="68" spans="2:18" ht="28.5" customHeight="1" x14ac:dyDescent="0.2">
      <c r="B68" s="1107" t="str">
        <f>"per 31/12/"&amp;$H$13</f>
        <v>per 31/12/2016</v>
      </c>
      <c r="C68" s="1108"/>
      <c r="D68" s="1108"/>
      <c r="E68" s="1109"/>
      <c r="F68" s="167"/>
      <c r="G68" s="247"/>
      <c r="H68" s="247"/>
      <c r="I68" s="247"/>
      <c r="J68" s="247"/>
      <c r="K68" s="247"/>
      <c r="L68" s="247"/>
      <c r="M68" s="247"/>
      <c r="N68" s="247"/>
      <c r="O68" s="247"/>
      <c r="P68" s="247"/>
      <c r="R68" s="803">
        <f t="shared" si="6"/>
        <v>0</v>
      </c>
    </row>
    <row r="69" spans="2:18" ht="28.5" customHeight="1" x14ac:dyDescent="0.2">
      <c r="B69" s="1107" t="str">
        <f>"per 31/12/"&amp;$I$13</f>
        <v>per 31/12/2017</v>
      </c>
      <c r="C69" s="1108"/>
      <c r="D69" s="1108"/>
      <c r="E69" s="1109"/>
      <c r="F69" s="167"/>
      <c r="G69" s="247">
        <f>J472</f>
        <v>0</v>
      </c>
      <c r="H69" s="247"/>
      <c r="I69" s="247"/>
      <c r="J69" s="247"/>
      <c r="K69" s="247"/>
      <c r="L69" s="247"/>
      <c r="M69" s="247"/>
      <c r="N69" s="247"/>
      <c r="O69" s="247"/>
      <c r="P69" s="247"/>
      <c r="R69" s="803">
        <f t="shared" si="6"/>
        <v>0</v>
      </c>
    </row>
    <row r="70" spans="2:18" ht="28.5" customHeight="1" x14ac:dyDescent="0.2">
      <c r="B70" s="1107" t="str">
        <f>"per 31/12/"&amp;$J$13</f>
        <v>per 31/12/2018</v>
      </c>
      <c r="C70" s="1108"/>
      <c r="D70" s="1108"/>
      <c r="E70" s="1109"/>
      <c r="F70" s="167"/>
      <c r="G70" s="247">
        <f>L477</f>
        <v>0</v>
      </c>
      <c r="H70" s="247">
        <f>L478</f>
        <v>0</v>
      </c>
      <c r="I70" s="247"/>
      <c r="J70" s="247"/>
      <c r="K70" s="247"/>
      <c r="L70" s="247"/>
      <c r="M70" s="247"/>
      <c r="N70" s="247"/>
      <c r="O70" s="247"/>
      <c r="P70" s="247"/>
      <c r="R70" s="803">
        <f t="shared" si="6"/>
        <v>0</v>
      </c>
    </row>
    <row r="71" spans="2:18" ht="28.5" customHeight="1" x14ac:dyDescent="0.2">
      <c r="B71" s="1107" t="str">
        <f>"per 31/12/"&amp;$K$13</f>
        <v>per 31/12/2019</v>
      </c>
      <c r="C71" s="1108"/>
      <c r="D71" s="1108"/>
      <c r="E71" s="1109"/>
      <c r="F71" s="167"/>
      <c r="G71" s="247">
        <f>L484</f>
        <v>0</v>
      </c>
      <c r="H71" s="247">
        <f>L485</f>
        <v>0</v>
      </c>
      <c r="I71" s="247">
        <f>L486</f>
        <v>0</v>
      </c>
      <c r="J71" s="247"/>
      <c r="K71" s="247"/>
      <c r="L71" s="247"/>
      <c r="M71" s="247"/>
      <c r="N71" s="247"/>
      <c r="O71" s="247"/>
      <c r="P71" s="247"/>
      <c r="R71" s="803">
        <f t="shared" si="6"/>
        <v>0</v>
      </c>
    </row>
    <row r="72" spans="2:18" ht="28.5" customHeight="1" x14ac:dyDescent="0.2">
      <c r="B72" s="1107" t="str">
        <f>"per 31/12/"&amp;$L$13</f>
        <v>per 31/12/2020</v>
      </c>
      <c r="C72" s="1108"/>
      <c r="D72" s="1108"/>
      <c r="E72" s="1109"/>
      <c r="F72" s="167"/>
      <c r="G72" s="247">
        <f>L492</f>
        <v>0</v>
      </c>
      <c r="H72" s="247">
        <f>L493</f>
        <v>0</v>
      </c>
      <c r="I72" s="247">
        <f>L494</f>
        <v>0</v>
      </c>
      <c r="J72" s="247">
        <f>L495</f>
        <v>0</v>
      </c>
      <c r="K72" s="247"/>
      <c r="L72" s="247"/>
      <c r="M72" s="247"/>
      <c r="N72" s="247"/>
      <c r="O72" s="247"/>
      <c r="P72" s="247"/>
      <c r="R72" s="803">
        <f t="shared" si="6"/>
        <v>0</v>
      </c>
    </row>
    <row r="73" spans="2:18" ht="28.5" customHeight="1" x14ac:dyDescent="0.2">
      <c r="B73" s="1107" t="str">
        <f>"per 31/12/"&amp;$M$13</f>
        <v>per 31/12/2021</v>
      </c>
      <c r="C73" s="1108"/>
      <c r="D73" s="1108"/>
      <c r="E73" s="1109"/>
      <c r="F73" s="167"/>
      <c r="G73" s="247">
        <f>H501</f>
        <v>0</v>
      </c>
      <c r="H73" s="247">
        <f>H502</f>
        <v>0</v>
      </c>
      <c r="I73" s="247">
        <f>H503</f>
        <v>0</v>
      </c>
      <c r="J73" s="247">
        <f>H504</f>
        <v>0</v>
      </c>
      <c r="K73" s="247">
        <f>H505</f>
        <v>0</v>
      </c>
      <c r="L73" s="247"/>
      <c r="M73" s="247"/>
      <c r="N73" s="247"/>
      <c r="O73" s="247"/>
      <c r="P73" s="247"/>
      <c r="R73" s="803">
        <f t="shared" si="6"/>
        <v>0</v>
      </c>
    </row>
    <row r="74" spans="2:18" ht="28.5" customHeight="1" x14ac:dyDescent="0.2">
      <c r="B74" s="1107" t="str">
        <f>"per 31/12/"&amp;$N$13</f>
        <v>per 31/12/2022</v>
      </c>
      <c r="C74" s="1108"/>
      <c r="D74" s="1108"/>
      <c r="E74" s="1109"/>
      <c r="F74" s="167"/>
      <c r="G74" s="247">
        <f>H511</f>
        <v>0</v>
      </c>
      <c r="H74" s="247">
        <f>H512</f>
        <v>0</v>
      </c>
      <c r="I74" s="247">
        <f>H513</f>
        <v>0</v>
      </c>
      <c r="J74" s="247">
        <f>H514</f>
        <v>0</v>
      </c>
      <c r="K74" s="247">
        <f>H515</f>
        <v>0</v>
      </c>
      <c r="L74" s="247">
        <f>H516</f>
        <v>0</v>
      </c>
      <c r="M74" s="247"/>
      <c r="N74" s="247"/>
      <c r="O74" s="247"/>
      <c r="P74" s="247"/>
      <c r="R74" s="803">
        <f t="shared" si="6"/>
        <v>0</v>
      </c>
    </row>
    <row r="75" spans="2:18" ht="28.5" customHeight="1" x14ac:dyDescent="0.2">
      <c r="B75" s="1107" t="str">
        <f>"per 31/12/"&amp;$O$13</f>
        <v>per 31/12/2023</v>
      </c>
      <c r="C75" s="1108"/>
      <c r="D75" s="1108"/>
      <c r="E75" s="1109"/>
      <c r="F75" s="167"/>
      <c r="G75" s="247"/>
      <c r="H75" s="247"/>
      <c r="I75" s="247"/>
      <c r="J75" s="247"/>
      <c r="K75" s="247"/>
      <c r="L75" s="247">
        <f>H522</f>
        <v>0</v>
      </c>
      <c r="M75" s="247"/>
      <c r="N75" s="247"/>
      <c r="O75" s="247"/>
      <c r="P75" s="247"/>
      <c r="R75" s="803">
        <f t="shared" si="6"/>
        <v>0</v>
      </c>
    </row>
    <row r="76" spans="2:18" ht="28.5" customHeight="1" x14ac:dyDescent="0.2">
      <c r="B76" s="1112" t="str">
        <f>"per 31/12/"&amp;$P$13</f>
        <v>per 31/12/2024</v>
      </c>
      <c r="C76" s="1113"/>
      <c r="D76" s="1113"/>
      <c r="E76" s="1114"/>
      <c r="F76" s="309"/>
      <c r="G76" s="520"/>
      <c r="H76" s="520"/>
      <c r="I76" s="520"/>
      <c r="J76" s="520"/>
      <c r="K76" s="520"/>
      <c r="L76" s="520"/>
      <c r="M76" s="520"/>
      <c r="N76" s="520"/>
      <c r="O76" s="520"/>
      <c r="P76" s="520"/>
      <c r="R76" s="805"/>
    </row>
    <row r="77" spans="2:18" ht="30" customHeight="1" x14ac:dyDescent="0.2">
      <c r="B77" s="1118" t="s">
        <v>169</v>
      </c>
      <c r="C77" s="1119"/>
      <c r="D77" s="1119"/>
      <c r="E77" s="1120"/>
      <c r="F77" s="167"/>
      <c r="G77" s="804"/>
      <c r="H77" s="804"/>
      <c r="I77" s="804"/>
      <c r="J77" s="804"/>
      <c r="K77" s="804"/>
      <c r="L77" s="804"/>
      <c r="M77" s="804"/>
      <c r="N77" s="804"/>
      <c r="O77" s="804"/>
      <c r="P77" s="804"/>
      <c r="R77" s="804"/>
    </row>
    <row r="78" spans="2:18" ht="28.5" customHeight="1" x14ac:dyDescent="0.2">
      <c r="B78" s="1107" t="str">
        <f>"per 31/12/"&amp;$G$13</f>
        <v>per 31/12/2015</v>
      </c>
      <c r="C78" s="1108"/>
      <c r="D78" s="1108"/>
      <c r="E78" s="1109"/>
      <c r="F78" s="167"/>
      <c r="G78" s="247"/>
      <c r="H78" s="247"/>
      <c r="I78" s="247"/>
      <c r="J78" s="247"/>
      <c r="K78" s="247"/>
      <c r="L78" s="247"/>
      <c r="M78" s="247"/>
      <c r="N78" s="247"/>
      <c r="O78" s="247"/>
      <c r="P78" s="247"/>
      <c r="R78" s="803">
        <f t="shared" si="5"/>
        <v>0</v>
      </c>
    </row>
    <row r="79" spans="2:18" ht="28.5" customHeight="1" x14ac:dyDescent="0.2">
      <c r="B79" s="1107" t="str">
        <f>"per 31/12/"&amp;$H$13</f>
        <v>per 31/12/2016</v>
      </c>
      <c r="C79" s="1108"/>
      <c r="D79" s="1108"/>
      <c r="E79" s="1109"/>
      <c r="F79" s="167"/>
      <c r="G79" s="247"/>
      <c r="H79" s="247"/>
      <c r="I79" s="247"/>
      <c r="J79" s="247"/>
      <c r="K79" s="247"/>
      <c r="L79" s="247"/>
      <c r="M79" s="247"/>
      <c r="N79" s="247"/>
      <c r="O79" s="247"/>
      <c r="P79" s="247"/>
      <c r="R79" s="803">
        <f t="shared" si="5"/>
        <v>0</v>
      </c>
    </row>
    <row r="80" spans="2:18" ht="28.5" customHeight="1" x14ac:dyDescent="0.2">
      <c r="B80" s="1107" t="str">
        <f>"per 31/12/"&amp;$I$13</f>
        <v>per 31/12/2017</v>
      </c>
      <c r="C80" s="1108"/>
      <c r="D80" s="1108"/>
      <c r="E80" s="1109"/>
      <c r="F80" s="167"/>
      <c r="G80" s="247">
        <f>J538</f>
        <v>0</v>
      </c>
      <c r="H80" s="247"/>
      <c r="I80" s="247"/>
      <c r="J80" s="247"/>
      <c r="K80" s="247"/>
      <c r="L80" s="247"/>
      <c r="M80" s="247"/>
      <c r="N80" s="247"/>
      <c r="O80" s="247"/>
      <c r="P80" s="247"/>
      <c r="R80" s="803">
        <f t="shared" si="5"/>
        <v>0</v>
      </c>
    </row>
    <row r="81" spans="2:18" ht="28.5" customHeight="1" x14ac:dyDescent="0.2">
      <c r="B81" s="1107" t="str">
        <f>"per 31/12/"&amp;$J$13</f>
        <v>per 31/12/2018</v>
      </c>
      <c r="C81" s="1108"/>
      <c r="D81" s="1108"/>
      <c r="E81" s="1109"/>
      <c r="F81" s="167"/>
      <c r="G81" s="247">
        <f>L543</f>
        <v>0</v>
      </c>
      <c r="H81" s="247">
        <f>L544</f>
        <v>0</v>
      </c>
      <c r="I81" s="247"/>
      <c r="J81" s="247"/>
      <c r="K81" s="247"/>
      <c r="L81" s="247"/>
      <c r="M81" s="247"/>
      <c r="N81" s="247"/>
      <c r="O81" s="247"/>
      <c r="P81" s="247"/>
      <c r="R81" s="803">
        <f t="shared" si="5"/>
        <v>0</v>
      </c>
    </row>
    <row r="82" spans="2:18" ht="28.5" customHeight="1" x14ac:dyDescent="0.2">
      <c r="B82" s="1107" t="str">
        <f>"per 31/12/"&amp;$K$13</f>
        <v>per 31/12/2019</v>
      </c>
      <c r="C82" s="1108"/>
      <c r="D82" s="1108"/>
      <c r="E82" s="1109"/>
      <c r="F82" s="167"/>
      <c r="G82" s="247">
        <f>L550</f>
        <v>0</v>
      </c>
      <c r="H82" s="247">
        <f>L551</f>
        <v>0</v>
      </c>
      <c r="I82" s="247">
        <f>L552</f>
        <v>0</v>
      </c>
      <c r="J82" s="247"/>
      <c r="K82" s="247"/>
      <c r="L82" s="247"/>
      <c r="M82" s="247"/>
      <c r="N82" s="247"/>
      <c r="O82" s="247"/>
      <c r="P82" s="247"/>
      <c r="R82" s="803">
        <f t="shared" si="5"/>
        <v>0</v>
      </c>
    </row>
    <row r="83" spans="2:18" ht="28.5" customHeight="1" x14ac:dyDescent="0.2">
      <c r="B83" s="1107" t="str">
        <f>"per 31/12/"&amp;$L$13</f>
        <v>per 31/12/2020</v>
      </c>
      <c r="C83" s="1108"/>
      <c r="D83" s="1108"/>
      <c r="E83" s="1109"/>
      <c r="F83" s="167"/>
      <c r="G83" s="247">
        <f>L558</f>
        <v>0</v>
      </c>
      <c r="H83" s="247">
        <f>L559</f>
        <v>0</v>
      </c>
      <c r="I83" s="247">
        <f>L560</f>
        <v>0</v>
      </c>
      <c r="J83" s="247">
        <f>L561</f>
        <v>0</v>
      </c>
      <c r="K83" s="247"/>
      <c r="L83" s="247"/>
      <c r="M83" s="247"/>
      <c r="N83" s="247"/>
      <c r="O83" s="247"/>
      <c r="P83" s="247"/>
      <c r="R83" s="803">
        <f t="shared" si="5"/>
        <v>0</v>
      </c>
    </row>
    <row r="84" spans="2:18" ht="28.5" customHeight="1" x14ac:dyDescent="0.2">
      <c r="B84" s="1107" t="str">
        <f>"per 31/12/"&amp;$M$13</f>
        <v>per 31/12/2021</v>
      </c>
      <c r="C84" s="1108"/>
      <c r="D84" s="1108"/>
      <c r="E84" s="1109"/>
      <c r="F84" s="167"/>
      <c r="G84" s="247">
        <f>H567</f>
        <v>0</v>
      </c>
      <c r="H84" s="247">
        <f>H568</f>
        <v>0</v>
      </c>
      <c r="I84" s="247">
        <f>H569</f>
        <v>0</v>
      </c>
      <c r="J84" s="247">
        <f>H570</f>
        <v>0</v>
      </c>
      <c r="K84" s="247">
        <f>H571</f>
        <v>0</v>
      </c>
      <c r="L84" s="247"/>
      <c r="M84" s="247"/>
      <c r="N84" s="247"/>
      <c r="O84" s="247"/>
      <c r="P84" s="247"/>
      <c r="R84" s="803">
        <f t="shared" si="5"/>
        <v>0</v>
      </c>
    </row>
    <row r="85" spans="2:18" ht="28.5" customHeight="1" x14ac:dyDescent="0.2">
      <c r="B85" s="1107" t="str">
        <f>"per 31/12/"&amp;$N$13</f>
        <v>per 31/12/2022</v>
      </c>
      <c r="C85" s="1108"/>
      <c r="D85" s="1108"/>
      <c r="E85" s="1109"/>
      <c r="F85" s="167"/>
      <c r="G85" s="247">
        <f>H577</f>
        <v>0</v>
      </c>
      <c r="H85" s="247">
        <f>H578</f>
        <v>0</v>
      </c>
      <c r="I85" s="247">
        <f>H579</f>
        <v>0</v>
      </c>
      <c r="J85" s="247">
        <f>H580</f>
        <v>0</v>
      </c>
      <c r="K85" s="247">
        <f>H581</f>
        <v>0</v>
      </c>
      <c r="L85" s="247">
        <f>H582</f>
        <v>0</v>
      </c>
      <c r="M85" s="247"/>
      <c r="N85" s="247"/>
      <c r="O85" s="247"/>
      <c r="P85" s="247"/>
      <c r="R85" s="803">
        <f t="shared" si="5"/>
        <v>0</v>
      </c>
    </row>
    <row r="86" spans="2:18" ht="28.5" customHeight="1" x14ac:dyDescent="0.2">
      <c r="B86" s="1107" t="str">
        <f>"per 31/12/"&amp;$O$13</f>
        <v>per 31/12/2023</v>
      </c>
      <c r="C86" s="1108"/>
      <c r="D86" s="1108"/>
      <c r="E86" s="1109"/>
      <c r="F86" s="167"/>
      <c r="G86" s="247"/>
      <c r="H86" s="247"/>
      <c r="I86" s="247"/>
      <c r="J86" s="247"/>
      <c r="K86" s="247"/>
      <c r="L86" s="247">
        <f>H588</f>
        <v>0</v>
      </c>
      <c r="M86" s="247"/>
      <c r="N86" s="247"/>
      <c r="O86" s="247"/>
      <c r="P86" s="247"/>
      <c r="R86" s="803">
        <f t="shared" si="5"/>
        <v>0</v>
      </c>
    </row>
    <row r="87" spans="2:18" ht="28.5" customHeight="1" x14ac:dyDescent="0.2">
      <c r="B87" s="1112" t="str">
        <f>"per 31/12/"&amp;$P$13</f>
        <v>per 31/12/2024</v>
      </c>
      <c r="C87" s="1113"/>
      <c r="D87" s="1113"/>
      <c r="E87" s="1114"/>
      <c r="F87" s="309"/>
      <c r="G87" s="520"/>
      <c r="H87" s="520"/>
      <c r="I87" s="520"/>
      <c r="J87" s="520"/>
      <c r="K87" s="520"/>
      <c r="L87" s="520"/>
      <c r="M87" s="520"/>
      <c r="N87" s="520"/>
      <c r="O87" s="520"/>
      <c r="P87" s="520"/>
      <c r="R87" s="805"/>
    </row>
    <row r="88" spans="2:18" ht="30" customHeight="1" x14ac:dyDescent="0.2">
      <c r="B88" s="1118" t="s">
        <v>67</v>
      </c>
      <c r="C88" s="1119"/>
      <c r="D88" s="1119"/>
      <c r="E88" s="1120"/>
      <c r="F88" s="167"/>
      <c r="G88" s="804"/>
      <c r="H88" s="804"/>
      <c r="I88" s="804"/>
      <c r="J88" s="804"/>
      <c r="K88" s="804"/>
      <c r="L88" s="804"/>
      <c r="M88" s="804"/>
      <c r="N88" s="804"/>
      <c r="O88" s="804"/>
      <c r="P88" s="804"/>
      <c r="R88" s="804"/>
    </row>
    <row r="89" spans="2:18" ht="28.5" customHeight="1" x14ac:dyDescent="0.2">
      <c r="B89" s="1107" t="str">
        <f>"per 31/12/"&amp;$G$13</f>
        <v>per 31/12/2015</v>
      </c>
      <c r="C89" s="1108"/>
      <c r="D89" s="1108"/>
      <c r="E89" s="1109"/>
      <c r="F89" s="167"/>
      <c r="G89" s="247"/>
      <c r="H89" s="247"/>
      <c r="I89" s="247"/>
      <c r="J89" s="247"/>
      <c r="K89" s="247"/>
      <c r="L89" s="247"/>
      <c r="M89" s="247"/>
      <c r="N89" s="247"/>
      <c r="O89" s="247"/>
      <c r="P89" s="247"/>
      <c r="R89" s="803">
        <f t="shared" si="5"/>
        <v>0</v>
      </c>
    </row>
    <row r="90" spans="2:18" ht="28.5" customHeight="1" x14ac:dyDescent="0.2">
      <c r="B90" s="1107" t="str">
        <f>"per 31/12/"&amp;$H$13</f>
        <v>per 31/12/2016</v>
      </c>
      <c r="C90" s="1108"/>
      <c r="D90" s="1108"/>
      <c r="E90" s="1109"/>
      <c r="F90" s="167"/>
      <c r="G90" s="247"/>
      <c r="H90" s="247"/>
      <c r="I90" s="247"/>
      <c r="J90" s="247"/>
      <c r="K90" s="247"/>
      <c r="L90" s="247"/>
      <c r="M90" s="247"/>
      <c r="N90" s="247"/>
      <c r="O90" s="247"/>
      <c r="P90" s="247"/>
      <c r="R90" s="803">
        <f t="shared" si="5"/>
        <v>0</v>
      </c>
    </row>
    <row r="91" spans="2:18" ht="28.5" customHeight="1" x14ac:dyDescent="0.2">
      <c r="B91" s="1107" t="str">
        <f>"per 31/12/"&amp;$I$13</f>
        <v>per 31/12/2017</v>
      </c>
      <c r="C91" s="1108"/>
      <c r="D91" s="1108"/>
      <c r="E91" s="1109"/>
      <c r="F91" s="167"/>
      <c r="G91" s="247">
        <f>J605</f>
        <v>0</v>
      </c>
      <c r="H91" s="247"/>
      <c r="I91" s="247"/>
      <c r="J91" s="247"/>
      <c r="K91" s="247"/>
      <c r="L91" s="247"/>
      <c r="M91" s="247"/>
      <c r="N91" s="247"/>
      <c r="O91" s="247"/>
      <c r="P91" s="247"/>
      <c r="R91" s="803">
        <f t="shared" si="5"/>
        <v>0</v>
      </c>
    </row>
    <row r="92" spans="2:18" ht="28.5" customHeight="1" x14ac:dyDescent="0.2">
      <c r="B92" s="1107" t="str">
        <f>"per 31/12/"&amp;$J$13</f>
        <v>per 31/12/2018</v>
      </c>
      <c r="C92" s="1108"/>
      <c r="D92" s="1108"/>
      <c r="E92" s="1109"/>
      <c r="F92" s="167"/>
      <c r="G92" s="247">
        <f>L610</f>
        <v>0</v>
      </c>
      <c r="H92" s="247">
        <f>L611</f>
        <v>0</v>
      </c>
      <c r="I92" s="247"/>
      <c r="J92" s="247"/>
      <c r="K92" s="247"/>
      <c r="L92" s="247"/>
      <c r="M92" s="247"/>
      <c r="N92" s="247"/>
      <c r="O92" s="247"/>
      <c r="P92" s="247"/>
      <c r="R92" s="803">
        <f t="shared" si="5"/>
        <v>0</v>
      </c>
    </row>
    <row r="93" spans="2:18" ht="28.5" customHeight="1" x14ac:dyDescent="0.2">
      <c r="B93" s="1107" t="str">
        <f>"per 31/12/"&amp;$K$13</f>
        <v>per 31/12/2019</v>
      </c>
      <c r="C93" s="1108"/>
      <c r="D93" s="1108"/>
      <c r="E93" s="1109"/>
      <c r="F93" s="167"/>
      <c r="G93" s="247">
        <f>L617</f>
        <v>0</v>
      </c>
      <c r="H93" s="247">
        <f>L618</f>
        <v>0</v>
      </c>
      <c r="I93" s="247">
        <f>L619</f>
        <v>0</v>
      </c>
      <c r="J93" s="247"/>
      <c r="K93" s="247"/>
      <c r="L93" s="247"/>
      <c r="M93" s="247"/>
      <c r="N93" s="247"/>
      <c r="O93" s="247"/>
      <c r="P93" s="247"/>
      <c r="R93" s="803">
        <f t="shared" si="5"/>
        <v>0</v>
      </c>
    </row>
    <row r="94" spans="2:18" ht="28.5" customHeight="1" x14ac:dyDescent="0.2">
      <c r="B94" s="1107" t="str">
        <f>"per 31/12/"&amp;$L$13</f>
        <v>per 31/12/2020</v>
      </c>
      <c r="C94" s="1108"/>
      <c r="D94" s="1108"/>
      <c r="E94" s="1109"/>
      <c r="F94" s="167"/>
      <c r="G94" s="247">
        <f>L625</f>
        <v>0</v>
      </c>
      <c r="H94" s="247">
        <f>L626</f>
        <v>0</v>
      </c>
      <c r="I94" s="247">
        <f>L627</f>
        <v>0</v>
      </c>
      <c r="J94" s="247">
        <f>L628</f>
        <v>0</v>
      </c>
      <c r="K94" s="247"/>
      <c r="L94" s="247"/>
      <c r="M94" s="247"/>
      <c r="N94" s="247"/>
      <c r="O94" s="247"/>
      <c r="P94" s="247"/>
      <c r="R94" s="803">
        <f t="shared" si="5"/>
        <v>0</v>
      </c>
    </row>
    <row r="95" spans="2:18" ht="28.5" customHeight="1" x14ac:dyDescent="0.2">
      <c r="B95" s="1107" t="str">
        <f>"per 31/12/"&amp;$M$13</f>
        <v>per 31/12/2021</v>
      </c>
      <c r="C95" s="1108"/>
      <c r="D95" s="1108"/>
      <c r="E95" s="1109"/>
      <c r="F95" s="167"/>
      <c r="G95" s="247">
        <f>H634</f>
        <v>0</v>
      </c>
      <c r="H95" s="247">
        <f>H635</f>
        <v>0</v>
      </c>
      <c r="I95" s="247">
        <f>H636</f>
        <v>0</v>
      </c>
      <c r="J95" s="247">
        <f>H637</f>
        <v>0</v>
      </c>
      <c r="K95" s="247">
        <f>H638</f>
        <v>0</v>
      </c>
      <c r="L95" s="247"/>
      <c r="M95" s="247"/>
      <c r="N95" s="247"/>
      <c r="O95" s="247"/>
      <c r="P95" s="247"/>
      <c r="R95" s="803">
        <f t="shared" si="5"/>
        <v>0</v>
      </c>
    </row>
    <row r="96" spans="2:18" ht="28.5" customHeight="1" x14ac:dyDescent="0.2">
      <c r="B96" s="1107" t="str">
        <f>"per 31/12/"&amp;$N$13</f>
        <v>per 31/12/2022</v>
      </c>
      <c r="C96" s="1108"/>
      <c r="D96" s="1108"/>
      <c r="E96" s="1109"/>
      <c r="F96" s="167"/>
      <c r="G96" s="247">
        <f>H644</f>
        <v>0</v>
      </c>
      <c r="H96" s="247">
        <f>H645</f>
        <v>0</v>
      </c>
      <c r="I96" s="247">
        <f>H646</f>
        <v>0</v>
      </c>
      <c r="J96" s="247">
        <f>H647</f>
        <v>0</v>
      </c>
      <c r="K96" s="247">
        <f>H648</f>
        <v>0</v>
      </c>
      <c r="L96" s="247">
        <f>H649</f>
        <v>0</v>
      </c>
      <c r="M96" s="247"/>
      <c r="N96" s="247"/>
      <c r="O96" s="247"/>
      <c r="P96" s="247"/>
      <c r="R96" s="803">
        <f t="shared" si="5"/>
        <v>0</v>
      </c>
    </row>
    <row r="97" spans="2:18" ht="28.5" customHeight="1" x14ac:dyDescent="0.2">
      <c r="B97" s="1107" t="str">
        <f>"per 31/12/"&amp;$O$13</f>
        <v>per 31/12/2023</v>
      </c>
      <c r="C97" s="1108"/>
      <c r="D97" s="1108"/>
      <c r="E97" s="1109"/>
      <c r="F97" s="167"/>
      <c r="G97" s="247"/>
      <c r="H97" s="247"/>
      <c r="I97" s="247"/>
      <c r="J97" s="247"/>
      <c r="K97" s="247"/>
      <c r="L97" s="247">
        <f>H655</f>
        <v>0</v>
      </c>
      <c r="M97" s="247">
        <f>H656</f>
        <v>0</v>
      </c>
      <c r="N97" s="247"/>
      <c r="O97" s="247"/>
      <c r="P97" s="247"/>
      <c r="R97" s="803">
        <f t="shared" si="5"/>
        <v>0</v>
      </c>
    </row>
    <row r="98" spans="2:18" ht="28.5" customHeight="1" x14ac:dyDescent="0.2">
      <c r="B98" s="1107" t="str">
        <f>"per 31/12/"&amp;$P$13</f>
        <v>per 31/12/2024</v>
      </c>
      <c r="C98" s="1108"/>
      <c r="D98" s="1108"/>
      <c r="E98" s="1109"/>
      <c r="F98" s="167"/>
      <c r="G98" s="247"/>
      <c r="H98" s="247"/>
      <c r="I98" s="247"/>
      <c r="J98" s="247"/>
      <c r="K98" s="247"/>
      <c r="L98" s="247"/>
      <c r="M98" s="247">
        <f>H662</f>
        <v>0</v>
      </c>
      <c r="N98" s="247">
        <f>H663</f>
        <v>0</v>
      </c>
      <c r="O98" s="247"/>
      <c r="P98" s="247"/>
      <c r="R98" s="803">
        <f t="shared" si="5"/>
        <v>0</v>
      </c>
    </row>
    <row r="99" spans="2:18" ht="26.25" customHeight="1" x14ac:dyDescent="0.2">
      <c r="B99" s="1118" t="s">
        <v>96</v>
      </c>
      <c r="C99" s="1119"/>
      <c r="D99" s="1119"/>
      <c r="E99" s="1120"/>
      <c r="F99" s="167"/>
      <c r="G99" s="804"/>
      <c r="H99" s="804"/>
      <c r="I99" s="804"/>
      <c r="J99" s="804"/>
      <c r="K99" s="804"/>
      <c r="L99" s="804"/>
      <c r="M99" s="804"/>
      <c r="N99" s="804"/>
      <c r="O99" s="804"/>
      <c r="P99" s="804"/>
      <c r="R99" s="804"/>
    </row>
    <row r="100" spans="2:18" ht="28.5" customHeight="1" x14ac:dyDescent="0.2">
      <c r="B100" s="1107" t="str">
        <f>"per 31/12/"&amp;$G$13</f>
        <v>per 31/12/2015</v>
      </c>
      <c r="C100" s="1108"/>
      <c r="D100" s="1108"/>
      <c r="E100" s="1109"/>
      <c r="F100" s="167"/>
      <c r="G100" s="247"/>
      <c r="H100" s="247"/>
      <c r="I100" s="247"/>
      <c r="J100" s="247"/>
      <c r="K100" s="247"/>
      <c r="L100" s="247"/>
      <c r="M100" s="247"/>
      <c r="N100" s="247"/>
      <c r="O100" s="247"/>
      <c r="P100" s="247"/>
      <c r="R100" s="803">
        <f t="shared" si="5"/>
        <v>0</v>
      </c>
    </row>
    <row r="101" spans="2:18" ht="28.5" customHeight="1" x14ac:dyDescent="0.2">
      <c r="B101" s="1107" t="str">
        <f>"per 31/12/"&amp;$H$13</f>
        <v>per 31/12/2016</v>
      </c>
      <c r="C101" s="1108"/>
      <c r="D101" s="1108"/>
      <c r="E101" s="1109"/>
      <c r="F101" s="167"/>
      <c r="G101" s="247"/>
      <c r="H101" s="247"/>
      <c r="I101" s="247"/>
      <c r="J101" s="247"/>
      <c r="K101" s="247"/>
      <c r="L101" s="247"/>
      <c r="M101" s="247"/>
      <c r="N101" s="247"/>
      <c r="O101" s="247"/>
      <c r="P101" s="247"/>
      <c r="R101" s="803">
        <f t="shared" si="5"/>
        <v>0</v>
      </c>
    </row>
    <row r="102" spans="2:18" ht="28.5" customHeight="1" x14ac:dyDescent="0.2">
      <c r="B102" s="1107" t="str">
        <f>"per 31/12/"&amp;$I$13</f>
        <v>per 31/12/2017</v>
      </c>
      <c r="C102" s="1108"/>
      <c r="D102" s="1108"/>
      <c r="E102" s="1109"/>
      <c r="F102" s="167"/>
      <c r="G102" s="247">
        <f>J680</f>
        <v>0</v>
      </c>
      <c r="H102" s="247"/>
      <c r="I102" s="247"/>
      <c r="J102" s="247"/>
      <c r="K102" s="247"/>
      <c r="L102" s="247"/>
      <c r="M102" s="247"/>
      <c r="N102" s="247"/>
      <c r="O102" s="247"/>
      <c r="P102" s="247"/>
      <c r="R102" s="803">
        <f t="shared" si="5"/>
        <v>0</v>
      </c>
    </row>
    <row r="103" spans="2:18" ht="28.5" customHeight="1" x14ac:dyDescent="0.2">
      <c r="B103" s="1107" t="str">
        <f>"per 31/12/"&amp;$J$13</f>
        <v>per 31/12/2018</v>
      </c>
      <c r="C103" s="1108"/>
      <c r="D103" s="1108"/>
      <c r="E103" s="1109"/>
      <c r="F103" s="167"/>
      <c r="G103" s="247">
        <f>L685</f>
        <v>0</v>
      </c>
      <c r="H103" s="247">
        <f>L686</f>
        <v>0</v>
      </c>
      <c r="I103" s="247"/>
      <c r="J103" s="247"/>
      <c r="K103" s="247"/>
      <c r="L103" s="247"/>
      <c r="M103" s="247"/>
      <c r="N103" s="247"/>
      <c r="O103" s="247"/>
      <c r="P103" s="247"/>
      <c r="R103" s="803">
        <f t="shared" si="5"/>
        <v>0</v>
      </c>
    </row>
    <row r="104" spans="2:18" ht="28.5" customHeight="1" x14ac:dyDescent="0.2">
      <c r="B104" s="1107" t="str">
        <f>"per 31/12/"&amp;$K$13</f>
        <v>per 31/12/2019</v>
      </c>
      <c r="C104" s="1108"/>
      <c r="D104" s="1108"/>
      <c r="E104" s="1109"/>
      <c r="F104" s="167"/>
      <c r="G104" s="247">
        <f>L692</f>
        <v>0</v>
      </c>
      <c r="H104" s="247">
        <f>L693</f>
        <v>0</v>
      </c>
      <c r="I104" s="247">
        <f>L694</f>
        <v>0</v>
      </c>
      <c r="J104" s="247"/>
      <c r="K104" s="247"/>
      <c r="L104" s="247"/>
      <c r="M104" s="247"/>
      <c r="N104" s="247"/>
      <c r="O104" s="247"/>
      <c r="P104" s="247"/>
      <c r="R104" s="803">
        <f t="shared" si="5"/>
        <v>0</v>
      </c>
    </row>
    <row r="105" spans="2:18" ht="28.5" customHeight="1" x14ac:dyDescent="0.2">
      <c r="B105" s="1107" t="str">
        <f>"per 31/12/"&amp;$L$13</f>
        <v>per 31/12/2020</v>
      </c>
      <c r="C105" s="1108"/>
      <c r="D105" s="1108"/>
      <c r="E105" s="1109"/>
      <c r="F105" s="167"/>
      <c r="G105" s="247">
        <f>L700</f>
        <v>0</v>
      </c>
      <c r="H105" s="247">
        <f>L701</f>
        <v>0</v>
      </c>
      <c r="I105" s="247">
        <f>L702</f>
        <v>0</v>
      </c>
      <c r="J105" s="247">
        <f>L703</f>
        <v>0</v>
      </c>
      <c r="K105" s="247"/>
      <c r="L105" s="247"/>
      <c r="M105" s="247"/>
      <c r="N105" s="247"/>
      <c r="O105" s="247"/>
      <c r="P105" s="247"/>
      <c r="R105" s="803">
        <f t="shared" si="5"/>
        <v>0</v>
      </c>
    </row>
    <row r="106" spans="2:18" ht="28.5" customHeight="1" x14ac:dyDescent="0.2">
      <c r="B106" s="1107" t="str">
        <f>"per 31/12/"&amp;$M$13</f>
        <v>per 31/12/2021</v>
      </c>
      <c r="C106" s="1108"/>
      <c r="D106" s="1108"/>
      <c r="E106" s="1109"/>
      <c r="F106" s="167"/>
      <c r="G106" s="247">
        <f>H709</f>
        <v>0</v>
      </c>
      <c r="H106" s="247">
        <f>H710</f>
        <v>0</v>
      </c>
      <c r="I106" s="247">
        <f>H711</f>
        <v>0</v>
      </c>
      <c r="J106" s="247">
        <f>H712</f>
        <v>0</v>
      </c>
      <c r="K106" s="247">
        <f>H713</f>
        <v>0</v>
      </c>
      <c r="L106" s="247"/>
      <c r="M106" s="247"/>
      <c r="N106" s="247"/>
      <c r="O106" s="247"/>
      <c r="P106" s="247"/>
      <c r="R106" s="803">
        <f t="shared" si="5"/>
        <v>0</v>
      </c>
    </row>
    <row r="107" spans="2:18" ht="28.5" customHeight="1" x14ac:dyDescent="0.2">
      <c r="B107" s="1107" t="str">
        <f>"per 31/12/"&amp;$N$13</f>
        <v>per 31/12/2022</v>
      </c>
      <c r="C107" s="1108"/>
      <c r="D107" s="1108"/>
      <c r="E107" s="1109"/>
      <c r="F107" s="167"/>
      <c r="G107" s="247">
        <f>H719</f>
        <v>0</v>
      </c>
      <c r="H107" s="247">
        <f>H720</f>
        <v>0</v>
      </c>
      <c r="I107" s="247">
        <f>H721</f>
        <v>0</v>
      </c>
      <c r="J107" s="247">
        <f>H722</f>
        <v>0</v>
      </c>
      <c r="K107" s="247">
        <f>H723</f>
        <v>0</v>
      </c>
      <c r="L107" s="247">
        <f>H724</f>
        <v>0</v>
      </c>
      <c r="M107" s="247"/>
      <c r="N107" s="247"/>
      <c r="O107" s="247"/>
      <c r="P107" s="247"/>
      <c r="R107" s="803">
        <f t="shared" si="5"/>
        <v>0</v>
      </c>
    </row>
    <row r="108" spans="2:18" ht="28.5" customHeight="1" x14ac:dyDescent="0.2">
      <c r="B108" s="1107" t="str">
        <f>"per 31/12/"&amp;$O$13</f>
        <v>per 31/12/2023</v>
      </c>
      <c r="C108" s="1108"/>
      <c r="D108" s="1108"/>
      <c r="E108" s="1109"/>
      <c r="F108" s="167"/>
      <c r="G108" s="247"/>
      <c r="H108" s="247"/>
      <c r="I108" s="247"/>
      <c r="J108" s="247"/>
      <c r="K108" s="247"/>
      <c r="L108" s="247">
        <f>H730</f>
        <v>0</v>
      </c>
      <c r="M108" s="247">
        <f>H731</f>
        <v>0</v>
      </c>
      <c r="N108" s="247"/>
      <c r="O108" s="247"/>
      <c r="P108" s="247"/>
      <c r="R108" s="803">
        <f t="shared" si="5"/>
        <v>0</v>
      </c>
    </row>
    <row r="109" spans="2:18" ht="28.5" customHeight="1" x14ac:dyDescent="0.2">
      <c r="B109" s="1107" t="str">
        <f>"per 31/12/"&amp;$P$13</f>
        <v>per 31/12/2024</v>
      </c>
      <c r="C109" s="1108"/>
      <c r="D109" s="1108"/>
      <c r="E109" s="1109"/>
      <c r="F109" s="167"/>
      <c r="G109" s="247"/>
      <c r="H109" s="247"/>
      <c r="I109" s="247"/>
      <c r="J109" s="247"/>
      <c r="K109" s="247"/>
      <c r="L109" s="247"/>
      <c r="M109" s="247">
        <f>H737</f>
        <v>0</v>
      </c>
      <c r="N109" s="520"/>
      <c r="O109" s="247"/>
      <c r="P109" s="247"/>
      <c r="R109" s="803">
        <f t="shared" ref="R109" si="7">SUM(G109:P109)</f>
        <v>0</v>
      </c>
    </row>
    <row r="110" spans="2:18" ht="33" customHeight="1" x14ac:dyDescent="0.2">
      <c r="B110" s="1118" t="s">
        <v>357</v>
      </c>
      <c r="C110" s="1119"/>
      <c r="D110" s="1119"/>
      <c r="E110" s="1120"/>
      <c r="F110" s="167"/>
      <c r="G110" s="804"/>
      <c r="H110" s="804"/>
      <c r="I110" s="804"/>
      <c r="J110" s="804"/>
      <c r="K110" s="804"/>
      <c r="L110" s="804"/>
      <c r="M110" s="804"/>
      <c r="N110" s="804"/>
      <c r="O110" s="804"/>
      <c r="P110" s="804"/>
      <c r="R110" s="804"/>
    </row>
    <row r="111" spans="2:18" ht="28.5" customHeight="1" x14ac:dyDescent="0.2">
      <c r="B111" s="1107" t="str">
        <f>"per 31/12/"&amp;$G$13</f>
        <v>per 31/12/2015</v>
      </c>
      <c r="C111" s="1108"/>
      <c r="D111" s="1108"/>
      <c r="E111" s="1109"/>
      <c r="F111" s="167"/>
      <c r="G111" s="247"/>
      <c r="H111" s="247"/>
      <c r="I111" s="247"/>
      <c r="J111" s="247"/>
      <c r="K111" s="247"/>
      <c r="L111" s="247"/>
      <c r="M111" s="247"/>
      <c r="N111" s="247"/>
      <c r="O111" s="247"/>
      <c r="P111" s="247"/>
      <c r="R111" s="803">
        <f t="shared" ref="R111:R120" si="8">SUM(G111:P111)</f>
        <v>0</v>
      </c>
    </row>
    <row r="112" spans="2:18" ht="28.5" customHeight="1" x14ac:dyDescent="0.2">
      <c r="B112" s="1107" t="str">
        <f>"per 31/12/"&amp;$H$13</f>
        <v>per 31/12/2016</v>
      </c>
      <c r="C112" s="1108"/>
      <c r="D112" s="1108"/>
      <c r="E112" s="1109"/>
      <c r="F112" s="167"/>
      <c r="G112" s="247"/>
      <c r="H112" s="247"/>
      <c r="I112" s="247"/>
      <c r="J112" s="247"/>
      <c r="K112" s="247"/>
      <c r="L112" s="247"/>
      <c r="M112" s="247"/>
      <c r="N112" s="247"/>
      <c r="O112" s="247"/>
      <c r="P112" s="247"/>
      <c r="R112" s="803">
        <f t="shared" si="8"/>
        <v>0</v>
      </c>
    </row>
    <row r="113" spans="2:18" ht="28.5" customHeight="1" x14ac:dyDescent="0.2">
      <c r="B113" s="1107" t="str">
        <f>"per 31/12/"&amp;$I$13</f>
        <v>per 31/12/2017</v>
      </c>
      <c r="C113" s="1108"/>
      <c r="D113" s="1108"/>
      <c r="E113" s="1109"/>
      <c r="F113" s="167"/>
      <c r="G113" s="247">
        <f>J754</f>
        <v>0</v>
      </c>
      <c r="H113" s="247"/>
      <c r="I113" s="247"/>
      <c r="J113" s="247"/>
      <c r="K113" s="247"/>
      <c r="L113" s="247"/>
      <c r="M113" s="247"/>
      <c r="N113" s="247"/>
      <c r="O113" s="247"/>
      <c r="P113" s="247"/>
      <c r="R113" s="803">
        <f t="shared" si="8"/>
        <v>0</v>
      </c>
    </row>
    <row r="114" spans="2:18" ht="28.5" customHeight="1" x14ac:dyDescent="0.2">
      <c r="B114" s="1107" t="str">
        <f>"per 31/12/"&amp;$J$13</f>
        <v>per 31/12/2018</v>
      </c>
      <c r="C114" s="1108"/>
      <c r="D114" s="1108"/>
      <c r="E114" s="1109"/>
      <c r="F114" s="167"/>
      <c r="G114" s="247">
        <f>L759</f>
        <v>0</v>
      </c>
      <c r="H114" s="247">
        <f>L760</f>
        <v>0</v>
      </c>
      <c r="I114" s="247"/>
      <c r="J114" s="247"/>
      <c r="K114" s="247"/>
      <c r="L114" s="247"/>
      <c r="M114" s="247"/>
      <c r="N114" s="247"/>
      <c r="O114" s="247"/>
      <c r="P114" s="247"/>
      <c r="R114" s="803">
        <f t="shared" si="8"/>
        <v>0</v>
      </c>
    </row>
    <row r="115" spans="2:18" ht="28.5" customHeight="1" x14ac:dyDescent="0.2">
      <c r="B115" s="1107" t="str">
        <f>"per 31/12/"&amp;$K$13</f>
        <v>per 31/12/2019</v>
      </c>
      <c r="C115" s="1108"/>
      <c r="D115" s="1108"/>
      <c r="E115" s="1109"/>
      <c r="F115" s="167"/>
      <c r="G115" s="247">
        <f>L766</f>
        <v>0</v>
      </c>
      <c r="H115" s="247">
        <f>L767</f>
        <v>0</v>
      </c>
      <c r="I115" s="247">
        <f>L768</f>
        <v>0</v>
      </c>
      <c r="J115" s="247"/>
      <c r="K115" s="247"/>
      <c r="L115" s="247"/>
      <c r="M115" s="247"/>
      <c r="N115" s="247"/>
      <c r="O115" s="247"/>
      <c r="P115" s="247"/>
      <c r="R115" s="803">
        <f t="shared" si="8"/>
        <v>0</v>
      </c>
    </row>
    <row r="116" spans="2:18" ht="28.5" customHeight="1" x14ac:dyDescent="0.2">
      <c r="B116" s="1107" t="str">
        <f>"per 31/12/"&amp;$L$13</f>
        <v>per 31/12/2020</v>
      </c>
      <c r="C116" s="1108"/>
      <c r="D116" s="1108"/>
      <c r="E116" s="1109"/>
      <c r="F116" s="167"/>
      <c r="G116" s="247">
        <f>L774</f>
        <v>0</v>
      </c>
      <c r="H116" s="247">
        <f>L775</f>
        <v>0</v>
      </c>
      <c r="I116" s="247">
        <f>L776</f>
        <v>0</v>
      </c>
      <c r="J116" s="247">
        <f>L777</f>
        <v>0</v>
      </c>
      <c r="K116" s="247"/>
      <c r="L116" s="247"/>
      <c r="M116" s="247"/>
      <c r="N116" s="247"/>
      <c r="O116" s="247"/>
      <c r="P116" s="247"/>
      <c r="R116" s="803">
        <f t="shared" si="8"/>
        <v>0</v>
      </c>
    </row>
    <row r="117" spans="2:18" ht="28.5" customHeight="1" x14ac:dyDescent="0.2">
      <c r="B117" s="1107" t="str">
        <f>"per 31/12/"&amp;$M$13</f>
        <v>per 31/12/2021</v>
      </c>
      <c r="C117" s="1108"/>
      <c r="D117" s="1108"/>
      <c r="E117" s="1109"/>
      <c r="F117" s="167"/>
      <c r="G117" s="247">
        <f>H783</f>
        <v>0</v>
      </c>
      <c r="H117" s="247">
        <f>H784</f>
        <v>0</v>
      </c>
      <c r="I117" s="247">
        <f>H785</f>
        <v>0</v>
      </c>
      <c r="J117" s="247">
        <f>H786</f>
        <v>0</v>
      </c>
      <c r="K117" s="247">
        <f>H787</f>
        <v>0</v>
      </c>
      <c r="L117" s="247"/>
      <c r="M117" s="247"/>
      <c r="N117" s="247"/>
      <c r="O117" s="247"/>
      <c r="P117" s="247"/>
      <c r="R117" s="803">
        <f t="shared" si="8"/>
        <v>0</v>
      </c>
    </row>
    <row r="118" spans="2:18" ht="28.5" customHeight="1" x14ac:dyDescent="0.2">
      <c r="B118" s="1107" t="str">
        <f>"per 31/12/"&amp;$N$13</f>
        <v>per 31/12/2022</v>
      </c>
      <c r="C118" s="1108"/>
      <c r="D118" s="1108"/>
      <c r="E118" s="1109"/>
      <c r="F118" s="167"/>
      <c r="G118" s="247">
        <f>H793</f>
        <v>0</v>
      </c>
      <c r="H118" s="247">
        <f>H794</f>
        <v>0</v>
      </c>
      <c r="I118" s="247">
        <f>H795</f>
        <v>0</v>
      </c>
      <c r="J118" s="247">
        <f>H796</f>
        <v>0</v>
      </c>
      <c r="K118" s="247">
        <f>H797</f>
        <v>0</v>
      </c>
      <c r="L118" s="247">
        <f>H798</f>
        <v>0</v>
      </c>
      <c r="M118" s="247"/>
      <c r="N118" s="247"/>
      <c r="O118" s="247"/>
      <c r="P118" s="247"/>
      <c r="R118" s="803">
        <f t="shared" si="8"/>
        <v>0</v>
      </c>
    </row>
    <row r="119" spans="2:18" ht="28.5" customHeight="1" x14ac:dyDescent="0.2">
      <c r="B119" s="1107" t="str">
        <f>"per 31/12/"&amp;$O$13</f>
        <v>per 31/12/2023</v>
      </c>
      <c r="C119" s="1108"/>
      <c r="D119" s="1108"/>
      <c r="E119" s="1109"/>
      <c r="F119" s="167"/>
      <c r="G119" s="247"/>
      <c r="H119" s="247"/>
      <c r="I119" s="247"/>
      <c r="J119" s="247"/>
      <c r="K119" s="247"/>
      <c r="L119" s="247">
        <f>H804</f>
        <v>0</v>
      </c>
      <c r="M119" s="247">
        <f>H805</f>
        <v>0</v>
      </c>
      <c r="N119" s="247"/>
      <c r="O119" s="247"/>
      <c r="P119" s="247"/>
      <c r="R119" s="803">
        <f t="shared" si="8"/>
        <v>0</v>
      </c>
    </row>
    <row r="120" spans="2:18" ht="28.5" customHeight="1" x14ac:dyDescent="0.2">
      <c r="B120" s="1107" t="str">
        <f>"per 31/12/"&amp;$P$13</f>
        <v>per 31/12/2024</v>
      </c>
      <c r="C120" s="1108"/>
      <c r="D120" s="1108"/>
      <c r="E120" s="1109"/>
      <c r="F120" s="167"/>
      <c r="G120" s="247"/>
      <c r="H120" s="247"/>
      <c r="I120" s="247"/>
      <c r="J120" s="247"/>
      <c r="K120" s="247"/>
      <c r="L120" s="247"/>
      <c r="M120" s="247">
        <f>H811</f>
        <v>0</v>
      </c>
      <c r="N120" s="247">
        <f>H812</f>
        <v>0</v>
      </c>
      <c r="O120" s="247"/>
      <c r="P120" s="247"/>
      <c r="R120" s="803">
        <f t="shared" si="8"/>
        <v>0</v>
      </c>
    </row>
    <row r="121" spans="2:18" ht="33" customHeight="1" x14ac:dyDescent="0.2">
      <c r="B121" s="1118" t="s">
        <v>349</v>
      </c>
      <c r="C121" s="1119"/>
      <c r="D121" s="1119"/>
      <c r="E121" s="1120"/>
      <c r="F121" s="167"/>
      <c r="G121" s="804"/>
      <c r="H121" s="804"/>
      <c r="I121" s="804"/>
      <c r="J121" s="804"/>
      <c r="K121" s="804"/>
      <c r="L121" s="804"/>
      <c r="M121" s="804"/>
      <c r="N121" s="804"/>
      <c r="O121" s="804"/>
      <c r="P121" s="804"/>
      <c r="R121" s="804"/>
    </row>
    <row r="122" spans="2:18" ht="28.5" customHeight="1" x14ac:dyDescent="0.2">
      <c r="B122" s="1107" t="str">
        <f>"per 31/12/"&amp;$G$13</f>
        <v>per 31/12/2015</v>
      </c>
      <c r="C122" s="1108"/>
      <c r="D122" s="1108"/>
      <c r="E122" s="1109"/>
      <c r="F122" s="167"/>
      <c r="G122" s="247"/>
      <c r="H122" s="247"/>
      <c r="I122" s="247"/>
      <c r="J122" s="247"/>
      <c r="K122" s="247"/>
      <c r="L122" s="247"/>
      <c r="M122" s="247"/>
      <c r="N122" s="247"/>
      <c r="O122" s="247"/>
      <c r="P122" s="247"/>
      <c r="R122" s="803">
        <f t="shared" ref="R122:R131" si="9">SUM(G122:P122)</f>
        <v>0</v>
      </c>
    </row>
    <row r="123" spans="2:18" ht="28.5" customHeight="1" x14ac:dyDescent="0.2">
      <c r="B123" s="1107" t="str">
        <f>"per 31/12/"&amp;$H$13</f>
        <v>per 31/12/2016</v>
      </c>
      <c r="C123" s="1108"/>
      <c r="D123" s="1108"/>
      <c r="E123" s="1109"/>
      <c r="F123" s="167"/>
      <c r="G123" s="247"/>
      <c r="H123" s="247"/>
      <c r="I123" s="247"/>
      <c r="J123" s="247"/>
      <c r="K123" s="247"/>
      <c r="L123" s="247"/>
      <c r="M123" s="247"/>
      <c r="N123" s="247"/>
      <c r="O123" s="247"/>
      <c r="P123" s="247"/>
      <c r="R123" s="803">
        <f t="shared" si="9"/>
        <v>0</v>
      </c>
    </row>
    <row r="124" spans="2:18" ht="28.5" customHeight="1" x14ac:dyDescent="0.2">
      <c r="B124" s="1107" t="str">
        <f>"per 31/12/"&amp;$I$13</f>
        <v>per 31/12/2017</v>
      </c>
      <c r="C124" s="1108"/>
      <c r="D124" s="1108"/>
      <c r="E124" s="1109"/>
      <c r="F124" s="167"/>
      <c r="G124" s="247">
        <f>+J829</f>
        <v>0</v>
      </c>
      <c r="H124" s="247"/>
      <c r="I124" s="247"/>
      <c r="J124" s="247"/>
      <c r="K124" s="247"/>
      <c r="L124" s="247"/>
      <c r="M124" s="247"/>
      <c r="N124" s="247"/>
      <c r="O124" s="247"/>
      <c r="P124" s="247"/>
      <c r="R124" s="803">
        <f t="shared" si="9"/>
        <v>0</v>
      </c>
    </row>
    <row r="125" spans="2:18" ht="28.5" customHeight="1" x14ac:dyDescent="0.2">
      <c r="B125" s="1107" t="str">
        <f>"per 31/12/"&amp;$J$13</f>
        <v>per 31/12/2018</v>
      </c>
      <c r="C125" s="1108"/>
      <c r="D125" s="1108"/>
      <c r="E125" s="1109"/>
      <c r="F125" s="167"/>
      <c r="G125" s="247">
        <f>+L834</f>
        <v>0</v>
      </c>
      <c r="H125" s="247">
        <f>+L835</f>
        <v>0</v>
      </c>
      <c r="I125" s="247"/>
      <c r="J125" s="247"/>
      <c r="K125" s="247"/>
      <c r="L125" s="247"/>
      <c r="M125" s="247"/>
      <c r="N125" s="247"/>
      <c r="O125" s="247"/>
      <c r="P125" s="247"/>
      <c r="R125" s="803">
        <f t="shared" si="9"/>
        <v>0</v>
      </c>
    </row>
    <row r="126" spans="2:18" ht="28.5" customHeight="1" x14ac:dyDescent="0.2">
      <c r="B126" s="1107" t="str">
        <f>"per 31/12/"&amp;$K$13</f>
        <v>per 31/12/2019</v>
      </c>
      <c r="C126" s="1108"/>
      <c r="D126" s="1108"/>
      <c r="E126" s="1109"/>
      <c r="F126" s="167"/>
      <c r="G126" s="247">
        <f>+L841</f>
        <v>0</v>
      </c>
      <c r="H126" s="247">
        <f>+L842</f>
        <v>0</v>
      </c>
      <c r="I126" s="247">
        <f>+L843</f>
        <v>0</v>
      </c>
      <c r="J126" s="247"/>
      <c r="K126" s="247"/>
      <c r="L126" s="247"/>
      <c r="M126" s="247"/>
      <c r="N126" s="247"/>
      <c r="O126" s="247"/>
      <c r="P126" s="247"/>
      <c r="R126" s="803">
        <f t="shared" si="9"/>
        <v>0</v>
      </c>
    </row>
    <row r="127" spans="2:18" ht="28.5" customHeight="1" x14ac:dyDescent="0.2">
      <c r="B127" s="1107" t="str">
        <f>"per 31/12/"&amp;$L$13</f>
        <v>per 31/12/2020</v>
      </c>
      <c r="C127" s="1108"/>
      <c r="D127" s="1108"/>
      <c r="E127" s="1109"/>
      <c r="F127" s="167"/>
      <c r="G127" s="247">
        <f>+L849</f>
        <v>0</v>
      </c>
      <c r="H127" s="247">
        <f>+L850</f>
        <v>0</v>
      </c>
      <c r="I127" s="247">
        <f>+L851</f>
        <v>0</v>
      </c>
      <c r="J127" s="247">
        <f>+L852</f>
        <v>0</v>
      </c>
      <c r="K127" s="247"/>
      <c r="L127" s="247"/>
      <c r="M127" s="247"/>
      <c r="N127" s="247"/>
      <c r="O127" s="247"/>
      <c r="P127" s="247"/>
      <c r="R127" s="803">
        <f t="shared" si="9"/>
        <v>0</v>
      </c>
    </row>
    <row r="128" spans="2:18" ht="28.5" customHeight="1" x14ac:dyDescent="0.2">
      <c r="B128" s="1107" t="str">
        <f>"per 31/12/"&amp;$M$13</f>
        <v>per 31/12/2021</v>
      </c>
      <c r="C128" s="1108"/>
      <c r="D128" s="1108"/>
      <c r="E128" s="1109"/>
      <c r="F128" s="167"/>
      <c r="G128" s="247">
        <f>+H858</f>
        <v>0</v>
      </c>
      <c r="H128" s="247">
        <f>+H859</f>
        <v>0</v>
      </c>
      <c r="I128" s="247">
        <f>+H860</f>
        <v>0</v>
      </c>
      <c r="J128" s="247">
        <f>+H861</f>
        <v>0</v>
      </c>
      <c r="K128" s="247">
        <f>+H862</f>
        <v>0</v>
      </c>
      <c r="L128" s="247"/>
      <c r="M128" s="247"/>
      <c r="N128" s="247"/>
      <c r="O128" s="247"/>
      <c r="P128" s="247"/>
      <c r="R128" s="803">
        <f t="shared" si="9"/>
        <v>0</v>
      </c>
    </row>
    <row r="129" spans="2:18" ht="28.5" customHeight="1" x14ac:dyDescent="0.2">
      <c r="B129" s="1107" t="str">
        <f>"per 31/12/"&amp;$N$13</f>
        <v>per 31/12/2022</v>
      </c>
      <c r="C129" s="1108"/>
      <c r="D129" s="1108"/>
      <c r="E129" s="1109"/>
      <c r="F129" s="167"/>
      <c r="G129" s="247">
        <f>+H868</f>
        <v>0</v>
      </c>
      <c r="H129" s="247">
        <f>+H869</f>
        <v>0</v>
      </c>
      <c r="I129" s="247">
        <f>+H870</f>
        <v>0</v>
      </c>
      <c r="J129" s="247">
        <f>+H871</f>
        <v>0</v>
      </c>
      <c r="K129" s="247">
        <f>+H872</f>
        <v>0</v>
      </c>
      <c r="L129" s="247">
        <f>+H873</f>
        <v>0</v>
      </c>
      <c r="M129" s="247"/>
      <c r="N129" s="247"/>
      <c r="O129" s="247"/>
      <c r="P129" s="247"/>
      <c r="R129" s="803">
        <f t="shared" si="9"/>
        <v>0</v>
      </c>
    </row>
    <row r="130" spans="2:18" ht="28.5" customHeight="1" x14ac:dyDescent="0.2">
      <c r="B130" s="1107" t="str">
        <f>"per 31/12/"&amp;$O$13</f>
        <v>per 31/12/2023</v>
      </c>
      <c r="C130" s="1108"/>
      <c r="D130" s="1108"/>
      <c r="E130" s="1109"/>
      <c r="F130" s="167"/>
      <c r="G130" s="247"/>
      <c r="H130" s="247"/>
      <c r="I130" s="247"/>
      <c r="J130" s="247"/>
      <c r="K130" s="247"/>
      <c r="L130" s="247">
        <f>+H879</f>
        <v>0</v>
      </c>
      <c r="M130" s="247">
        <f>+H880</f>
        <v>0</v>
      </c>
      <c r="N130" s="247"/>
      <c r="O130" s="247"/>
      <c r="P130" s="247"/>
      <c r="R130" s="803">
        <f t="shared" si="9"/>
        <v>0</v>
      </c>
    </row>
    <row r="131" spans="2:18" ht="28.5" customHeight="1" x14ac:dyDescent="0.2">
      <c r="B131" s="1107" t="str">
        <f>"per 31/12/"&amp;$P$13</f>
        <v>per 31/12/2024</v>
      </c>
      <c r="C131" s="1108"/>
      <c r="D131" s="1108"/>
      <c r="E131" s="1109"/>
      <c r="F131" s="167"/>
      <c r="G131" s="247"/>
      <c r="H131" s="247"/>
      <c r="I131" s="247"/>
      <c r="J131" s="247"/>
      <c r="K131" s="247"/>
      <c r="L131" s="247"/>
      <c r="M131" s="247">
        <f>+H886</f>
        <v>0</v>
      </c>
      <c r="N131" s="520"/>
      <c r="O131" s="247"/>
      <c r="P131" s="247"/>
      <c r="R131" s="803">
        <f t="shared" si="9"/>
        <v>0</v>
      </c>
    </row>
    <row r="132" spans="2:18" ht="33" customHeight="1" x14ac:dyDescent="0.2">
      <c r="B132" s="1118" t="s">
        <v>352</v>
      </c>
      <c r="C132" s="1119"/>
      <c r="D132" s="1119"/>
      <c r="E132" s="1120"/>
      <c r="F132" s="167"/>
      <c r="G132" s="804"/>
      <c r="H132" s="804"/>
      <c r="I132" s="804"/>
      <c r="J132" s="804"/>
      <c r="K132" s="804"/>
      <c r="L132" s="804"/>
      <c r="M132" s="804"/>
      <c r="N132" s="804"/>
      <c r="O132" s="804"/>
      <c r="P132" s="804"/>
      <c r="R132" s="804"/>
    </row>
    <row r="133" spans="2:18" ht="28.5" customHeight="1" x14ac:dyDescent="0.2">
      <c r="B133" s="1112" t="str">
        <f>"per 31/12/"&amp;$G$13</f>
        <v>per 31/12/2015</v>
      </c>
      <c r="C133" s="1113"/>
      <c r="D133" s="1113"/>
      <c r="E133" s="1114"/>
      <c r="F133" s="167"/>
      <c r="G133" s="247"/>
      <c r="H133" s="247"/>
      <c r="I133" s="247"/>
      <c r="J133" s="247"/>
      <c r="K133" s="247"/>
      <c r="L133" s="247"/>
      <c r="M133" s="247"/>
      <c r="N133" s="247"/>
      <c r="O133" s="247"/>
      <c r="P133" s="247"/>
      <c r="R133" s="805"/>
    </row>
    <row r="134" spans="2:18" ht="28.5" customHeight="1" x14ac:dyDescent="0.2">
      <c r="B134" s="1112" t="str">
        <f>"per 31/12/"&amp;$H$13</f>
        <v>per 31/12/2016</v>
      </c>
      <c r="C134" s="1113"/>
      <c r="D134" s="1113"/>
      <c r="E134" s="1114"/>
      <c r="F134" s="167"/>
      <c r="G134" s="247"/>
      <c r="H134" s="247"/>
      <c r="I134" s="247"/>
      <c r="J134" s="247"/>
      <c r="K134" s="247"/>
      <c r="L134" s="247"/>
      <c r="M134" s="247"/>
      <c r="N134" s="247"/>
      <c r="O134" s="247"/>
      <c r="P134" s="247"/>
      <c r="R134" s="805"/>
    </row>
    <row r="135" spans="2:18" ht="28.5" customHeight="1" x14ac:dyDescent="0.2">
      <c r="B135" s="1112" t="str">
        <f>"per 31/12/"&amp;$I$13</f>
        <v>per 31/12/2017</v>
      </c>
      <c r="C135" s="1113"/>
      <c r="D135" s="1113"/>
      <c r="E135" s="1114"/>
      <c r="F135" s="167"/>
      <c r="G135" s="520"/>
      <c r="H135" s="247"/>
      <c r="I135" s="247"/>
      <c r="J135" s="247"/>
      <c r="K135" s="247"/>
      <c r="L135" s="247"/>
      <c r="M135" s="247"/>
      <c r="N135" s="247"/>
      <c r="O135" s="247"/>
      <c r="P135" s="247"/>
      <c r="R135" s="805"/>
    </row>
    <row r="136" spans="2:18" ht="28.5" customHeight="1" x14ac:dyDescent="0.2">
      <c r="B136" s="1112" t="str">
        <f>"per 31/12/"&amp;$J$13</f>
        <v>per 31/12/2018</v>
      </c>
      <c r="C136" s="1113"/>
      <c r="D136" s="1113"/>
      <c r="E136" s="1114"/>
      <c r="F136" s="167"/>
      <c r="G136" s="520"/>
      <c r="H136" s="520"/>
      <c r="I136" s="247"/>
      <c r="J136" s="247"/>
      <c r="K136" s="247"/>
      <c r="L136" s="247"/>
      <c r="M136" s="247"/>
      <c r="N136" s="247"/>
      <c r="O136" s="247"/>
      <c r="P136" s="247"/>
      <c r="R136" s="805"/>
    </row>
    <row r="137" spans="2:18" ht="28.5" customHeight="1" x14ac:dyDescent="0.2">
      <c r="B137" s="1112" t="str">
        <f>"per 31/12/"&amp;$K$13</f>
        <v>per 31/12/2019</v>
      </c>
      <c r="C137" s="1113"/>
      <c r="D137" s="1113"/>
      <c r="E137" s="1114"/>
      <c r="F137" s="167"/>
      <c r="G137" s="520"/>
      <c r="H137" s="520"/>
      <c r="I137" s="520"/>
      <c r="J137" s="247"/>
      <c r="K137" s="247"/>
      <c r="L137" s="247"/>
      <c r="M137" s="247"/>
      <c r="N137" s="247"/>
      <c r="O137" s="247"/>
      <c r="P137" s="247"/>
      <c r="R137" s="805"/>
    </row>
    <row r="138" spans="2:18" ht="28.5" customHeight="1" x14ac:dyDescent="0.2">
      <c r="B138" s="1112" t="str">
        <f>"per 31/12/"&amp;$L$13</f>
        <v>per 31/12/2020</v>
      </c>
      <c r="C138" s="1113"/>
      <c r="D138" s="1113"/>
      <c r="E138" s="1114"/>
      <c r="F138" s="167"/>
      <c r="G138" s="520"/>
      <c r="H138" s="520"/>
      <c r="I138" s="520"/>
      <c r="J138" s="520"/>
      <c r="K138" s="247"/>
      <c r="L138" s="247"/>
      <c r="M138" s="247"/>
      <c r="N138" s="247"/>
      <c r="O138" s="247"/>
      <c r="P138" s="247"/>
      <c r="R138" s="805"/>
    </row>
    <row r="139" spans="2:18" ht="28.5" customHeight="1" x14ac:dyDescent="0.2">
      <c r="B139" s="1112" t="str">
        <f>"per 31/12/"&amp;$M$13</f>
        <v>per 31/12/2021</v>
      </c>
      <c r="C139" s="1113"/>
      <c r="D139" s="1113"/>
      <c r="E139" s="1114"/>
      <c r="F139" s="167"/>
      <c r="G139" s="520"/>
      <c r="H139" s="520"/>
      <c r="I139" s="520"/>
      <c r="J139" s="520"/>
      <c r="K139" s="520"/>
      <c r="L139" s="247"/>
      <c r="M139" s="247"/>
      <c r="N139" s="247"/>
      <c r="O139" s="247"/>
      <c r="P139" s="247"/>
      <c r="R139" s="805"/>
    </row>
    <row r="140" spans="2:18" ht="28.5" customHeight="1" x14ac:dyDescent="0.2">
      <c r="B140" s="1112" t="str">
        <f>"per 31/12/"&amp;$N$13</f>
        <v>per 31/12/2022</v>
      </c>
      <c r="C140" s="1113"/>
      <c r="D140" s="1113"/>
      <c r="E140" s="1114"/>
      <c r="F140" s="167"/>
      <c r="G140" s="520"/>
      <c r="H140" s="520"/>
      <c r="I140" s="520"/>
      <c r="J140" s="520"/>
      <c r="K140" s="520"/>
      <c r="L140" s="520"/>
      <c r="M140" s="247"/>
      <c r="N140" s="247"/>
      <c r="O140" s="247"/>
      <c r="P140" s="247"/>
      <c r="R140" s="805"/>
    </row>
    <row r="141" spans="2:18" ht="28.5" customHeight="1" x14ac:dyDescent="0.2">
      <c r="B141" s="1112" t="str">
        <f>"per 31/12/"&amp;$O$13</f>
        <v>per 31/12/2023</v>
      </c>
      <c r="C141" s="1113"/>
      <c r="D141" s="1113"/>
      <c r="E141" s="1114"/>
      <c r="F141" s="167"/>
      <c r="G141" s="247"/>
      <c r="H141" s="247"/>
      <c r="I141" s="247"/>
      <c r="J141" s="247"/>
      <c r="K141" s="247"/>
      <c r="L141" s="520"/>
      <c r="M141" s="520"/>
      <c r="N141" s="247"/>
      <c r="O141" s="247"/>
      <c r="P141" s="247"/>
      <c r="R141" s="805"/>
    </row>
    <row r="142" spans="2:18" ht="28.5" customHeight="1" x14ac:dyDescent="0.2">
      <c r="B142" s="1107" t="str">
        <f>"per 31/12/"&amp;$P$13</f>
        <v>per 31/12/2024</v>
      </c>
      <c r="C142" s="1108"/>
      <c r="D142" s="1108"/>
      <c r="E142" s="1109"/>
      <c r="F142" s="167"/>
      <c r="G142" s="247"/>
      <c r="H142" s="247"/>
      <c r="I142" s="247"/>
      <c r="J142" s="247"/>
      <c r="K142" s="247"/>
      <c r="L142" s="247"/>
      <c r="M142" s="520"/>
      <c r="N142" s="247">
        <f>+H903</f>
        <v>0</v>
      </c>
      <c r="O142" s="247"/>
      <c r="P142" s="247"/>
      <c r="R142" s="803">
        <f>+N142</f>
        <v>0</v>
      </c>
    </row>
    <row r="143" spans="2:18" x14ac:dyDescent="0.2">
      <c r="G143" s="301"/>
      <c r="H143" s="301"/>
      <c r="I143" s="301"/>
      <c r="J143" s="301"/>
      <c r="K143" s="301"/>
      <c r="L143" s="301"/>
      <c r="M143" s="301"/>
      <c r="N143" s="301"/>
      <c r="O143" s="301"/>
      <c r="P143" s="301"/>
      <c r="R143" s="301"/>
    </row>
    <row r="144" spans="2:18" s="216" customFormat="1" x14ac:dyDescent="0.2">
      <c r="B144" s="1124"/>
      <c r="C144" s="1124"/>
      <c r="D144" s="1124"/>
      <c r="E144" s="1124"/>
      <c r="G144" s="304"/>
      <c r="H144" s="304"/>
      <c r="I144" s="304"/>
      <c r="J144" s="304"/>
      <c r="K144" s="304"/>
      <c r="L144" s="304"/>
      <c r="M144" s="304"/>
      <c r="N144" s="304"/>
      <c r="O144" s="304"/>
      <c r="P144" s="304"/>
      <c r="Q144" s="205"/>
      <c r="R144" s="304"/>
    </row>
    <row r="145" spans="1:18" s="216" customFormat="1" x14ac:dyDescent="0.2">
      <c r="B145" s="310"/>
      <c r="C145" s="311"/>
      <c r="D145" s="311"/>
      <c r="E145" s="312"/>
      <c r="F145" s="275"/>
      <c r="G145" s="784">
        <v>2015</v>
      </c>
      <c r="H145" s="165">
        <f>+G145+1</f>
        <v>2016</v>
      </c>
      <c r="I145" s="165">
        <f>+H145+1</f>
        <v>2017</v>
      </c>
      <c r="J145" s="165">
        <f>+I145+1</f>
        <v>2018</v>
      </c>
      <c r="K145" s="165">
        <f>+J145+1</f>
        <v>2019</v>
      </c>
      <c r="L145" s="165">
        <f t="shared" ref="L145:P145" si="10">+K145+1</f>
        <v>2020</v>
      </c>
      <c r="M145" s="165">
        <f t="shared" si="10"/>
        <v>2021</v>
      </c>
      <c r="N145" s="165">
        <f t="shared" si="10"/>
        <v>2022</v>
      </c>
      <c r="O145" s="165">
        <f t="shared" si="10"/>
        <v>2023</v>
      </c>
      <c r="P145" s="165">
        <f t="shared" si="10"/>
        <v>2024</v>
      </c>
      <c r="Q145" s="203"/>
      <c r="R145" s="165" t="s">
        <v>20</v>
      </c>
    </row>
    <row r="146" spans="1:18" s="212" customFormat="1" ht="26.25" customHeight="1" x14ac:dyDescent="0.2">
      <c r="B146" s="1125" t="s">
        <v>126</v>
      </c>
      <c r="C146" s="1126"/>
      <c r="D146" s="1126"/>
      <c r="E146" s="1127"/>
      <c r="F146" s="171"/>
      <c r="G146" s="170"/>
      <c r="H146" s="170"/>
      <c r="I146" s="170"/>
      <c r="J146" s="170"/>
      <c r="K146" s="170"/>
      <c r="L146" s="170"/>
      <c r="M146" s="170"/>
      <c r="N146" s="170"/>
      <c r="O146" s="170"/>
      <c r="P146" s="170"/>
      <c r="Q146" s="204"/>
      <c r="R146" s="170"/>
    </row>
    <row r="147" spans="1:18" ht="28.5" customHeight="1" x14ac:dyDescent="0.2">
      <c r="A147" s="291"/>
      <c r="B147" s="1115" t="str">
        <f>"per 31/12/"&amp;$G$13</f>
        <v>per 31/12/2015</v>
      </c>
      <c r="C147" s="1116"/>
      <c r="D147" s="1116"/>
      <c r="E147" s="1117"/>
      <c r="F147" s="313"/>
      <c r="G147" s="806"/>
      <c r="H147" s="806"/>
      <c r="I147" s="806"/>
      <c r="J147" s="806"/>
      <c r="K147" s="806"/>
      <c r="L147" s="806"/>
      <c r="M147" s="806"/>
      <c r="N147" s="806"/>
      <c r="O147" s="806"/>
      <c r="P147" s="806"/>
      <c r="R147" s="807">
        <f t="shared" ref="R147:R156" si="11">SUMIFS(R$34:R$142,$B$34:$B$142,$B147)</f>
        <v>0</v>
      </c>
    </row>
    <row r="148" spans="1:18" ht="28.5" customHeight="1" x14ac:dyDescent="0.2">
      <c r="A148" s="291"/>
      <c r="B148" s="1115" t="str">
        <f>"per 31/12/"&amp;$H$13</f>
        <v>per 31/12/2016</v>
      </c>
      <c r="C148" s="1116"/>
      <c r="D148" s="1116"/>
      <c r="E148" s="1117"/>
      <c r="F148" s="313"/>
      <c r="G148" s="806"/>
      <c r="H148" s="806"/>
      <c r="I148" s="806"/>
      <c r="J148" s="806"/>
      <c r="K148" s="806"/>
      <c r="L148" s="806"/>
      <c r="M148" s="806"/>
      <c r="N148" s="806"/>
      <c r="O148" s="806"/>
      <c r="P148" s="806"/>
      <c r="R148" s="807">
        <f t="shared" si="11"/>
        <v>0</v>
      </c>
    </row>
    <row r="149" spans="1:18" ht="28.5" customHeight="1" x14ac:dyDescent="0.2">
      <c r="A149" s="291"/>
      <c r="B149" s="1115" t="str">
        <f>"per 31/12/"&amp;$I$13</f>
        <v>per 31/12/2017</v>
      </c>
      <c r="C149" s="1116"/>
      <c r="D149" s="1116"/>
      <c r="E149" s="1117"/>
      <c r="F149" s="313"/>
      <c r="G149" s="806">
        <f>SUMIFS(G$34:G$142,$B$34:$B$142,$B149)</f>
        <v>0</v>
      </c>
      <c r="H149" s="806"/>
      <c r="I149" s="806"/>
      <c r="J149" s="806"/>
      <c r="K149" s="806"/>
      <c r="L149" s="806"/>
      <c r="M149" s="806"/>
      <c r="N149" s="806"/>
      <c r="O149" s="806"/>
      <c r="P149" s="806"/>
      <c r="R149" s="807">
        <f t="shared" si="11"/>
        <v>0</v>
      </c>
    </row>
    <row r="150" spans="1:18" ht="28.5" customHeight="1" x14ac:dyDescent="0.2">
      <c r="A150" s="291"/>
      <c r="B150" s="1115" t="str">
        <f>"per 31/12/"&amp;$J$13</f>
        <v>per 31/12/2018</v>
      </c>
      <c r="C150" s="1116"/>
      <c r="D150" s="1116"/>
      <c r="E150" s="1117"/>
      <c r="F150" s="313"/>
      <c r="G150" s="806">
        <f t="shared" ref="G150:M156" si="12">SUMIFS(G$34:G$142,$B$34:$B$142,$B150)</f>
        <v>0</v>
      </c>
      <c r="H150" s="806">
        <f t="shared" si="12"/>
        <v>0</v>
      </c>
      <c r="I150" s="806"/>
      <c r="J150" s="806"/>
      <c r="K150" s="806"/>
      <c r="L150" s="806"/>
      <c r="M150" s="806"/>
      <c r="N150" s="806"/>
      <c r="O150" s="806"/>
      <c r="P150" s="806"/>
      <c r="R150" s="807">
        <f t="shared" si="11"/>
        <v>0</v>
      </c>
    </row>
    <row r="151" spans="1:18" ht="28.5" customHeight="1" x14ac:dyDescent="0.2">
      <c r="A151" s="291"/>
      <c r="B151" s="1115" t="str">
        <f>"per 31/12/"&amp;$K$13</f>
        <v>per 31/12/2019</v>
      </c>
      <c r="C151" s="1116"/>
      <c r="D151" s="1116"/>
      <c r="E151" s="1117"/>
      <c r="F151" s="313"/>
      <c r="G151" s="806">
        <f t="shared" si="12"/>
        <v>0</v>
      </c>
      <c r="H151" s="806">
        <f t="shared" si="12"/>
        <v>0</v>
      </c>
      <c r="I151" s="806">
        <f t="shared" si="12"/>
        <v>0</v>
      </c>
      <c r="J151" s="806"/>
      <c r="K151" s="806"/>
      <c r="L151" s="806"/>
      <c r="M151" s="806"/>
      <c r="N151" s="806"/>
      <c r="O151" s="806"/>
      <c r="P151" s="806"/>
      <c r="R151" s="807">
        <f t="shared" si="11"/>
        <v>0</v>
      </c>
    </row>
    <row r="152" spans="1:18" ht="28.5" customHeight="1" x14ac:dyDescent="0.2">
      <c r="A152" s="291"/>
      <c r="B152" s="1115" t="str">
        <f>"per 31/12/"&amp;$L$13</f>
        <v>per 31/12/2020</v>
      </c>
      <c r="C152" s="1116"/>
      <c r="D152" s="1116"/>
      <c r="E152" s="1117"/>
      <c r="F152" s="313"/>
      <c r="G152" s="806">
        <f t="shared" si="12"/>
        <v>0</v>
      </c>
      <c r="H152" s="806">
        <f t="shared" si="12"/>
        <v>0</v>
      </c>
      <c r="I152" s="806">
        <f t="shared" si="12"/>
        <v>0</v>
      </c>
      <c r="J152" s="806">
        <f t="shared" si="12"/>
        <v>0</v>
      </c>
      <c r="K152" s="806"/>
      <c r="L152" s="806"/>
      <c r="M152" s="806"/>
      <c r="N152" s="806"/>
      <c r="O152" s="806"/>
      <c r="P152" s="806"/>
      <c r="R152" s="807">
        <f t="shared" si="11"/>
        <v>0</v>
      </c>
    </row>
    <row r="153" spans="1:18" ht="28.5" customHeight="1" x14ac:dyDescent="0.2">
      <c r="A153" s="291"/>
      <c r="B153" s="1115" t="str">
        <f>"per 31/12/"&amp;$M$13</f>
        <v>per 31/12/2021</v>
      </c>
      <c r="C153" s="1116"/>
      <c r="D153" s="1116"/>
      <c r="E153" s="1117"/>
      <c r="F153" s="313"/>
      <c r="G153" s="806">
        <f t="shared" si="12"/>
        <v>0</v>
      </c>
      <c r="H153" s="806">
        <f t="shared" si="12"/>
        <v>0</v>
      </c>
      <c r="I153" s="806">
        <f t="shared" si="12"/>
        <v>0</v>
      </c>
      <c r="J153" s="806">
        <f t="shared" si="12"/>
        <v>0</v>
      </c>
      <c r="K153" s="806">
        <f t="shared" si="12"/>
        <v>0</v>
      </c>
      <c r="L153" s="806"/>
      <c r="M153" s="806"/>
      <c r="N153" s="806"/>
      <c r="O153" s="806"/>
      <c r="P153" s="806"/>
      <c r="R153" s="807">
        <f t="shared" si="11"/>
        <v>0</v>
      </c>
    </row>
    <row r="154" spans="1:18" ht="28.5" customHeight="1" x14ac:dyDescent="0.2">
      <c r="A154" s="291"/>
      <c r="B154" s="1115" t="str">
        <f>"per 31/12/"&amp;$N$13</f>
        <v>per 31/12/2022</v>
      </c>
      <c r="C154" s="1116"/>
      <c r="D154" s="1116"/>
      <c r="E154" s="1117"/>
      <c r="F154" s="313"/>
      <c r="G154" s="806">
        <f t="shared" si="12"/>
        <v>0</v>
      </c>
      <c r="H154" s="806">
        <f t="shared" si="12"/>
        <v>0</v>
      </c>
      <c r="I154" s="806">
        <f t="shared" si="12"/>
        <v>0</v>
      </c>
      <c r="J154" s="806">
        <f t="shared" si="12"/>
        <v>0</v>
      </c>
      <c r="K154" s="806">
        <f t="shared" si="12"/>
        <v>0</v>
      </c>
      <c r="L154" s="806">
        <f t="shared" si="12"/>
        <v>0</v>
      </c>
      <c r="M154" s="806"/>
      <c r="N154" s="806"/>
      <c r="O154" s="806"/>
      <c r="P154" s="806"/>
      <c r="R154" s="807">
        <f t="shared" si="11"/>
        <v>0</v>
      </c>
    </row>
    <row r="155" spans="1:18" ht="28.5" customHeight="1" x14ac:dyDescent="0.2">
      <c r="A155" s="291"/>
      <c r="B155" s="1115" t="str">
        <f>"per 31/12/"&amp;$O$13</f>
        <v>per 31/12/2023</v>
      </c>
      <c r="C155" s="1116"/>
      <c r="D155" s="1116"/>
      <c r="E155" s="1117"/>
      <c r="F155" s="313"/>
      <c r="G155" s="806"/>
      <c r="H155" s="806"/>
      <c r="I155" s="806"/>
      <c r="J155" s="806"/>
      <c r="K155" s="806"/>
      <c r="L155" s="806">
        <f t="shared" si="12"/>
        <v>0</v>
      </c>
      <c r="M155" s="806">
        <f t="shared" si="12"/>
        <v>0</v>
      </c>
      <c r="N155" s="806"/>
      <c r="O155" s="806"/>
      <c r="P155" s="806"/>
      <c r="R155" s="807">
        <f t="shared" si="11"/>
        <v>0</v>
      </c>
    </row>
    <row r="156" spans="1:18" ht="28.5" customHeight="1" x14ac:dyDescent="0.2">
      <c r="A156" s="291"/>
      <c r="B156" s="1115" t="str">
        <f>"per 31/12/"&amp;$P$13</f>
        <v>per 31/12/2024</v>
      </c>
      <c r="C156" s="1116"/>
      <c r="D156" s="1116"/>
      <c r="E156" s="1117"/>
      <c r="F156" s="313"/>
      <c r="G156" s="806"/>
      <c r="H156" s="806"/>
      <c r="I156" s="806"/>
      <c r="J156" s="806"/>
      <c r="K156" s="806"/>
      <c r="L156" s="806"/>
      <c r="M156" s="806">
        <f t="shared" si="12"/>
        <v>0</v>
      </c>
      <c r="N156" s="806">
        <f>SUMIFS(N$34:N$142,$B$34:$B$142,$B156)</f>
        <v>0</v>
      </c>
      <c r="O156" s="806"/>
      <c r="P156" s="806"/>
      <c r="R156" s="807">
        <f t="shared" si="11"/>
        <v>0</v>
      </c>
    </row>
    <row r="157" spans="1:18" s="216" customFormat="1" x14ac:dyDescent="0.2">
      <c r="B157" s="1110"/>
      <c r="C157" s="1110"/>
      <c r="D157" s="1110"/>
      <c r="E157" s="1110"/>
      <c r="G157" s="314"/>
      <c r="H157" s="314"/>
      <c r="I157" s="314"/>
      <c r="J157" s="314"/>
      <c r="K157" s="304"/>
      <c r="L157" s="304"/>
      <c r="M157" s="304"/>
      <c r="N157" s="304"/>
      <c r="O157" s="304"/>
      <c r="P157" s="304"/>
      <c r="Q157" s="205"/>
      <c r="R157" s="304"/>
    </row>
    <row r="159" spans="1:18" x14ac:dyDescent="0.2">
      <c r="G159" s="293" t="s">
        <v>41</v>
      </c>
    </row>
    <row r="160" spans="1:18" x14ac:dyDescent="0.2">
      <c r="G160" s="293" t="s">
        <v>133</v>
      </c>
    </row>
    <row r="161" spans="2:18" ht="69.75" customHeight="1" x14ac:dyDescent="0.2">
      <c r="B161" s="1101" t="s">
        <v>351</v>
      </c>
      <c r="C161" s="1102"/>
      <c r="D161" s="1102"/>
      <c r="E161" s="1103"/>
      <c r="F161" s="274"/>
      <c r="G161" s="165">
        <v>2015</v>
      </c>
      <c r="H161" s="165">
        <f>+G161+1</f>
        <v>2016</v>
      </c>
      <c r="I161" s="165">
        <f>+H161+1</f>
        <v>2017</v>
      </c>
      <c r="J161" s="165">
        <f>+I161+1</f>
        <v>2018</v>
      </c>
      <c r="K161" s="165">
        <f>+J161+1</f>
        <v>2019</v>
      </c>
      <c r="L161" s="165">
        <f t="shared" ref="L161:P161" si="13">+K161+1</f>
        <v>2020</v>
      </c>
      <c r="M161" s="165">
        <f t="shared" si="13"/>
        <v>2021</v>
      </c>
      <c r="N161" s="165">
        <f t="shared" si="13"/>
        <v>2022</v>
      </c>
      <c r="O161" s="165">
        <f t="shared" si="13"/>
        <v>2023</v>
      </c>
      <c r="P161" s="165">
        <f t="shared" si="13"/>
        <v>2024</v>
      </c>
      <c r="R161" s="165" t="s">
        <v>20</v>
      </c>
    </row>
    <row r="162" spans="2:18" s="296" customFormat="1" ht="12" customHeight="1" x14ac:dyDescent="0.2">
      <c r="B162" s="315"/>
      <c r="C162" s="315"/>
      <c r="D162" s="315"/>
      <c r="E162" s="315"/>
      <c r="F162" s="316"/>
      <c r="G162" s="317"/>
      <c r="H162" s="318"/>
      <c r="I162" s="318"/>
      <c r="J162" s="319"/>
      <c r="K162" s="319"/>
      <c r="L162" s="319"/>
      <c r="M162" s="319"/>
      <c r="N162" s="319"/>
      <c r="O162" s="319"/>
      <c r="P162" s="319"/>
      <c r="Q162" s="300"/>
      <c r="R162" s="319"/>
    </row>
    <row r="163" spans="2:18" ht="36" customHeight="1" x14ac:dyDescent="0.2">
      <c r="B163" s="1118" t="s">
        <v>201</v>
      </c>
      <c r="C163" s="1119"/>
      <c r="D163" s="1119"/>
      <c r="E163" s="1120"/>
      <c r="F163" s="167"/>
      <c r="G163" s="804"/>
      <c r="H163" s="804"/>
      <c r="I163" s="804"/>
      <c r="J163" s="804"/>
      <c r="K163" s="804"/>
      <c r="L163" s="804"/>
      <c r="M163" s="804"/>
      <c r="N163" s="804"/>
      <c r="O163" s="804"/>
      <c r="P163" s="804"/>
      <c r="R163" s="804"/>
    </row>
    <row r="164" spans="2:18" ht="28.5" customHeight="1" x14ac:dyDescent="0.2">
      <c r="B164" s="1107" t="str">
        <f>"per 31/12/"&amp;$G$13</f>
        <v>per 31/12/2015</v>
      </c>
      <c r="C164" s="1108"/>
      <c r="D164" s="1108"/>
      <c r="E164" s="1109"/>
      <c r="F164" s="167"/>
      <c r="G164" s="247">
        <f>+G$15+G34</f>
        <v>0</v>
      </c>
      <c r="H164" s="247"/>
      <c r="I164" s="247"/>
      <c r="J164" s="247"/>
      <c r="K164" s="247"/>
      <c r="L164" s="247"/>
      <c r="M164" s="247"/>
      <c r="N164" s="247"/>
      <c r="O164" s="247"/>
      <c r="P164" s="247"/>
      <c r="R164" s="803">
        <f t="shared" ref="R164:R238" si="14">SUM(G164:P164)</f>
        <v>0</v>
      </c>
    </row>
    <row r="165" spans="2:18" ht="28.5" customHeight="1" x14ac:dyDescent="0.2">
      <c r="B165" s="1107" t="str">
        <f>"per 31/12/"&amp;$H$13</f>
        <v>per 31/12/2016</v>
      </c>
      <c r="C165" s="1108"/>
      <c r="D165" s="1108"/>
      <c r="E165" s="1109"/>
      <c r="F165" s="167"/>
      <c r="G165" s="247">
        <f t="shared" ref="G165:G171" si="15">+G164+G35</f>
        <v>0</v>
      </c>
      <c r="H165" s="247">
        <f>+$H$15+H35</f>
        <v>0</v>
      </c>
      <c r="I165" s="247"/>
      <c r="J165" s="247"/>
      <c r="K165" s="247"/>
      <c r="L165" s="247"/>
      <c r="M165" s="247"/>
      <c r="N165" s="247"/>
      <c r="O165" s="247"/>
      <c r="P165" s="247"/>
      <c r="R165" s="803">
        <f t="shared" si="14"/>
        <v>0</v>
      </c>
    </row>
    <row r="166" spans="2:18" ht="28.5" customHeight="1" x14ac:dyDescent="0.2">
      <c r="B166" s="1107" t="str">
        <f>"per 31/12/"&amp;$I$13</f>
        <v>per 31/12/2017</v>
      </c>
      <c r="C166" s="1108"/>
      <c r="D166" s="1108"/>
      <c r="E166" s="1109"/>
      <c r="F166" s="167"/>
      <c r="G166" s="247">
        <f t="shared" si="15"/>
        <v>0</v>
      </c>
      <c r="H166" s="247">
        <f t="shared" ref="H166:H171" si="16">+H165+H36</f>
        <v>0</v>
      </c>
      <c r="I166" s="247">
        <f>+$I$15+I36</f>
        <v>0</v>
      </c>
      <c r="J166" s="247"/>
      <c r="K166" s="247"/>
      <c r="L166" s="247"/>
      <c r="M166" s="247"/>
      <c r="N166" s="247"/>
      <c r="O166" s="247"/>
      <c r="P166" s="247"/>
      <c r="R166" s="803">
        <f t="shared" si="14"/>
        <v>0</v>
      </c>
    </row>
    <row r="167" spans="2:18" ht="28.5" customHeight="1" x14ac:dyDescent="0.2">
      <c r="B167" s="1107" t="str">
        <f>"per 31/12/"&amp;$J$13</f>
        <v>per 31/12/2018</v>
      </c>
      <c r="C167" s="1108"/>
      <c r="D167" s="1108"/>
      <c r="E167" s="1109"/>
      <c r="F167" s="167"/>
      <c r="G167" s="247">
        <f t="shared" si="15"/>
        <v>0</v>
      </c>
      <c r="H167" s="247">
        <f t="shared" si="16"/>
        <v>0</v>
      </c>
      <c r="I167" s="247">
        <f>+I166+I37</f>
        <v>0</v>
      </c>
      <c r="J167" s="247">
        <f>+$J$15+J37</f>
        <v>0</v>
      </c>
      <c r="K167" s="247"/>
      <c r="L167" s="247"/>
      <c r="M167" s="247"/>
      <c r="N167" s="247"/>
      <c r="O167" s="247"/>
      <c r="P167" s="247"/>
      <c r="R167" s="803">
        <f t="shared" si="14"/>
        <v>0</v>
      </c>
    </row>
    <row r="168" spans="2:18" ht="28.5" customHeight="1" x14ac:dyDescent="0.2">
      <c r="B168" s="1107" t="str">
        <f>"per 31/12/"&amp;$K$13</f>
        <v>per 31/12/2019</v>
      </c>
      <c r="C168" s="1108"/>
      <c r="D168" s="1108"/>
      <c r="E168" s="1109"/>
      <c r="F168" s="167"/>
      <c r="G168" s="247">
        <f t="shared" si="15"/>
        <v>0</v>
      </c>
      <c r="H168" s="247">
        <f t="shared" si="16"/>
        <v>0</v>
      </c>
      <c r="I168" s="247">
        <f>+I167+I38</f>
        <v>0</v>
      </c>
      <c r="J168" s="247">
        <f>+J167+J38</f>
        <v>0</v>
      </c>
      <c r="K168" s="247">
        <f>+$K$15+K38</f>
        <v>0</v>
      </c>
      <c r="L168" s="247"/>
      <c r="M168" s="247"/>
      <c r="N168" s="247"/>
      <c r="O168" s="247"/>
      <c r="P168" s="247"/>
      <c r="R168" s="803">
        <f t="shared" si="14"/>
        <v>0</v>
      </c>
    </row>
    <row r="169" spans="2:18" ht="28.5" customHeight="1" x14ac:dyDescent="0.2">
      <c r="B169" s="1107" t="str">
        <f>"per 31/12/"&amp;$L$13</f>
        <v>per 31/12/2020</v>
      </c>
      <c r="C169" s="1108"/>
      <c r="D169" s="1108"/>
      <c r="E169" s="1109"/>
      <c r="F169" s="167"/>
      <c r="G169" s="247">
        <f t="shared" si="15"/>
        <v>0</v>
      </c>
      <c r="H169" s="247">
        <f t="shared" si="16"/>
        <v>0</v>
      </c>
      <c r="I169" s="247">
        <f>+I168+I39</f>
        <v>0</v>
      </c>
      <c r="J169" s="247">
        <f>+J168+J39</f>
        <v>0</v>
      </c>
      <c r="K169" s="247">
        <f>+K168+K39</f>
        <v>0</v>
      </c>
      <c r="L169" s="247">
        <f>+L$15+L39</f>
        <v>0</v>
      </c>
      <c r="M169" s="247"/>
      <c r="N169" s="247"/>
      <c r="O169" s="247"/>
      <c r="P169" s="247"/>
      <c r="R169" s="803">
        <f t="shared" si="14"/>
        <v>0</v>
      </c>
    </row>
    <row r="170" spans="2:18" ht="28.5" customHeight="1" x14ac:dyDescent="0.2">
      <c r="B170" s="1107" t="str">
        <f>"per 31/12/"&amp;$M$13</f>
        <v>per 31/12/2021</v>
      </c>
      <c r="C170" s="1108"/>
      <c r="D170" s="1108"/>
      <c r="E170" s="1109"/>
      <c r="F170" s="167"/>
      <c r="G170" s="247">
        <f t="shared" si="15"/>
        <v>0</v>
      </c>
      <c r="H170" s="247">
        <f t="shared" si="16"/>
        <v>0</v>
      </c>
      <c r="I170" s="247">
        <f>+I169+I40</f>
        <v>0</v>
      </c>
      <c r="J170" s="247">
        <f>+J169+J40</f>
        <v>0</v>
      </c>
      <c r="K170" s="247">
        <f>+K169+K40</f>
        <v>0</v>
      </c>
      <c r="L170" s="247">
        <f>+L169+L40</f>
        <v>0</v>
      </c>
      <c r="M170" s="247">
        <f>+M$15+M40</f>
        <v>0</v>
      </c>
      <c r="N170" s="247"/>
      <c r="O170" s="247"/>
      <c r="P170" s="247"/>
      <c r="R170" s="803">
        <f t="shared" si="14"/>
        <v>0</v>
      </c>
    </row>
    <row r="171" spans="2:18" ht="28.5" customHeight="1" x14ac:dyDescent="0.2">
      <c r="B171" s="1107" t="str">
        <f>"per 31/12/"&amp;$N$13</f>
        <v>per 31/12/2022</v>
      </c>
      <c r="C171" s="1108"/>
      <c r="D171" s="1108"/>
      <c r="E171" s="1109"/>
      <c r="F171" s="167"/>
      <c r="G171" s="247">
        <f t="shared" si="15"/>
        <v>0</v>
      </c>
      <c r="H171" s="247">
        <f t="shared" si="16"/>
        <v>0</v>
      </c>
      <c r="I171" s="247">
        <f>+I170+I41</f>
        <v>0</v>
      </c>
      <c r="J171" s="247">
        <f>+J170+J41</f>
        <v>0</v>
      </c>
      <c r="K171" s="247">
        <f>+K170+K41</f>
        <v>0</v>
      </c>
      <c r="L171" s="247">
        <f>+L170+L41</f>
        <v>0</v>
      </c>
      <c r="M171" s="247">
        <f>+M170+M41</f>
        <v>0</v>
      </c>
      <c r="N171" s="247">
        <f>+N$15+N41</f>
        <v>0</v>
      </c>
      <c r="O171" s="247"/>
      <c r="P171" s="247"/>
      <c r="R171" s="803">
        <f t="shared" si="14"/>
        <v>0</v>
      </c>
    </row>
    <row r="172" spans="2:18" ht="28.5" customHeight="1" x14ac:dyDescent="0.2">
      <c r="B172" s="1107" t="str">
        <f>"per 31/12/"&amp;$O$13</f>
        <v>per 31/12/2023</v>
      </c>
      <c r="C172" s="1108"/>
      <c r="D172" s="1108"/>
      <c r="E172" s="1109"/>
      <c r="F172" s="167"/>
      <c r="G172" s="247"/>
      <c r="H172" s="247"/>
      <c r="I172" s="247"/>
      <c r="J172" s="247"/>
      <c r="K172" s="247"/>
      <c r="L172" s="247">
        <f>+L171+L42</f>
        <v>0</v>
      </c>
      <c r="M172" s="247">
        <f>+M171+M42</f>
        <v>0</v>
      </c>
      <c r="N172" s="247">
        <f>+N171+N42</f>
        <v>0</v>
      </c>
      <c r="O172" s="247">
        <f>+O$15+O42</f>
        <v>0</v>
      </c>
      <c r="P172" s="247"/>
      <c r="R172" s="803">
        <f t="shared" si="14"/>
        <v>0</v>
      </c>
    </row>
    <row r="173" spans="2:18" ht="28.5" customHeight="1" x14ac:dyDescent="0.2">
      <c r="B173" s="1107" t="str">
        <f>"per 31/12/"&amp;$P$13</f>
        <v>per 31/12/2024</v>
      </c>
      <c r="C173" s="1108"/>
      <c r="D173" s="1108"/>
      <c r="E173" s="1109"/>
      <c r="F173" s="167"/>
      <c r="G173" s="247"/>
      <c r="H173" s="247"/>
      <c r="I173" s="247"/>
      <c r="J173" s="247"/>
      <c r="K173" s="247"/>
      <c r="L173" s="247"/>
      <c r="M173" s="247">
        <f>+M172+M43</f>
        <v>0</v>
      </c>
      <c r="N173" s="247">
        <f>+N172+N43</f>
        <v>0</v>
      </c>
      <c r="O173" s="247">
        <f>+O172+O43</f>
        <v>0</v>
      </c>
      <c r="P173" s="247">
        <f>+P$15+P43</f>
        <v>0</v>
      </c>
      <c r="R173" s="803">
        <f t="shared" si="14"/>
        <v>0</v>
      </c>
    </row>
    <row r="174" spans="2:18" ht="36" customHeight="1" x14ac:dyDescent="0.2">
      <c r="B174" s="1118" t="s">
        <v>347</v>
      </c>
      <c r="C174" s="1119"/>
      <c r="D174" s="1119"/>
      <c r="E174" s="1120"/>
      <c r="F174" s="167"/>
      <c r="G174" s="804"/>
      <c r="H174" s="804"/>
      <c r="I174" s="804"/>
      <c r="J174" s="804"/>
      <c r="K174" s="804"/>
      <c r="L174" s="804"/>
      <c r="M174" s="804"/>
      <c r="N174" s="804"/>
      <c r="O174" s="804"/>
      <c r="P174" s="804"/>
      <c r="R174" s="804"/>
    </row>
    <row r="175" spans="2:18" ht="28.5" customHeight="1" x14ac:dyDescent="0.2">
      <c r="B175" s="1112" t="str">
        <f>"per 31/12/"&amp;$G$13</f>
        <v>per 31/12/2015</v>
      </c>
      <c r="C175" s="1113"/>
      <c r="D175" s="1113"/>
      <c r="E175" s="1114"/>
      <c r="F175" s="167"/>
      <c r="G175" s="520"/>
      <c r="H175" s="247"/>
      <c r="I175" s="247"/>
      <c r="J175" s="247"/>
      <c r="K175" s="247"/>
      <c r="L175" s="247"/>
      <c r="M175" s="247"/>
      <c r="N175" s="247"/>
      <c r="O175" s="247"/>
      <c r="P175" s="247"/>
      <c r="R175" s="805"/>
    </row>
    <row r="176" spans="2:18" ht="28.5" customHeight="1" x14ac:dyDescent="0.2">
      <c r="B176" s="1112" t="str">
        <f>"per 31/12/"&amp;$H$13</f>
        <v>per 31/12/2016</v>
      </c>
      <c r="C176" s="1113"/>
      <c r="D176" s="1113"/>
      <c r="E176" s="1114"/>
      <c r="F176" s="167"/>
      <c r="G176" s="520"/>
      <c r="H176" s="520"/>
      <c r="I176" s="247"/>
      <c r="J176" s="247"/>
      <c r="K176" s="247"/>
      <c r="L176" s="247"/>
      <c r="M176" s="247"/>
      <c r="N176" s="247"/>
      <c r="O176" s="247"/>
      <c r="P176" s="247"/>
      <c r="R176" s="805"/>
    </row>
    <row r="177" spans="2:18" ht="28.5" customHeight="1" x14ac:dyDescent="0.2">
      <c r="B177" s="1112" t="str">
        <f>"per 31/12/"&amp;$I$13</f>
        <v>per 31/12/2017</v>
      </c>
      <c r="C177" s="1113"/>
      <c r="D177" s="1113"/>
      <c r="E177" s="1114"/>
      <c r="F177" s="167"/>
      <c r="G177" s="520"/>
      <c r="H177" s="520"/>
      <c r="I177" s="520"/>
      <c r="J177" s="247"/>
      <c r="K177" s="247"/>
      <c r="L177" s="247"/>
      <c r="M177" s="247"/>
      <c r="N177" s="247"/>
      <c r="O177" s="247"/>
      <c r="P177" s="247"/>
      <c r="R177" s="805"/>
    </row>
    <row r="178" spans="2:18" ht="28.5" customHeight="1" x14ac:dyDescent="0.2">
      <c r="B178" s="1112" t="str">
        <f>"per 31/12/"&amp;$J$13</f>
        <v>per 31/12/2018</v>
      </c>
      <c r="C178" s="1113"/>
      <c r="D178" s="1113"/>
      <c r="E178" s="1114"/>
      <c r="F178" s="167"/>
      <c r="G178" s="520"/>
      <c r="H178" s="520"/>
      <c r="I178" s="520"/>
      <c r="J178" s="520"/>
      <c r="K178" s="247"/>
      <c r="L178" s="247"/>
      <c r="M178" s="247"/>
      <c r="N178" s="247"/>
      <c r="O178" s="247"/>
      <c r="P178" s="247"/>
      <c r="R178" s="805"/>
    </row>
    <row r="179" spans="2:18" ht="28.5" customHeight="1" x14ac:dyDescent="0.2">
      <c r="B179" s="1112" t="str">
        <f>"per 31/12/"&amp;$K$13</f>
        <v>per 31/12/2019</v>
      </c>
      <c r="C179" s="1113"/>
      <c r="D179" s="1113"/>
      <c r="E179" s="1114"/>
      <c r="F179" s="167"/>
      <c r="G179" s="520"/>
      <c r="H179" s="520"/>
      <c r="I179" s="520"/>
      <c r="J179" s="520"/>
      <c r="K179" s="520"/>
      <c r="L179" s="247"/>
      <c r="M179" s="247"/>
      <c r="N179" s="247"/>
      <c r="O179" s="247"/>
      <c r="P179" s="247"/>
      <c r="R179" s="805"/>
    </row>
    <row r="180" spans="2:18" ht="28.5" customHeight="1" x14ac:dyDescent="0.2">
      <c r="B180" s="1112" t="str">
        <f>"per 31/12/"&amp;$L$13</f>
        <v>per 31/12/2020</v>
      </c>
      <c r="C180" s="1113"/>
      <c r="D180" s="1113"/>
      <c r="E180" s="1114"/>
      <c r="F180" s="167"/>
      <c r="G180" s="520"/>
      <c r="H180" s="520"/>
      <c r="I180" s="520"/>
      <c r="J180" s="520"/>
      <c r="K180" s="520"/>
      <c r="L180" s="520"/>
      <c r="M180" s="247"/>
      <c r="N180" s="247"/>
      <c r="O180" s="247"/>
      <c r="P180" s="247"/>
      <c r="R180" s="805"/>
    </row>
    <row r="181" spans="2:18" ht="28.5" customHeight="1" x14ac:dyDescent="0.2">
      <c r="B181" s="1112" t="str">
        <f>"per 31/12/"&amp;$M$13</f>
        <v>per 31/12/2021</v>
      </c>
      <c r="C181" s="1113"/>
      <c r="D181" s="1113"/>
      <c r="E181" s="1114"/>
      <c r="F181" s="167"/>
      <c r="G181" s="520"/>
      <c r="H181" s="520"/>
      <c r="I181" s="520"/>
      <c r="J181" s="520"/>
      <c r="K181" s="520"/>
      <c r="L181" s="520"/>
      <c r="M181" s="520"/>
      <c r="N181" s="247"/>
      <c r="O181" s="247"/>
      <c r="P181" s="247"/>
      <c r="R181" s="805"/>
    </row>
    <row r="182" spans="2:18" ht="28.5" customHeight="1" x14ac:dyDescent="0.2">
      <c r="B182" s="1107" t="str">
        <f>"per 31/12/"&amp;$N$13</f>
        <v>per 31/12/2022</v>
      </c>
      <c r="C182" s="1108"/>
      <c r="D182" s="1108"/>
      <c r="E182" s="1109"/>
      <c r="F182" s="167"/>
      <c r="G182" s="520"/>
      <c r="H182" s="520"/>
      <c r="I182" s="520"/>
      <c r="J182" s="520"/>
      <c r="K182" s="520"/>
      <c r="L182" s="520"/>
      <c r="M182" s="520"/>
      <c r="N182" s="247">
        <f>+N$16+N52</f>
        <v>0</v>
      </c>
      <c r="O182" s="247"/>
      <c r="P182" s="247"/>
      <c r="R182" s="803">
        <f t="shared" ref="R182:R184" si="17">SUM(G182:P182)</f>
        <v>0</v>
      </c>
    </row>
    <row r="183" spans="2:18" ht="28.5" customHeight="1" x14ac:dyDescent="0.2">
      <c r="B183" s="1107" t="str">
        <f>"per 31/12/"&amp;$O$13</f>
        <v>per 31/12/2023</v>
      </c>
      <c r="C183" s="1108"/>
      <c r="D183" s="1108"/>
      <c r="E183" s="1109"/>
      <c r="F183" s="167"/>
      <c r="G183" s="247"/>
      <c r="H183" s="247"/>
      <c r="I183" s="247"/>
      <c r="J183" s="247"/>
      <c r="K183" s="247"/>
      <c r="L183" s="520"/>
      <c r="M183" s="520"/>
      <c r="N183" s="247">
        <f>+N182+N53</f>
        <v>0</v>
      </c>
      <c r="O183" s="247">
        <f>+O$16+O53</f>
        <v>0</v>
      </c>
      <c r="P183" s="247"/>
      <c r="R183" s="803">
        <f t="shared" si="17"/>
        <v>0</v>
      </c>
    </row>
    <row r="184" spans="2:18" ht="28.5" customHeight="1" x14ac:dyDescent="0.2">
      <c r="B184" s="1107" t="str">
        <f>"per 31/12/"&amp;$P$13</f>
        <v>per 31/12/2024</v>
      </c>
      <c r="C184" s="1108"/>
      <c r="D184" s="1108"/>
      <c r="E184" s="1109"/>
      <c r="F184" s="167"/>
      <c r="G184" s="247"/>
      <c r="H184" s="247"/>
      <c r="I184" s="247"/>
      <c r="J184" s="247"/>
      <c r="K184" s="247"/>
      <c r="L184" s="247"/>
      <c r="M184" s="520"/>
      <c r="N184" s="247">
        <f>+N183+N54</f>
        <v>0</v>
      </c>
      <c r="O184" s="247">
        <f>+O183+O54</f>
        <v>0</v>
      </c>
      <c r="P184" s="247">
        <f>+P$16+P54</f>
        <v>0</v>
      </c>
      <c r="R184" s="803">
        <f t="shared" si="17"/>
        <v>0</v>
      </c>
    </row>
    <row r="185" spans="2:18" ht="27.75" customHeight="1" x14ac:dyDescent="0.2">
      <c r="B185" s="1118" t="s">
        <v>66</v>
      </c>
      <c r="C185" s="1119"/>
      <c r="D185" s="1119"/>
      <c r="E185" s="1120"/>
      <c r="F185" s="167"/>
      <c r="G185" s="804"/>
      <c r="H185" s="804"/>
      <c r="I185" s="804"/>
      <c r="J185" s="804"/>
      <c r="K185" s="804"/>
      <c r="L185" s="804"/>
      <c r="M185" s="804"/>
      <c r="N185" s="804"/>
      <c r="O185" s="804"/>
      <c r="P185" s="804"/>
      <c r="R185" s="804"/>
    </row>
    <row r="186" spans="2:18" ht="28.5" customHeight="1" x14ac:dyDescent="0.2">
      <c r="B186" s="1107" t="str">
        <f>"per 31/12/"&amp;$G$13</f>
        <v>per 31/12/2015</v>
      </c>
      <c r="C186" s="1108"/>
      <c r="D186" s="1108"/>
      <c r="E186" s="1109"/>
      <c r="F186" s="167"/>
      <c r="G186" s="247">
        <f>+G$17+G56</f>
        <v>0</v>
      </c>
      <c r="H186" s="247"/>
      <c r="I186" s="247"/>
      <c r="J186" s="247"/>
      <c r="K186" s="247"/>
      <c r="L186" s="247"/>
      <c r="M186" s="247"/>
      <c r="N186" s="247"/>
      <c r="O186" s="247"/>
      <c r="P186" s="247"/>
      <c r="R186" s="803">
        <f t="shared" si="14"/>
        <v>0</v>
      </c>
    </row>
    <row r="187" spans="2:18" ht="28.5" customHeight="1" x14ac:dyDescent="0.2">
      <c r="B187" s="1107" t="str">
        <f>"per 31/12/"&amp;$H$13</f>
        <v>per 31/12/2016</v>
      </c>
      <c r="C187" s="1108"/>
      <c r="D187" s="1108"/>
      <c r="E187" s="1109"/>
      <c r="F187" s="167"/>
      <c r="G187" s="247">
        <f t="shared" ref="G187:G193" si="18">+G186+G57</f>
        <v>0</v>
      </c>
      <c r="H187" s="247">
        <f>+H$17+H57</f>
        <v>0</v>
      </c>
      <c r="I187" s="247"/>
      <c r="J187" s="247"/>
      <c r="K187" s="247"/>
      <c r="L187" s="247"/>
      <c r="M187" s="247"/>
      <c r="N187" s="247"/>
      <c r="O187" s="247"/>
      <c r="P187" s="247"/>
      <c r="R187" s="803">
        <f t="shared" si="14"/>
        <v>0</v>
      </c>
    </row>
    <row r="188" spans="2:18" ht="28.5" customHeight="1" x14ac:dyDescent="0.2">
      <c r="B188" s="1107" t="str">
        <f>"per 31/12/"&amp;$I$13</f>
        <v>per 31/12/2017</v>
      </c>
      <c r="C188" s="1108"/>
      <c r="D188" s="1108"/>
      <c r="E188" s="1109"/>
      <c r="F188" s="167"/>
      <c r="G188" s="247">
        <f t="shared" si="18"/>
        <v>0</v>
      </c>
      <c r="H188" s="247">
        <f t="shared" ref="H188:H193" si="19">+H187+H58</f>
        <v>0</v>
      </c>
      <c r="I188" s="247">
        <f>+I$17+I58</f>
        <v>0</v>
      </c>
      <c r="J188" s="247"/>
      <c r="K188" s="247"/>
      <c r="L188" s="247"/>
      <c r="M188" s="247"/>
      <c r="N188" s="247"/>
      <c r="O188" s="247"/>
      <c r="P188" s="247"/>
      <c r="R188" s="803">
        <f t="shared" si="14"/>
        <v>0</v>
      </c>
    </row>
    <row r="189" spans="2:18" ht="28.5" customHeight="1" x14ac:dyDescent="0.2">
      <c r="B189" s="1107" t="str">
        <f>"per 31/12/"&amp;$J$13</f>
        <v>per 31/12/2018</v>
      </c>
      <c r="C189" s="1108"/>
      <c r="D189" s="1108"/>
      <c r="E189" s="1109"/>
      <c r="F189" s="167"/>
      <c r="G189" s="247">
        <f t="shared" si="18"/>
        <v>0</v>
      </c>
      <c r="H189" s="247">
        <f t="shared" si="19"/>
        <v>0</v>
      </c>
      <c r="I189" s="247">
        <f>+I188+I59</f>
        <v>0</v>
      </c>
      <c r="J189" s="247">
        <f>+J$17+J59</f>
        <v>0</v>
      </c>
      <c r="K189" s="247"/>
      <c r="L189" s="247"/>
      <c r="M189" s="247"/>
      <c r="N189" s="247"/>
      <c r="O189" s="247"/>
      <c r="P189" s="247"/>
      <c r="R189" s="803">
        <f t="shared" si="14"/>
        <v>0</v>
      </c>
    </row>
    <row r="190" spans="2:18" ht="28.5" customHeight="1" x14ac:dyDescent="0.2">
      <c r="B190" s="1107" t="str">
        <f>"per 31/12/"&amp;$K$13</f>
        <v>per 31/12/2019</v>
      </c>
      <c r="C190" s="1108"/>
      <c r="D190" s="1108"/>
      <c r="E190" s="1109"/>
      <c r="F190" s="167"/>
      <c r="G190" s="247">
        <f t="shared" si="18"/>
        <v>0</v>
      </c>
      <c r="H190" s="247">
        <f t="shared" si="19"/>
        <v>0</v>
      </c>
      <c r="I190" s="247">
        <f>+I189+I60</f>
        <v>0</v>
      </c>
      <c r="J190" s="247">
        <f>+J189+J60</f>
        <v>0</v>
      </c>
      <c r="K190" s="247">
        <f>+K$17+K60</f>
        <v>0</v>
      </c>
      <c r="L190" s="247"/>
      <c r="M190" s="247"/>
      <c r="N190" s="247"/>
      <c r="O190" s="247"/>
      <c r="P190" s="247"/>
      <c r="R190" s="803">
        <f t="shared" si="14"/>
        <v>0</v>
      </c>
    </row>
    <row r="191" spans="2:18" ht="28.5" customHeight="1" x14ac:dyDescent="0.2">
      <c r="B191" s="1107" t="str">
        <f>"per 31/12/"&amp;$L$13</f>
        <v>per 31/12/2020</v>
      </c>
      <c r="C191" s="1108"/>
      <c r="D191" s="1108"/>
      <c r="E191" s="1109"/>
      <c r="F191" s="167"/>
      <c r="G191" s="247">
        <f t="shared" si="18"/>
        <v>0</v>
      </c>
      <c r="H191" s="247">
        <f t="shared" si="19"/>
        <v>0</v>
      </c>
      <c r="I191" s="247">
        <f>+I190+I61</f>
        <v>0</v>
      </c>
      <c r="J191" s="247">
        <f>+J190+J61</f>
        <v>0</v>
      </c>
      <c r="K191" s="247">
        <f>+K190+K61</f>
        <v>0</v>
      </c>
      <c r="L191" s="247">
        <f>+L$17+L61</f>
        <v>0</v>
      </c>
      <c r="M191" s="247"/>
      <c r="N191" s="247"/>
      <c r="O191" s="247"/>
      <c r="P191" s="247"/>
      <c r="R191" s="803">
        <f t="shared" si="14"/>
        <v>0</v>
      </c>
    </row>
    <row r="192" spans="2:18" ht="28.5" customHeight="1" x14ac:dyDescent="0.2">
      <c r="B192" s="1107" t="str">
        <f>"per 31/12/"&amp;$M$13</f>
        <v>per 31/12/2021</v>
      </c>
      <c r="C192" s="1108"/>
      <c r="D192" s="1108"/>
      <c r="E192" s="1109"/>
      <c r="F192" s="167"/>
      <c r="G192" s="247">
        <f t="shared" si="18"/>
        <v>0</v>
      </c>
      <c r="H192" s="247">
        <f t="shared" si="19"/>
        <v>0</v>
      </c>
      <c r="I192" s="247">
        <f>+I191+I62</f>
        <v>0</v>
      </c>
      <c r="J192" s="247">
        <f>+J191+J62</f>
        <v>0</v>
      </c>
      <c r="K192" s="247">
        <f>+K191+K62</f>
        <v>0</v>
      </c>
      <c r="L192" s="247">
        <f>+L191+L62</f>
        <v>0</v>
      </c>
      <c r="M192" s="247">
        <f>+M$17+M62</f>
        <v>0</v>
      </c>
      <c r="N192" s="247"/>
      <c r="O192" s="247"/>
      <c r="P192" s="247"/>
      <c r="R192" s="803">
        <f t="shared" si="14"/>
        <v>0</v>
      </c>
    </row>
    <row r="193" spans="2:18" ht="28.5" customHeight="1" x14ac:dyDescent="0.2">
      <c r="B193" s="1107" t="str">
        <f>"per 31/12/"&amp;$N$13</f>
        <v>per 31/12/2022</v>
      </c>
      <c r="C193" s="1108"/>
      <c r="D193" s="1108"/>
      <c r="E193" s="1109"/>
      <c r="F193" s="167"/>
      <c r="G193" s="247">
        <f t="shared" si="18"/>
        <v>0</v>
      </c>
      <c r="H193" s="247">
        <f t="shared" si="19"/>
        <v>0</v>
      </c>
      <c r="I193" s="247">
        <f>+I192+I63</f>
        <v>0</v>
      </c>
      <c r="J193" s="247">
        <f>+J192+J63</f>
        <v>0</v>
      </c>
      <c r="K193" s="247">
        <f>+K192+K63</f>
        <v>0</v>
      </c>
      <c r="L193" s="247">
        <f>+L192+L63</f>
        <v>0</v>
      </c>
      <c r="M193" s="247">
        <f>+M192+M63</f>
        <v>0</v>
      </c>
      <c r="N193" s="247">
        <f>+N$17+N63</f>
        <v>0</v>
      </c>
      <c r="O193" s="247"/>
      <c r="P193" s="247"/>
      <c r="R193" s="803">
        <f t="shared" si="14"/>
        <v>0</v>
      </c>
    </row>
    <row r="194" spans="2:18" ht="28.5" customHeight="1" x14ac:dyDescent="0.2">
      <c r="B194" s="1107" t="str">
        <f>"per 31/12/"&amp;$O$13</f>
        <v>per 31/12/2023</v>
      </c>
      <c r="C194" s="1108"/>
      <c r="D194" s="1108"/>
      <c r="E194" s="1109"/>
      <c r="F194" s="167"/>
      <c r="G194" s="247"/>
      <c r="H194" s="247"/>
      <c r="I194" s="247"/>
      <c r="J194" s="247"/>
      <c r="K194" s="247"/>
      <c r="L194" s="247">
        <f>+L193+L64</f>
        <v>0</v>
      </c>
      <c r="M194" s="247">
        <f>+M193+M64</f>
        <v>0</v>
      </c>
      <c r="N194" s="247">
        <f>+N193+N64</f>
        <v>0</v>
      </c>
      <c r="O194" s="247">
        <f>+O$17+O64</f>
        <v>0</v>
      </c>
      <c r="P194" s="247"/>
      <c r="R194" s="803">
        <f t="shared" si="14"/>
        <v>0</v>
      </c>
    </row>
    <row r="195" spans="2:18" ht="28.5" customHeight="1" x14ac:dyDescent="0.2">
      <c r="B195" s="1107" t="str">
        <f>"per 31/12/"&amp;$P$13</f>
        <v>per 31/12/2024</v>
      </c>
      <c r="C195" s="1108"/>
      <c r="D195" s="1108"/>
      <c r="E195" s="1109"/>
      <c r="F195" s="167"/>
      <c r="G195" s="247"/>
      <c r="H195" s="247"/>
      <c r="I195" s="247"/>
      <c r="J195" s="247"/>
      <c r="K195" s="247"/>
      <c r="L195" s="247"/>
      <c r="M195" s="247">
        <f>+M194+M65</f>
        <v>0</v>
      </c>
      <c r="N195" s="247">
        <f>+N194+N65</f>
        <v>0</v>
      </c>
      <c r="O195" s="247">
        <f>+O194+O65</f>
        <v>0</v>
      </c>
      <c r="P195" s="247">
        <f>+P$17+P65</f>
        <v>0</v>
      </c>
      <c r="R195" s="803">
        <f t="shared" si="14"/>
        <v>0</v>
      </c>
    </row>
    <row r="196" spans="2:18" ht="27" customHeight="1" x14ac:dyDescent="0.2">
      <c r="B196" s="1128" t="s">
        <v>350</v>
      </c>
      <c r="C196" s="1128"/>
      <c r="D196" s="1128"/>
      <c r="E196" s="1128"/>
      <c r="F196" s="167"/>
      <c r="G196" s="804"/>
      <c r="H196" s="804"/>
      <c r="I196" s="804"/>
      <c r="J196" s="804"/>
      <c r="K196" s="804"/>
      <c r="L196" s="804"/>
      <c r="M196" s="804"/>
      <c r="N196" s="804"/>
      <c r="O196" s="804"/>
      <c r="P196" s="804"/>
      <c r="R196" s="804"/>
    </row>
    <row r="197" spans="2:18" ht="28.5" customHeight="1" x14ac:dyDescent="0.2">
      <c r="B197" s="1107" t="str">
        <f>"per 31/12/"&amp;$G$13</f>
        <v>per 31/12/2015</v>
      </c>
      <c r="C197" s="1108"/>
      <c r="D197" s="1108"/>
      <c r="E197" s="1109"/>
      <c r="F197" s="167"/>
      <c r="G197" s="247">
        <f>+G$18+G67</f>
        <v>0</v>
      </c>
      <c r="H197" s="247"/>
      <c r="I197" s="247"/>
      <c r="J197" s="247"/>
      <c r="K197" s="247"/>
      <c r="L197" s="247"/>
      <c r="M197" s="247"/>
      <c r="N197" s="247"/>
      <c r="O197" s="247"/>
      <c r="P197" s="247"/>
      <c r="R197" s="803">
        <f t="shared" ref="R197:R205" si="20">SUM(G197:P197)</f>
        <v>0</v>
      </c>
    </row>
    <row r="198" spans="2:18" ht="28.5" customHeight="1" x14ac:dyDescent="0.2">
      <c r="B198" s="1107" t="str">
        <f>"per 31/12/"&amp;$H$13</f>
        <v>per 31/12/2016</v>
      </c>
      <c r="C198" s="1108"/>
      <c r="D198" s="1108"/>
      <c r="E198" s="1109"/>
      <c r="F198" s="167"/>
      <c r="G198" s="247">
        <f t="shared" ref="G198:G204" si="21">+G197+G68</f>
        <v>0</v>
      </c>
      <c r="H198" s="247">
        <f>+H$18+H68</f>
        <v>0</v>
      </c>
      <c r="I198" s="247"/>
      <c r="J198" s="247"/>
      <c r="K198" s="247"/>
      <c r="L198" s="247"/>
      <c r="M198" s="247"/>
      <c r="N198" s="247"/>
      <c r="O198" s="247"/>
      <c r="P198" s="247"/>
      <c r="R198" s="803">
        <f t="shared" si="20"/>
        <v>0</v>
      </c>
    </row>
    <row r="199" spans="2:18" ht="28.5" customHeight="1" x14ac:dyDescent="0.2">
      <c r="B199" s="1107" t="str">
        <f>"per 31/12/"&amp;$I$13</f>
        <v>per 31/12/2017</v>
      </c>
      <c r="C199" s="1108"/>
      <c r="D199" s="1108"/>
      <c r="E199" s="1109"/>
      <c r="F199" s="167"/>
      <c r="G199" s="247">
        <f t="shared" si="21"/>
        <v>0</v>
      </c>
      <c r="H199" s="247">
        <f t="shared" ref="H199:H204" si="22">+H198+H69</f>
        <v>0</v>
      </c>
      <c r="I199" s="247">
        <f>+I$18+I69</f>
        <v>0</v>
      </c>
      <c r="J199" s="247"/>
      <c r="K199" s="247"/>
      <c r="L199" s="247"/>
      <c r="M199" s="247"/>
      <c r="N199" s="247"/>
      <c r="O199" s="247"/>
      <c r="P199" s="247"/>
      <c r="R199" s="803">
        <f t="shared" si="20"/>
        <v>0</v>
      </c>
    </row>
    <row r="200" spans="2:18" ht="28.5" customHeight="1" x14ac:dyDescent="0.2">
      <c r="B200" s="1107" t="str">
        <f>"per 31/12/"&amp;$J$13</f>
        <v>per 31/12/2018</v>
      </c>
      <c r="C200" s="1108"/>
      <c r="D200" s="1108"/>
      <c r="E200" s="1109"/>
      <c r="F200" s="167"/>
      <c r="G200" s="247">
        <f t="shared" si="21"/>
        <v>0</v>
      </c>
      <c r="H200" s="247">
        <f t="shared" si="22"/>
        <v>0</v>
      </c>
      <c r="I200" s="247">
        <f>+I199+I70</f>
        <v>0</v>
      </c>
      <c r="J200" s="247">
        <f>+J$18+J70</f>
        <v>0</v>
      </c>
      <c r="K200" s="247"/>
      <c r="L200" s="247"/>
      <c r="M200" s="247"/>
      <c r="N200" s="247"/>
      <c r="O200" s="247"/>
      <c r="P200" s="247"/>
      <c r="R200" s="803">
        <f t="shared" si="20"/>
        <v>0</v>
      </c>
    </row>
    <row r="201" spans="2:18" ht="28.5" customHeight="1" x14ac:dyDescent="0.2">
      <c r="B201" s="1107" t="str">
        <f>"per 31/12/"&amp;$K$13</f>
        <v>per 31/12/2019</v>
      </c>
      <c r="C201" s="1108"/>
      <c r="D201" s="1108"/>
      <c r="E201" s="1109"/>
      <c r="F201" s="167"/>
      <c r="G201" s="247">
        <f t="shared" si="21"/>
        <v>0</v>
      </c>
      <c r="H201" s="247">
        <f t="shared" si="22"/>
        <v>0</v>
      </c>
      <c r="I201" s="247">
        <f>+I200+I71</f>
        <v>0</v>
      </c>
      <c r="J201" s="247">
        <f>+J200+J71</f>
        <v>0</v>
      </c>
      <c r="K201" s="247">
        <f>+K$18+K71</f>
        <v>0</v>
      </c>
      <c r="L201" s="247"/>
      <c r="M201" s="247"/>
      <c r="N201" s="247"/>
      <c r="O201" s="247"/>
      <c r="P201" s="247"/>
      <c r="R201" s="803">
        <f t="shared" si="20"/>
        <v>0</v>
      </c>
    </row>
    <row r="202" spans="2:18" ht="28.5" customHeight="1" x14ac:dyDescent="0.2">
      <c r="B202" s="1107" t="str">
        <f>"per 31/12/"&amp;$L$13</f>
        <v>per 31/12/2020</v>
      </c>
      <c r="C202" s="1108"/>
      <c r="D202" s="1108"/>
      <c r="E202" s="1109"/>
      <c r="F202" s="167"/>
      <c r="G202" s="247">
        <f t="shared" si="21"/>
        <v>0</v>
      </c>
      <c r="H202" s="247">
        <f t="shared" si="22"/>
        <v>0</v>
      </c>
      <c r="I202" s="247">
        <f>+I201+I72</f>
        <v>0</v>
      </c>
      <c r="J202" s="247">
        <f>+J201+J72</f>
        <v>0</v>
      </c>
      <c r="K202" s="247">
        <f>+K201+K72</f>
        <v>0</v>
      </c>
      <c r="L202" s="247">
        <f>+L$18+L72</f>
        <v>0</v>
      </c>
      <c r="M202" s="247"/>
      <c r="N202" s="247"/>
      <c r="O202" s="247"/>
      <c r="P202" s="247"/>
      <c r="R202" s="803">
        <f t="shared" si="20"/>
        <v>0</v>
      </c>
    </row>
    <row r="203" spans="2:18" ht="28.5" customHeight="1" x14ac:dyDescent="0.2">
      <c r="B203" s="1107" t="str">
        <f>"per 31/12/"&amp;$M$13</f>
        <v>per 31/12/2021</v>
      </c>
      <c r="C203" s="1108"/>
      <c r="D203" s="1108"/>
      <c r="E203" s="1109"/>
      <c r="F203" s="167"/>
      <c r="G203" s="247">
        <f t="shared" si="21"/>
        <v>0</v>
      </c>
      <c r="H203" s="247">
        <f t="shared" si="22"/>
        <v>0</v>
      </c>
      <c r="I203" s="247">
        <f>+I202+I73</f>
        <v>0</v>
      </c>
      <c r="J203" s="247">
        <f>+J202+J73</f>
        <v>0</v>
      </c>
      <c r="K203" s="247">
        <f>+K202+K73</f>
        <v>0</v>
      </c>
      <c r="L203" s="247">
        <f>+L202+L73</f>
        <v>0</v>
      </c>
      <c r="M203" s="520"/>
      <c r="N203" s="247"/>
      <c r="O203" s="247"/>
      <c r="P203" s="247"/>
      <c r="R203" s="803">
        <f t="shared" si="20"/>
        <v>0</v>
      </c>
    </row>
    <row r="204" spans="2:18" ht="28.5" customHeight="1" x14ac:dyDescent="0.2">
      <c r="B204" s="1107" t="str">
        <f>"per 31/12/"&amp;$N$13</f>
        <v>per 31/12/2022</v>
      </c>
      <c r="C204" s="1108"/>
      <c r="D204" s="1108"/>
      <c r="E204" s="1109"/>
      <c r="F204" s="167"/>
      <c r="G204" s="247">
        <f t="shared" si="21"/>
        <v>0</v>
      </c>
      <c r="H204" s="247">
        <f t="shared" si="22"/>
        <v>0</v>
      </c>
      <c r="I204" s="247">
        <f>+I203+I74</f>
        <v>0</v>
      </c>
      <c r="J204" s="247">
        <f>+J203+J74</f>
        <v>0</v>
      </c>
      <c r="K204" s="247">
        <f>+K203+K74</f>
        <v>0</v>
      </c>
      <c r="L204" s="247">
        <f>+L203+L74</f>
        <v>0</v>
      </c>
      <c r="M204" s="520"/>
      <c r="N204" s="520"/>
      <c r="O204" s="247"/>
      <c r="P204" s="247"/>
      <c r="R204" s="803">
        <f t="shared" si="20"/>
        <v>0</v>
      </c>
    </row>
    <row r="205" spans="2:18" ht="28.5" customHeight="1" x14ac:dyDescent="0.2">
      <c r="B205" s="1107" t="str">
        <f>"per 31/12/"&amp;$O$13</f>
        <v>per 31/12/2023</v>
      </c>
      <c r="C205" s="1108"/>
      <c r="D205" s="1108"/>
      <c r="E205" s="1109"/>
      <c r="F205" s="167"/>
      <c r="G205" s="247"/>
      <c r="H205" s="247"/>
      <c r="I205" s="247"/>
      <c r="J205" s="247"/>
      <c r="K205" s="247"/>
      <c r="L205" s="247">
        <f>+L204+L75</f>
        <v>0</v>
      </c>
      <c r="M205" s="520"/>
      <c r="N205" s="520"/>
      <c r="O205" s="520"/>
      <c r="P205" s="247"/>
      <c r="R205" s="803">
        <f t="shared" si="20"/>
        <v>0</v>
      </c>
    </row>
    <row r="206" spans="2:18" ht="28.5" customHeight="1" x14ac:dyDescent="0.2">
      <c r="B206" s="1107" t="str">
        <f>"per 31/12/"&amp;$P$13</f>
        <v>per 31/12/2024</v>
      </c>
      <c r="C206" s="1108"/>
      <c r="D206" s="1108"/>
      <c r="E206" s="1109"/>
      <c r="F206" s="167"/>
      <c r="G206" s="247"/>
      <c r="H206" s="247"/>
      <c r="I206" s="247"/>
      <c r="J206" s="247"/>
      <c r="K206" s="247"/>
      <c r="L206" s="247"/>
      <c r="M206" s="520"/>
      <c r="N206" s="520"/>
      <c r="O206" s="520"/>
      <c r="P206" s="520"/>
      <c r="R206" s="805"/>
    </row>
    <row r="207" spans="2:18" ht="30" customHeight="1" x14ac:dyDescent="0.2">
      <c r="B207" s="1118" t="s">
        <v>169</v>
      </c>
      <c r="C207" s="1119"/>
      <c r="D207" s="1119"/>
      <c r="E207" s="1120"/>
      <c r="F207" s="167"/>
      <c r="G207" s="804"/>
      <c r="H207" s="804"/>
      <c r="I207" s="804"/>
      <c r="J207" s="804"/>
      <c r="K207" s="804"/>
      <c r="L207" s="804"/>
      <c r="M207" s="804"/>
      <c r="N207" s="804"/>
      <c r="O207" s="804"/>
      <c r="P207" s="804"/>
      <c r="R207" s="804"/>
    </row>
    <row r="208" spans="2:18" ht="28.5" customHeight="1" x14ac:dyDescent="0.2">
      <c r="B208" s="1107" t="str">
        <f>"per 31/12/"&amp;$G$13</f>
        <v>per 31/12/2015</v>
      </c>
      <c r="C208" s="1108"/>
      <c r="D208" s="1108"/>
      <c r="E208" s="1109"/>
      <c r="F208" s="167"/>
      <c r="G208" s="247">
        <f>+G$19+G78</f>
        <v>0</v>
      </c>
      <c r="H208" s="247"/>
      <c r="I208" s="247"/>
      <c r="J208" s="247"/>
      <c r="K208" s="247"/>
      <c r="L208" s="247"/>
      <c r="M208" s="247"/>
      <c r="N208" s="247"/>
      <c r="O208" s="247"/>
      <c r="P208" s="247"/>
      <c r="R208" s="803">
        <f t="shared" si="14"/>
        <v>0</v>
      </c>
    </row>
    <row r="209" spans="2:18" ht="28.5" customHeight="1" x14ac:dyDescent="0.2">
      <c r="B209" s="1107" t="str">
        <f>"per 31/12/"&amp;$H$13</f>
        <v>per 31/12/2016</v>
      </c>
      <c r="C209" s="1108"/>
      <c r="D209" s="1108"/>
      <c r="E209" s="1109"/>
      <c r="F209" s="167"/>
      <c r="G209" s="247">
        <f t="shared" ref="G209:G215" si="23">+G208+G79</f>
        <v>0</v>
      </c>
      <c r="H209" s="247">
        <f>+H$19+H79</f>
        <v>0</v>
      </c>
      <c r="I209" s="247"/>
      <c r="J209" s="247"/>
      <c r="K209" s="247"/>
      <c r="L209" s="247"/>
      <c r="M209" s="247"/>
      <c r="N209" s="247"/>
      <c r="O209" s="247"/>
      <c r="P209" s="247"/>
      <c r="R209" s="803">
        <f t="shared" si="14"/>
        <v>0</v>
      </c>
    </row>
    <row r="210" spans="2:18" ht="28.5" customHeight="1" x14ac:dyDescent="0.2">
      <c r="B210" s="1107" t="str">
        <f>"per 31/12/"&amp;$I$13</f>
        <v>per 31/12/2017</v>
      </c>
      <c r="C210" s="1108"/>
      <c r="D210" s="1108"/>
      <c r="E210" s="1109"/>
      <c r="F210" s="167"/>
      <c r="G210" s="247">
        <f t="shared" si="23"/>
        <v>0</v>
      </c>
      <c r="H210" s="247">
        <f t="shared" ref="H210:H215" si="24">+H209+H80</f>
        <v>0</v>
      </c>
      <c r="I210" s="247">
        <f>+I$19+I80</f>
        <v>0</v>
      </c>
      <c r="J210" s="247"/>
      <c r="K210" s="247"/>
      <c r="L210" s="247"/>
      <c r="M210" s="247"/>
      <c r="N210" s="247"/>
      <c r="O210" s="247"/>
      <c r="P210" s="247"/>
      <c r="R210" s="803">
        <f t="shared" si="14"/>
        <v>0</v>
      </c>
    </row>
    <row r="211" spans="2:18" ht="28.5" customHeight="1" x14ac:dyDescent="0.2">
      <c r="B211" s="1107" t="str">
        <f>"per 31/12/"&amp;$J$13</f>
        <v>per 31/12/2018</v>
      </c>
      <c r="C211" s="1108"/>
      <c r="D211" s="1108"/>
      <c r="E211" s="1109"/>
      <c r="F211" s="167"/>
      <c r="G211" s="247">
        <f t="shared" si="23"/>
        <v>0</v>
      </c>
      <c r="H211" s="247">
        <f t="shared" si="24"/>
        <v>0</v>
      </c>
      <c r="I211" s="247">
        <f>+I210+I81</f>
        <v>0</v>
      </c>
      <c r="J211" s="247">
        <f>+J$19+J81</f>
        <v>0</v>
      </c>
      <c r="K211" s="247"/>
      <c r="L211" s="247"/>
      <c r="M211" s="247"/>
      <c r="N211" s="247"/>
      <c r="O211" s="247"/>
      <c r="P211" s="247"/>
      <c r="R211" s="803">
        <f t="shared" si="14"/>
        <v>0</v>
      </c>
    </row>
    <row r="212" spans="2:18" ht="28.5" customHeight="1" x14ac:dyDescent="0.2">
      <c r="B212" s="1107" t="str">
        <f>"per 31/12/"&amp;$K$13</f>
        <v>per 31/12/2019</v>
      </c>
      <c r="C212" s="1108"/>
      <c r="D212" s="1108"/>
      <c r="E212" s="1109"/>
      <c r="F212" s="167"/>
      <c r="G212" s="247">
        <f t="shared" si="23"/>
        <v>0</v>
      </c>
      <c r="H212" s="247">
        <f t="shared" si="24"/>
        <v>0</v>
      </c>
      <c r="I212" s="247">
        <f>+I211+I82</f>
        <v>0</v>
      </c>
      <c r="J212" s="247">
        <f>+J211+J82</f>
        <v>0</v>
      </c>
      <c r="K212" s="247">
        <f>+K$19+K82</f>
        <v>0</v>
      </c>
      <c r="L212" s="247"/>
      <c r="M212" s="247"/>
      <c r="N212" s="247"/>
      <c r="O212" s="247"/>
      <c r="P212" s="247"/>
      <c r="R212" s="803">
        <f t="shared" si="14"/>
        <v>0</v>
      </c>
    </row>
    <row r="213" spans="2:18" ht="28.5" customHeight="1" x14ac:dyDescent="0.2">
      <c r="B213" s="1107" t="str">
        <f>"per 31/12/"&amp;$L$13</f>
        <v>per 31/12/2020</v>
      </c>
      <c r="C213" s="1108"/>
      <c r="D213" s="1108"/>
      <c r="E213" s="1109"/>
      <c r="F213" s="167"/>
      <c r="G213" s="247">
        <f t="shared" si="23"/>
        <v>0</v>
      </c>
      <c r="H213" s="247">
        <f t="shared" si="24"/>
        <v>0</v>
      </c>
      <c r="I213" s="247">
        <f>+I212+I83</f>
        <v>0</v>
      </c>
      <c r="J213" s="247">
        <f>+J212+J83</f>
        <v>0</v>
      </c>
      <c r="K213" s="247">
        <f>+K212+K83</f>
        <v>0</v>
      </c>
      <c r="L213" s="247">
        <f>+L$19+L83</f>
        <v>0</v>
      </c>
      <c r="M213" s="247"/>
      <c r="N213" s="247"/>
      <c r="O213" s="247"/>
      <c r="P213" s="247"/>
      <c r="R213" s="803">
        <f t="shared" si="14"/>
        <v>0</v>
      </c>
    </row>
    <row r="214" spans="2:18" ht="28.5" customHeight="1" x14ac:dyDescent="0.2">
      <c r="B214" s="1107" t="str">
        <f>"per 31/12/"&amp;$M$13</f>
        <v>per 31/12/2021</v>
      </c>
      <c r="C214" s="1108"/>
      <c r="D214" s="1108"/>
      <c r="E214" s="1109"/>
      <c r="F214" s="167"/>
      <c r="G214" s="247">
        <f t="shared" si="23"/>
        <v>0</v>
      </c>
      <c r="H214" s="247">
        <f t="shared" si="24"/>
        <v>0</v>
      </c>
      <c r="I214" s="247">
        <f>+I213+I84</f>
        <v>0</v>
      </c>
      <c r="J214" s="247">
        <f>+J213+J84</f>
        <v>0</v>
      </c>
      <c r="K214" s="247">
        <f>+K213+K84</f>
        <v>0</v>
      </c>
      <c r="L214" s="247">
        <f>+L213+L84</f>
        <v>0</v>
      </c>
      <c r="M214" s="520"/>
      <c r="N214" s="247"/>
      <c r="O214" s="247"/>
      <c r="P214" s="247"/>
      <c r="R214" s="803">
        <f t="shared" si="14"/>
        <v>0</v>
      </c>
    </row>
    <row r="215" spans="2:18" ht="28.5" customHeight="1" x14ac:dyDescent="0.2">
      <c r="B215" s="1107" t="str">
        <f>"per 31/12/"&amp;$N$13</f>
        <v>per 31/12/2022</v>
      </c>
      <c r="C215" s="1108"/>
      <c r="D215" s="1108"/>
      <c r="E215" s="1109"/>
      <c r="F215" s="167"/>
      <c r="G215" s="247">
        <f t="shared" si="23"/>
        <v>0</v>
      </c>
      <c r="H215" s="247">
        <f t="shared" si="24"/>
        <v>0</v>
      </c>
      <c r="I215" s="247">
        <f>+I214+I85</f>
        <v>0</v>
      </c>
      <c r="J215" s="247">
        <f>+J214+J85</f>
        <v>0</v>
      </c>
      <c r="K215" s="247">
        <f>+K214+K85</f>
        <v>0</v>
      </c>
      <c r="L215" s="247">
        <f>+L214+L85</f>
        <v>0</v>
      </c>
      <c r="M215" s="520"/>
      <c r="N215" s="520"/>
      <c r="O215" s="247"/>
      <c r="P215" s="247"/>
      <c r="R215" s="803">
        <f t="shared" si="14"/>
        <v>0</v>
      </c>
    </row>
    <row r="216" spans="2:18" ht="28.5" customHeight="1" x14ac:dyDescent="0.2">
      <c r="B216" s="1107" t="str">
        <f>"per 31/12/"&amp;$O$13</f>
        <v>per 31/12/2023</v>
      </c>
      <c r="C216" s="1108"/>
      <c r="D216" s="1108"/>
      <c r="E216" s="1109"/>
      <c r="F216" s="167"/>
      <c r="G216" s="247"/>
      <c r="H216" s="247"/>
      <c r="I216" s="247"/>
      <c r="J216" s="247"/>
      <c r="K216" s="247"/>
      <c r="L216" s="247">
        <f>+L215+L86</f>
        <v>0</v>
      </c>
      <c r="M216" s="520"/>
      <c r="N216" s="520"/>
      <c r="O216" s="520"/>
      <c r="P216" s="247"/>
      <c r="R216" s="803">
        <f t="shared" si="14"/>
        <v>0</v>
      </c>
    </row>
    <row r="217" spans="2:18" ht="28.5" customHeight="1" x14ac:dyDescent="0.2">
      <c r="B217" s="1107" t="str">
        <f>"per 31/12/"&amp;$P$13</f>
        <v>per 31/12/2024</v>
      </c>
      <c r="C217" s="1108"/>
      <c r="D217" s="1108"/>
      <c r="E217" s="1109"/>
      <c r="F217" s="167"/>
      <c r="G217" s="247"/>
      <c r="H217" s="247"/>
      <c r="I217" s="247"/>
      <c r="J217" s="247"/>
      <c r="K217" s="247"/>
      <c r="L217" s="247"/>
      <c r="M217" s="520"/>
      <c r="N217" s="520"/>
      <c r="O217" s="520"/>
      <c r="P217" s="520"/>
      <c r="R217" s="805"/>
    </row>
    <row r="218" spans="2:18" ht="30" customHeight="1" x14ac:dyDescent="0.2">
      <c r="B218" s="1118" t="s">
        <v>67</v>
      </c>
      <c r="C218" s="1119"/>
      <c r="D218" s="1119"/>
      <c r="E218" s="1120"/>
      <c r="F218" s="167"/>
      <c r="G218" s="804"/>
      <c r="H218" s="804"/>
      <c r="I218" s="804"/>
      <c r="J218" s="804"/>
      <c r="K218" s="804"/>
      <c r="L218" s="804"/>
      <c r="M218" s="804"/>
      <c r="N218" s="804"/>
      <c r="O218" s="804"/>
      <c r="P218" s="804"/>
      <c r="R218" s="804"/>
    </row>
    <row r="219" spans="2:18" ht="28.5" customHeight="1" x14ac:dyDescent="0.2">
      <c r="B219" s="1107" t="str">
        <f>"per 31/12/"&amp;$G$13</f>
        <v>per 31/12/2015</v>
      </c>
      <c r="C219" s="1108"/>
      <c r="D219" s="1108"/>
      <c r="E219" s="1109"/>
      <c r="F219" s="167"/>
      <c r="G219" s="247">
        <f>+G$20+G89</f>
        <v>0</v>
      </c>
      <c r="H219" s="247"/>
      <c r="I219" s="247"/>
      <c r="J219" s="247"/>
      <c r="K219" s="247"/>
      <c r="L219" s="247"/>
      <c r="M219" s="247"/>
      <c r="N219" s="247"/>
      <c r="O219" s="247"/>
      <c r="P219" s="247"/>
      <c r="R219" s="803">
        <f t="shared" si="14"/>
        <v>0</v>
      </c>
    </row>
    <row r="220" spans="2:18" ht="28.5" customHeight="1" x14ac:dyDescent="0.2">
      <c r="B220" s="1107" t="str">
        <f>"per 31/12/"&amp;$H$13</f>
        <v>per 31/12/2016</v>
      </c>
      <c r="C220" s="1108"/>
      <c r="D220" s="1108"/>
      <c r="E220" s="1109"/>
      <c r="F220" s="167"/>
      <c r="G220" s="247">
        <f t="shared" ref="G220:G226" si="25">+G219+G90</f>
        <v>0</v>
      </c>
      <c r="H220" s="247">
        <f>+H$20+H90</f>
        <v>0</v>
      </c>
      <c r="I220" s="247"/>
      <c r="J220" s="247"/>
      <c r="K220" s="247"/>
      <c r="L220" s="247"/>
      <c r="M220" s="247"/>
      <c r="N220" s="247"/>
      <c r="O220" s="247"/>
      <c r="P220" s="247"/>
      <c r="R220" s="803">
        <f t="shared" si="14"/>
        <v>0</v>
      </c>
    </row>
    <row r="221" spans="2:18" ht="28.5" customHeight="1" x14ac:dyDescent="0.2">
      <c r="B221" s="1107" t="str">
        <f>"per 31/12/"&amp;$I$13</f>
        <v>per 31/12/2017</v>
      </c>
      <c r="C221" s="1108"/>
      <c r="D221" s="1108"/>
      <c r="E221" s="1109"/>
      <c r="F221" s="167"/>
      <c r="G221" s="247">
        <f t="shared" si="25"/>
        <v>0</v>
      </c>
      <c r="H221" s="247">
        <f t="shared" ref="H221:H226" si="26">+H220+H91</f>
        <v>0</v>
      </c>
      <c r="I221" s="247">
        <f>+I$20+I91</f>
        <v>0</v>
      </c>
      <c r="J221" s="247"/>
      <c r="K221" s="247"/>
      <c r="L221" s="247"/>
      <c r="M221" s="247"/>
      <c r="N221" s="247"/>
      <c r="O221" s="247"/>
      <c r="P221" s="247"/>
      <c r="R221" s="803">
        <f t="shared" si="14"/>
        <v>0</v>
      </c>
    </row>
    <row r="222" spans="2:18" ht="28.5" customHeight="1" x14ac:dyDescent="0.2">
      <c r="B222" s="1107" t="str">
        <f>"per 31/12/"&amp;$J$13</f>
        <v>per 31/12/2018</v>
      </c>
      <c r="C222" s="1108"/>
      <c r="D222" s="1108"/>
      <c r="E222" s="1109"/>
      <c r="F222" s="167"/>
      <c r="G222" s="247">
        <f t="shared" si="25"/>
        <v>0</v>
      </c>
      <c r="H222" s="247">
        <f t="shared" si="26"/>
        <v>0</v>
      </c>
      <c r="I222" s="247">
        <f>+I221+I92</f>
        <v>0</v>
      </c>
      <c r="J222" s="247">
        <f>+J$20+J92</f>
        <v>0</v>
      </c>
      <c r="K222" s="247"/>
      <c r="L222" s="247"/>
      <c r="M222" s="247"/>
      <c r="N222" s="247"/>
      <c r="O222" s="247"/>
      <c r="P222" s="247"/>
      <c r="R222" s="803">
        <f t="shared" si="14"/>
        <v>0</v>
      </c>
    </row>
    <row r="223" spans="2:18" ht="28.5" customHeight="1" x14ac:dyDescent="0.2">
      <c r="B223" s="1107" t="str">
        <f>"per 31/12/"&amp;$K$13</f>
        <v>per 31/12/2019</v>
      </c>
      <c r="C223" s="1108"/>
      <c r="D223" s="1108"/>
      <c r="E223" s="1109"/>
      <c r="F223" s="167"/>
      <c r="G223" s="247">
        <f t="shared" si="25"/>
        <v>0</v>
      </c>
      <c r="H223" s="247">
        <f t="shared" si="26"/>
        <v>0</v>
      </c>
      <c r="I223" s="247">
        <f>+I222+I93</f>
        <v>0</v>
      </c>
      <c r="J223" s="247">
        <f>+J222+J93</f>
        <v>0</v>
      </c>
      <c r="K223" s="247">
        <f>+K$20+K93</f>
        <v>0</v>
      </c>
      <c r="L223" s="247"/>
      <c r="M223" s="247"/>
      <c r="N223" s="247"/>
      <c r="O223" s="247"/>
      <c r="P223" s="247"/>
      <c r="R223" s="803">
        <f t="shared" si="14"/>
        <v>0</v>
      </c>
    </row>
    <row r="224" spans="2:18" ht="28.5" customHeight="1" x14ac:dyDescent="0.2">
      <c r="B224" s="1107" t="str">
        <f>"per 31/12/"&amp;$L$13</f>
        <v>per 31/12/2020</v>
      </c>
      <c r="C224" s="1108"/>
      <c r="D224" s="1108"/>
      <c r="E224" s="1109"/>
      <c r="F224" s="167"/>
      <c r="G224" s="247">
        <f t="shared" si="25"/>
        <v>0</v>
      </c>
      <c r="H224" s="247">
        <f t="shared" si="26"/>
        <v>0</v>
      </c>
      <c r="I224" s="247">
        <f>+I223+I94</f>
        <v>0</v>
      </c>
      <c r="J224" s="247">
        <f>+J223+J94</f>
        <v>0</v>
      </c>
      <c r="K224" s="247">
        <f>+K223+K94</f>
        <v>0</v>
      </c>
      <c r="L224" s="247">
        <f>+L$20+L94</f>
        <v>0</v>
      </c>
      <c r="M224" s="247"/>
      <c r="N224" s="247"/>
      <c r="O224" s="247"/>
      <c r="P224" s="247"/>
      <c r="R224" s="803">
        <f t="shared" si="14"/>
        <v>0</v>
      </c>
    </row>
    <row r="225" spans="2:18" ht="28.5" customHeight="1" x14ac:dyDescent="0.2">
      <c r="B225" s="1107" t="str">
        <f>"per 31/12/"&amp;$M$13</f>
        <v>per 31/12/2021</v>
      </c>
      <c r="C225" s="1108"/>
      <c r="D225" s="1108"/>
      <c r="E225" s="1109"/>
      <c r="F225" s="167"/>
      <c r="G225" s="247">
        <f t="shared" si="25"/>
        <v>0</v>
      </c>
      <c r="H225" s="247">
        <f t="shared" si="26"/>
        <v>0</v>
      </c>
      <c r="I225" s="247">
        <f>+I224+I95</f>
        <v>0</v>
      </c>
      <c r="J225" s="247">
        <f>+J224+J95</f>
        <v>0</v>
      </c>
      <c r="K225" s="247">
        <f>+K224+K95</f>
        <v>0</v>
      </c>
      <c r="L225" s="247">
        <f>+L224+L95</f>
        <v>0</v>
      </c>
      <c r="M225" s="247">
        <f>+M$20+M95</f>
        <v>0</v>
      </c>
      <c r="N225" s="247"/>
      <c r="O225" s="247"/>
      <c r="P225" s="247"/>
      <c r="R225" s="803">
        <f t="shared" si="14"/>
        <v>0</v>
      </c>
    </row>
    <row r="226" spans="2:18" ht="28.5" customHeight="1" x14ac:dyDescent="0.2">
      <c r="B226" s="1107" t="str">
        <f>"per 31/12/"&amp;$N$13</f>
        <v>per 31/12/2022</v>
      </c>
      <c r="C226" s="1108"/>
      <c r="D226" s="1108"/>
      <c r="E226" s="1109"/>
      <c r="F226" s="167"/>
      <c r="G226" s="247">
        <f t="shared" si="25"/>
        <v>0</v>
      </c>
      <c r="H226" s="247">
        <f t="shared" si="26"/>
        <v>0</v>
      </c>
      <c r="I226" s="247">
        <f>+I225+I96</f>
        <v>0</v>
      </c>
      <c r="J226" s="247">
        <f>+J225+J96</f>
        <v>0</v>
      </c>
      <c r="K226" s="247">
        <f>+K225+K96</f>
        <v>0</v>
      </c>
      <c r="L226" s="247">
        <f>+L225+L96</f>
        <v>0</v>
      </c>
      <c r="M226" s="247">
        <f>+M225+M96</f>
        <v>0</v>
      </c>
      <c r="N226" s="247">
        <f>+N$20+N96</f>
        <v>0</v>
      </c>
      <c r="O226" s="247"/>
      <c r="P226" s="247"/>
      <c r="R226" s="803">
        <f t="shared" si="14"/>
        <v>0</v>
      </c>
    </row>
    <row r="227" spans="2:18" ht="28.5" customHeight="1" x14ac:dyDescent="0.2">
      <c r="B227" s="1107" t="str">
        <f>"per 31/12/"&amp;$O$13</f>
        <v>per 31/12/2023</v>
      </c>
      <c r="C227" s="1108"/>
      <c r="D227" s="1108"/>
      <c r="E227" s="1109"/>
      <c r="F227" s="167"/>
      <c r="G227" s="247"/>
      <c r="H227" s="247"/>
      <c r="I227" s="247"/>
      <c r="J227" s="247"/>
      <c r="K227" s="247"/>
      <c r="L227" s="247">
        <f>+L226+L97</f>
        <v>0</v>
      </c>
      <c r="M227" s="247">
        <f>+M226+M97</f>
        <v>0</v>
      </c>
      <c r="N227" s="247">
        <f>+N226+N97</f>
        <v>0</v>
      </c>
      <c r="O227" s="247">
        <f>+O$20+O97</f>
        <v>0</v>
      </c>
      <c r="P227" s="247"/>
      <c r="R227" s="803">
        <f t="shared" si="14"/>
        <v>0</v>
      </c>
    </row>
    <row r="228" spans="2:18" ht="28.5" customHeight="1" x14ac:dyDescent="0.2">
      <c r="B228" s="1107" t="str">
        <f>"per 31/12/"&amp;$P$13</f>
        <v>per 31/12/2024</v>
      </c>
      <c r="C228" s="1108"/>
      <c r="D228" s="1108"/>
      <c r="E228" s="1109"/>
      <c r="F228" s="167"/>
      <c r="G228" s="247"/>
      <c r="H228" s="247"/>
      <c r="I228" s="247"/>
      <c r="J228" s="247"/>
      <c r="K228" s="247"/>
      <c r="L228" s="247"/>
      <c r="M228" s="247">
        <f>+M227+M98</f>
        <v>0</v>
      </c>
      <c r="N228" s="247">
        <f>+N227+N98</f>
        <v>0</v>
      </c>
      <c r="O228" s="247">
        <f>+O227+O98</f>
        <v>0</v>
      </c>
      <c r="P228" s="247">
        <f>+P$20+P98</f>
        <v>0</v>
      </c>
      <c r="R228" s="803">
        <f t="shared" si="14"/>
        <v>0</v>
      </c>
    </row>
    <row r="229" spans="2:18" ht="26.25" customHeight="1" x14ac:dyDescent="0.2">
      <c r="B229" s="1118" t="s">
        <v>96</v>
      </c>
      <c r="C229" s="1119"/>
      <c r="D229" s="1119"/>
      <c r="E229" s="1120"/>
      <c r="F229" s="167"/>
      <c r="G229" s="804"/>
      <c r="H229" s="804"/>
      <c r="I229" s="804"/>
      <c r="J229" s="804"/>
      <c r="K229" s="804"/>
      <c r="L229" s="804"/>
      <c r="M229" s="804"/>
      <c r="N229" s="804"/>
      <c r="O229" s="804"/>
      <c r="P229" s="804"/>
      <c r="R229" s="804"/>
    </row>
    <row r="230" spans="2:18" ht="28.5" customHeight="1" x14ac:dyDescent="0.2">
      <c r="B230" s="1107" t="str">
        <f>"per 31/12/"&amp;$G$13</f>
        <v>per 31/12/2015</v>
      </c>
      <c r="C230" s="1108"/>
      <c r="D230" s="1108"/>
      <c r="E230" s="1109"/>
      <c r="F230" s="167"/>
      <c r="G230" s="247">
        <f>+G$21+G100</f>
        <v>0</v>
      </c>
      <c r="H230" s="247"/>
      <c r="I230" s="247"/>
      <c r="J230" s="247"/>
      <c r="K230" s="247"/>
      <c r="L230" s="247"/>
      <c r="M230" s="247"/>
      <c r="N230" s="247"/>
      <c r="O230" s="247"/>
      <c r="P230" s="247"/>
      <c r="R230" s="803">
        <f t="shared" si="14"/>
        <v>0</v>
      </c>
    </row>
    <row r="231" spans="2:18" ht="28.5" customHeight="1" x14ac:dyDescent="0.2">
      <c r="B231" s="1107" t="str">
        <f>"per 31/12/"&amp;$H$13</f>
        <v>per 31/12/2016</v>
      </c>
      <c r="C231" s="1108"/>
      <c r="D231" s="1108"/>
      <c r="E231" s="1109"/>
      <c r="F231" s="167"/>
      <c r="G231" s="247">
        <f t="shared" ref="G231:G237" si="27">G230+G101</f>
        <v>0</v>
      </c>
      <c r="H231" s="247">
        <f>+H$21+H101</f>
        <v>0</v>
      </c>
      <c r="I231" s="247"/>
      <c r="J231" s="247"/>
      <c r="K231" s="247"/>
      <c r="L231" s="247"/>
      <c r="M231" s="247"/>
      <c r="N231" s="247"/>
      <c r="O231" s="247"/>
      <c r="P231" s="247"/>
      <c r="R231" s="803">
        <f t="shared" si="14"/>
        <v>0</v>
      </c>
    </row>
    <row r="232" spans="2:18" ht="28.5" customHeight="1" x14ac:dyDescent="0.2">
      <c r="B232" s="1107" t="str">
        <f>"per 31/12/"&amp;$I$13</f>
        <v>per 31/12/2017</v>
      </c>
      <c r="C232" s="1108"/>
      <c r="D232" s="1108"/>
      <c r="E232" s="1109"/>
      <c r="F232" s="167"/>
      <c r="G232" s="247">
        <f t="shared" si="27"/>
        <v>0</v>
      </c>
      <c r="H232" s="247">
        <f t="shared" ref="H232:H237" si="28">H231+H102</f>
        <v>0</v>
      </c>
      <c r="I232" s="247">
        <f>+I$21+I102</f>
        <v>0</v>
      </c>
      <c r="J232" s="247"/>
      <c r="K232" s="247"/>
      <c r="L232" s="247"/>
      <c r="M232" s="247"/>
      <c r="N232" s="247"/>
      <c r="O232" s="247"/>
      <c r="P232" s="247"/>
      <c r="R232" s="803">
        <f t="shared" si="14"/>
        <v>0</v>
      </c>
    </row>
    <row r="233" spans="2:18" ht="28.5" customHeight="1" x14ac:dyDescent="0.2">
      <c r="B233" s="1107" t="str">
        <f>"per 31/12/"&amp;$J$13</f>
        <v>per 31/12/2018</v>
      </c>
      <c r="C233" s="1108"/>
      <c r="D233" s="1108"/>
      <c r="E233" s="1109"/>
      <c r="F233" s="167"/>
      <c r="G233" s="247">
        <f t="shared" si="27"/>
        <v>0</v>
      </c>
      <c r="H233" s="247">
        <f t="shared" si="28"/>
        <v>0</v>
      </c>
      <c r="I233" s="247">
        <f>I232+I103</f>
        <v>0</v>
      </c>
      <c r="J233" s="247">
        <f>+J$21+J103</f>
        <v>0</v>
      </c>
      <c r="K233" s="247"/>
      <c r="L233" s="247"/>
      <c r="M233" s="247"/>
      <c r="N233" s="247"/>
      <c r="O233" s="247"/>
      <c r="P233" s="247"/>
      <c r="R233" s="803">
        <f t="shared" si="14"/>
        <v>0</v>
      </c>
    </row>
    <row r="234" spans="2:18" ht="28.5" customHeight="1" x14ac:dyDescent="0.2">
      <c r="B234" s="1107" t="str">
        <f>"per 31/12/"&amp;$K$13</f>
        <v>per 31/12/2019</v>
      </c>
      <c r="C234" s="1108"/>
      <c r="D234" s="1108"/>
      <c r="E234" s="1109"/>
      <c r="F234" s="167"/>
      <c r="G234" s="247">
        <f t="shared" si="27"/>
        <v>0</v>
      </c>
      <c r="H234" s="247">
        <f t="shared" si="28"/>
        <v>0</v>
      </c>
      <c r="I234" s="247">
        <f>I233+I104</f>
        <v>0</v>
      </c>
      <c r="J234" s="247">
        <f>J233+J104</f>
        <v>0</v>
      </c>
      <c r="K234" s="247">
        <f>+K$21+K104</f>
        <v>0</v>
      </c>
      <c r="L234" s="247"/>
      <c r="M234" s="247"/>
      <c r="N234" s="247"/>
      <c r="O234" s="247"/>
      <c r="P234" s="247"/>
      <c r="R234" s="803">
        <f t="shared" si="14"/>
        <v>0</v>
      </c>
    </row>
    <row r="235" spans="2:18" ht="28.5" customHeight="1" x14ac:dyDescent="0.2">
      <c r="B235" s="1107" t="str">
        <f>"per 31/12/"&amp;$L$13</f>
        <v>per 31/12/2020</v>
      </c>
      <c r="C235" s="1108"/>
      <c r="D235" s="1108"/>
      <c r="E235" s="1109"/>
      <c r="F235" s="167"/>
      <c r="G235" s="247">
        <f t="shared" si="27"/>
        <v>0</v>
      </c>
      <c r="H235" s="247">
        <f t="shared" si="28"/>
        <v>0</v>
      </c>
      <c r="I235" s="247">
        <f>I234+I105</f>
        <v>0</v>
      </c>
      <c r="J235" s="247">
        <f>J234+J105</f>
        <v>0</v>
      </c>
      <c r="K235" s="247">
        <f>K234+K105</f>
        <v>0</v>
      </c>
      <c r="L235" s="247">
        <f>+L$21+L105</f>
        <v>0</v>
      </c>
      <c r="M235" s="247"/>
      <c r="N235" s="247"/>
      <c r="O235" s="247"/>
      <c r="P235" s="247"/>
      <c r="R235" s="803">
        <f t="shared" si="14"/>
        <v>0</v>
      </c>
    </row>
    <row r="236" spans="2:18" ht="28.5" customHeight="1" x14ac:dyDescent="0.2">
      <c r="B236" s="1107" t="str">
        <f>"per 31/12/"&amp;$M$13</f>
        <v>per 31/12/2021</v>
      </c>
      <c r="C236" s="1108"/>
      <c r="D236" s="1108"/>
      <c r="E236" s="1109"/>
      <c r="F236" s="167"/>
      <c r="G236" s="247">
        <f t="shared" si="27"/>
        <v>0</v>
      </c>
      <c r="H236" s="247">
        <f t="shared" si="28"/>
        <v>0</v>
      </c>
      <c r="I236" s="247">
        <f>I235+I106</f>
        <v>0</v>
      </c>
      <c r="J236" s="247">
        <f>J235+J106</f>
        <v>0</v>
      </c>
      <c r="K236" s="247">
        <f>K235+K106</f>
        <v>0</v>
      </c>
      <c r="L236" s="247">
        <f>L235+L106</f>
        <v>0</v>
      </c>
      <c r="M236" s="247">
        <f>+M$21+M106</f>
        <v>0</v>
      </c>
      <c r="N236" s="247"/>
      <c r="O236" s="247"/>
      <c r="P236" s="247"/>
      <c r="R236" s="803">
        <f t="shared" si="14"/>
        <v>0</v>
      </c>
    </row>
    <row r="237" spans="2:18" ht="28.5" customHeight="1" x14ac:dyDescent="0.2">
      <c r="B237" s="1107" t="str">
        <f>"per 31/12/"&amp;$N$13</f>
        <v>per 31/12/2022</v>
      </c>
      <c r="C237" s="1108"/>
      <c r="D237" s="1108"/>
      <c r="E237" s="1109"/>
      <c r="F237" s="167"/>
      <c r="G237" s="247">
        <f t="shared" si="27"/>
        <v>0</v>
      </c>
      <c r="H237" s="247">
        <f t="shared" si="28"/>
        <v>0</v>
      </c>
      <c r="I237" s="247">
        <f>I236+I107</f>
        <v>0</v>
      </c>
      <c r="J237" s="247">
        <f>J236+J107</f>
        <v>0</v>
      </c>
      <c r="K237" s="247">
        <f>K236+K107</f>
        <v>0</v>
      </c>
      <c r="L237" s="247">
        <f>L236+L107</f>
        <v>0</v>
      </c>
      <c r="M237" s="247">
        <f>M236+M107</f>
        <v>0</v>
      </c>
      <c r="N237" s="520"/>
      <c r="O237" s="247"/>
      <c r="P237" s="247"/>
      <c r="R237" s="803">
        <f t="shared" si="14"/>
        <v>0</v>
      </c>
    </row>
    <row r="238" spans="2:18" ht="28.5" customHeight="1" x14ac:dyDescent="0.2">
      <c r="B238" s="1107" t="str">
        <f>"per 31/12/"&amp;$O$13</f>
        <v>per 31/12/2023</v>
      </c>
      <c r="C238" s="1108"/>
      <c r="D238" s="1108"/>
      <c r="E238" s="1109"/>
      <c r="F238" s="167"/>
      <c r="G238" s="247"/>
      <c r="H238" s="247"/>
      <c r="I238" s="247"/>
      <c r="J238" s="247"/>
      <c r="K238" s="247"/>
      <c r="L238" s="247">
        <f>L237+L108</f>
        <v>0</v>
      </c>
      <c r="M238" s="247">
        <f>M237+M108</f>
        <v>0</v>
      </c>
      <c r="N238" s="520"/>
      <c r="O238" s="520"/>
      <c r="P238" s="247"/>
      <c r="R238" s="803">
        <f t="shared" si="14"/>
        <v>0</v>
      </c>
    </row>
    <row r="239" spans="2:18" ht="28.5" customHeight="1" x14ac:dyDescent="0.2">
      <c r="B239" s="1107" t="str">
        <f>"per 31/12/"&amp;$P$13</f>
        <v>per 31/12/2024</v>
      </c>
      <c r="C239" s="1108"/>
      <c r="D239" s="1108"/>
      <c r="E239" s="1109"/>
      <c r="F239" s="167"/>
      <c r="G239" s="247"/>
      <c r="H239" s="247"/>
      <c r="I239" s="247"/>
      <c r="J239" s="247"/>
      <c r="K239" s="247"/>
      <c r="L239" s="247"/>
      <c r="M239" s="247">
        <f>M238+M109</f>
        <v>0</v>
      </c>
      <c r="N239" s="520"/>
      <c r="O239" s="520"/>
      <c r="P239" s="520"/>
      <c r="R239" s="803">
        <f t="shared" ref="R239" si="29">SUM(G239:P239)</f>
        <v>0</v>
      </c>
    </row>
    <row r="240" spans="2:18" ht="33" customHeight="1" x14ac:dyDescent="0.2">
      <c r="B240" s="1118" t="s">
        <v>357</v>
      </c>
      <c r="C240" s="1119"/>
      <c r="D240" s="1119"/>
      <c r="E240" s="1120"/>
      <c r="F240" s="167"/>
      <c r="G240" s="804"/>
      <c r="H240" s="804"/>
      <c r="I240" s="804"/>
      <c r="J240" s="804"/>
      <c r="K240" s="804"/>
      <c r="L240" s="804"/>
      <c r="M240" s="804"/>
      <c r="N240" s="804"/>
      <c r="O240" s="804"/>
      <c r="P240" s="804"/>
      <c r="R240" s="804"/>
    </row>
    <row r="241" spans="2:18" ht="28.5" customHeight="1" x14ac:dyDescent="0.2">
      <c r="B241" s="1107" t="str">
        <f>"per 31/12/"&amp;$G$13</f>
        <v>per 31/12/2015</v>
      </c>
      <c r="C241" s="1108"/>
      <c r="D241" s="1108"/>
      <c r="E241" s="1109"/>
      <c r="F241" s="167"/>
      <c r="G241" s="808">
        <f>+G$22+G111</f>
        <v>0</v>
      </c>
      <c r="H241" s="247"/>
      <c r="I241" s="247"/>
      <c r="J241" s="247"/>
      <c r="K241" s="247"/>
      <c r="L241" s="247"/>
      <c r="M241" s="247"/>
      <c r="N241" s="247"/>
      <c r="O241" s="247"/>
      <c r="P241" s="247"/>
      <c r="R241" s="803">
        <f t="shared" ref="R241:R250" si="30">SUM(G241:P241)</f>
        <v>0</v>
      </c>
    </row>
    <row r="242" spans="2:18" ht="28.5" customHeight="1" x14ac:dyDescent="0.2">
      <c r="B242" s="1107" t="str">
        <f>"per 31/12/"&amp;$H$13</f>
        <v>per 31/12/2016</v>
      </c>
      <c r="C242" s="1108"/>
      <c r="D242" s="1108"/>
      <c r="E242" s="1109"/>
      <c r="F242" s="167"/>
      <c r="G242" s="247">
        <f>+G241+G112</f>
        <v>0</v>
      </c>
      <c r="H242" s="247">
        <f>+H$22+H112</f>
        <v>0</v>
      </c>
      <c r="I242" s="247"/>
      <c r="J242" s="247"/>
      <c r="K242" s="247"/>
      <c r="L242" s="247"/>
      <c r="M242" s="247"/>
      <c r="N242" s="247"/>
      <c r="O242" s="247"/>
      <c r="P242" s="247"/>
      <c r="R242" s="803">
        <f t="shared" si="30"/>
        <v>0</v>
      </c>
    </row>
    <row r="243" spans="2:18" ht="28.5" customHeight="1" x14ac:dyDescent="0.2">
      <c r="B243" s="1107" t="str">
        <f>"per 31/12/"&amp;$I$13</f>
        <v>per 31/12/2017</v>
      </c>
      <c r="C243" s="1108"/>
      <c r="D243" s="1108"/>
      <c r="E243" s="1109"/>
      <c r="F243" s="167"/>
      <c r="G243" s="247">
        <f t="shared" ref="G243:G248" si="31">+G242+G113</f>
        <v>0</v>
      </c>
      <c r="H243" s="247">
        <f t="shared" ref="H243:H248" si="32">+H242+H113</f>
        <v>0</v>
      </c>
      <c r="I243" s="247">
        <f>+I$22+I113</f>
        <v>0</v>
      </c>
      <c r="J243" s="247"/>
      <c r="K243" s="247"/>
      <c r="L243" s="247"/>
      <c r="M243" s="247"/>
      <c r="N243" s="247"/>
      <c r="O243" s="247"/>
      <c r="P243" s="247"/>
      <c r="R243" s="803">
        <f t="shared" si="30"/>
        <v>0</v>
      </c>
    </row>
    <row r="244" spans="2:18" ht="28.5" customHeight="1" x14ac:dyDescent="0.2">
      <c r="B244" s="1107" t="str">
        <f>"per 31/12/"&amp;$J$13</f>
        <v>per 31/12/2018</v>
      </c>
      <c r="C244" s="1108"/>
      <c r="D244" s="1108"/>
      <c r="E244" s="1109"/>
      <c r="F244" s="167"/>
      <c r="G244" s="247">
        <f t="shared" si="31"/>
        <v>0</v>
      </c>
      <c r="H244" s="247">
        <f t="shared" si="32"/>
        <v>0</v>
      </c>
      <c r="I244" s="247">
        <f t="shared" ref="I244:I248" si="33">+I243+I114</f>
        <v>0</v>
      </c>
      <c r="J244" s="247">
        <f>+J$22+J114</f>
        <v>0</v>
      </c>
      <c r="K244" s="247"/>
      <c r="L244" s="247"/>
      <c r="M244" s="247"/>
      <c r="N244" s="247"/>
      <c r="O244" s="247"/>
      <c r="P244" s="247"/>
      <c r="R244" s="803">
        <f t="shared" si="30"/>
        <v>0</v>
      </c>
    </row>
    <row r="245" spans="2:18" ht="28.5" customHeight="1" x14ac:dyDescent="0.2">
      <c r="B245" s="1107" t="str">
        <f>"per 31/12/"&amp;$K$13</f>
        <v>per 31/12/2019</v>
      </c>
      <c r="C245" s="1108"/>
      <c r="D245" s="1108"/>
      <c r="E245" s="1109"/>
      <c r="F245" s="167"/>
      <c r="G245" s="247">
        <f t="shared" si="31"/>
        <v>0</v>
      </c>
      <c r="H245" s="247">
        <f t="shared" si="32"/>
        <v>0</v>
      </c>
      <c r="I245" s="247">
        <f t="shared" si="33"/>
        <v>0</v>
      </c>
      <c r="J245" s="247">
        <f t="shared" ref="J245:J248" si="34">+J244+J115</f>
        <v>0</v>
      </c>
      <c r="K245" s="247">
        <f>+K$22+K115</f>
        <v>0</v>
      </c>
      <c r="L245" s="247"/>
      <c r="M245" s="247"/>
      <c r="N245" s="247"/>
      <c r="O245" s="247"/>
      <c r="P245" s="247"/>
      <c r="R245" s="803">
        <f t="shared" si="30"/>
        <v>0</v>
      </c>
    </row>
    <row r="246" spans="2:18" ht="28.5" customHeight="1" x14ac:dyDescent="0.2">
      <c r="B246" s="1107" t="str">
        <f>"per 31/12/"&amp;$L$13</f>
        <v>per 31/12/2020</v>
      </c>
      <c r="C246" s="1108"/>
      <c r="D246" s="1108"/>
      <c r="E246" s="1109"/>
      <c r="F246" s="167"/>
      <c r="G246" s="247">
        <f t="shared" si="31"/>
        <v>0</v>
      </c>
      <c r="H246" s="247">
        <f t="shared" si="32"/>
        <v>0</v>
      </c>
      <c r="I246" s="247">
        <f t="shared" si="33"/>
        <v>0</v>
      </c>
      <c r="J246" s="247">
        <f t="shared" si="34"/>
        <v>0</v>
      </c>
      <c r="K246" s="247">
        <f t="shared" ref="K246:K248" si="35">+K245+K116</f>
        <v>0</v>
      </c>
      <c r="L246" s="247">
        <f>+L$22+L116</f>
        <v>0</v>
      </c>
      <c r="M246" s="247"/>
      <c r="N246" s="247"/>
      <c r="O246" s="247"/>
      <c r="P246" s="247"/>
      <c r="R246" s="803">
        <f t="shared" si="30"/>
        <v>0</v>
      </c>
    </row>
    <row r="247" spans="2:18" ht="28.5" customHeight="1" x14ac:dyDescent="0.2">
      <c r="B247" s="1107" t="str">
        <f>"per 31/12/"&amp;$M$13</f>
        <v>per 31/12/2021</v>
      </c>
      <c r="C247" s="1108"/>
      <c r="D247" s="1108"/>
      <c r="E247" s="1109"/>
      <c r="F247" s="167"/>
      <c r="G247" s="247">
        <f t="shared" si="31"/>
        <v>0</v>
      </c>
      <c r="H247" s="247">
        <f t="shared" si="32"/>
        <v>0</v>
      </c>
      <c r="I247" s="247">
        <f t="shared" si="33"/>
        <v>0</v>
      </c>
      <c r="J247" s="247">
        <f t="shared" si="34"/>
        <v>0</v>
      </c>
      <c r="K247" s="247">
        <f t="shared" si="35"/>
        <v>0</v>
      </c>
      <c r="L247" s="247">
        <f t="shared" ref="L247:L249" si="36">+L246+L117</f>
        <v>0</v>
      </c>
      <c r="M247" s="247">
        <f>+M$22+M117</f>
        <v>0</v>
      </c>
      <c r="N247" s="247"/>
      <c r="O247" s="247"/>
      <c r="P247" s="247"/>
      <c r="R247" s="803">
        <f t="shared" si="30"/>
        <v>0</v>
      </c>
    </row>
    <row r="248" spans="2:18" ht="28.5" customHeight="1" x14ac:dyDescent="0.2">
      <c r="B248" s="1107" t="str">
        <f>"per 31/12/"&amp;$N$13</f>
        <v>per 31/12/2022</v>
      </c>
      <c r="C248" s="1108"/>
      <c r="D248" s="1108"/>
      <c r="E248" s="1109"/>
      <c r="F248" s="167"/>
      <c r="G248" s="247">
        <f t="shared" si="31"/>
        <v>0</v>
      </c>
      <c r="H248" s="247">
        <f t="shared" si="32"/>
        <v>0</v>
      </c>
      <c r="I248" s="247">
        <f t="shared" si="33"/>
        <v>0</v>
      </c>
      <c r="J248" s="247">
        <f t="shared" si="34"/>
        <v>0</v>
      </c>
      <c r="K248" s="247">
        <f t="shared" si="35"/>
        <v>0</v>
      </c>
      <c r="L248" s="247">
        <f t="shared" si="36"/>
        <v>0</v>
      </c>
      <c r="M248" s="247">
        <f t="shared" ref="M248:M250" si="37">+M247+M118</f>
        <v>0</v>
      </c>
      <c r="N248" s="247">
        <f>+N$22+N118</f>
        <v>0</v>
      </c>
      <c r="O248" s="247"/>
      <c r="P248" s="247"/>
      <c r="R248" s="803">
        <f t="shared" si="30"/>
        <v>0</v>
      </c>
    </row>
    <row r="249" spans="2:18" ht="28.5" customHeight="1" x14ac:dyDescent="0.2">
      <c r="B249" s="1107" t="str">
        <f>"per 31/12/"&amp;$O$13</f>
        <v>per 31/12/2023</v>
      </c>
      <c r="C249" s="1108"/>
      <c r="D249" s="1108"/>
      <c r="E249" s="1109"/>
      <c r="F249" s="167"/>
      <c r="G249" s="247"/>
      <c r="H249" s="247"/>
      <c r="I249" s="247"/>
      <c r="J249" s="247"/>
      <c r="K249" s="247"/>
      <c r="L249" s="247">
        <f t="shared" si="36"/>
        <v>0</v>
      </c>
      <c r="M249" s="247">
        <f t="shared" si="37"/>
        <v>0</v>
      </c>
      <c r="N249" s="247">
        <f t="shared" ref="N249:N250" si="38">+N248+N119</f>
        <v>0</v>
      </c>
      <c r="O249" s="247">
        <f>+O$22+O119</f>
        <v>0</v>
      </c>
      <c r="P249" s="247"/>
      <c r="R249" s="803">
        <f t="shared" si="30"/>
        <v>0</v>
      </c>
    </row>
    <row r="250" spans="2:18" ht="28.5" customHeight="1" x14ac:dyDescent="0.2">
      <c r="B250" s="1107" t="str">
        <f>"per 31/12/"&amp;$P$13</f>
        <v>per 31/12/2024</v>
      </c>
      <c r="C250" s="1108"/>
      <c r="D250" s="1108"/>
      <c r="E250" s="1109"/>
      <c r="F250" s="167"/>
      <c r="G250" s="247"/>
      <c r="H250" s="247"/>
      <c r="I250" s="247"/>
      <c r="J250" s="247"/>
      <c r="K250" s="247"/>
      <c r="L250" s="247"/>
      <c r="M250" s="247">
        <f t="shared" si="37"/>
        <v>0</v>
      </c>
      <c r="N250" s="247">
        <f t="shared" si="38"/>
        <v>0</v>
      </c>
      <c r="O250" s="247">
        <f>+O249+O120</f>
        <v>0</v>
      </c>
      <c r="P250" s="247">
        <f>+P$22+P120</f>
        <v>0</v>
      </c>
      <c r="R250" s="803">
        <f t="shared" si="30"/>
        <v>0</v>
      </c>
    </row>
    <row r="251" spans="2:18" ht="33" customHeight="1" x14ac:dyDescent="0.2">
      <c r="B251" s="1118" t="s">
        <v>349</v>
      </c>
      <c r="C251" s="1119"/>
      <c r="D251" s="1119"/>
      <c r="E251" s="1120"/>
      <c r="F251" s="167"/>
      <c r="G251" s="804"/>
      <c r="H251" s="804"/>
      <c r="I251" s="804"/>
      <c r="J251" s="804"/>
      <c r="K251" s="804"/>
      <c r="L251" s="804"/>
      <c r="M251" s="804"/>
      <c r="N251" s="804"/>
      <c r="O251" s="804"/>
      <c r="P251" s="804"/>
      <c r="R251" s="804"/>
    </row>
    <row r="252" spans="2:18" ht="28.5" customHeight="1" x14ac:dyDescent="0.2">
      <c r="B252" s="1107" t="str">
        <f>"per 31/12/"&amp;$G$13</f>
        <v>per 31/12/2015</v>
      </c>
      <c r="C252" s="1108"/>
      <c r="D252" s="1108"/>
      <c r="E252" s="1109"/>
      <c r="F252" s="167"/>
      <c r="G252" s="808">
        <f>+G$23+G122</f>
        <v>0</v>
      </c>
      <c r="H252" s="247"/>
      <c r="I252" s="247"/>
      <c r="J252" s="247"/>
      <c r="K252" s="247"/>
      <c r="L252" s="247"/>
      <c r="M252" s="247"/>
      <c r="N252" s="247"/>
      <c r="O252" s="247"/>
      <c r="P252" s="247"/>
      <c r="R252" s="803">
        <f t="shared" ref="R252:R261" si="39">SUM(G252:P252)</f>
        <v>0</v>
      </c>
    </row>
    <row r="253" spans="2:18" ht="28.5" customHeight="1" x14ac:dyDescent="0.2">
      <c r="B253" s="1107" t="str">
        <f>"per 31/12/"&amp;$H$13</f>
        <v>per 31/12/2016</v>
      </c>
      <c r="C253" s="1108"/>
      <c r="D253" s="1108"/>
      <c r="E253" s="1109"/>
      <c r="F253" s="167"/>
      <c r="G253" s="247">
        <f>+G252+G123</f>
        <v>0</v>
      </c>
      <c r="H253" s="247">
        <f>+H$23+H123</f>
        <v>0</v>
      </c>
      <c r="I253" s="247"/>
      <c r="J253" s="247"/>
      <c r="K253" s="247"/>
      <c r="L253" s="247"/>
      <c r="M253" s="247"/>
      <c r="N253" s="247"/>
      <c r="O253" s="247"/>
      <c r="P253" s="247"/>
      <c r="R253" s="803">
        <f t="shared" si="39"/>
        <v>0</v>
      </c>
    </row>
    <row r="254" spans="2:18" ht="28.5" customHeight="1" x14ac:dyDescent="0.2">
      <c r="B254" s="1107" t="str">
        <f>"per 31/12/"&amp;$I$13</f>
        <v>per 31/12/2017</v>
      </c>
      <c r="C254" s="1108"/>
      <c r="D254" s="1108"/>
      <c r="E254" s="1109"/>
      <c r="F254" s="167"/>
      <c r="G254" s="247">
        <f t="shared" ref="G254:G259" si="40">+G253+G124</f>
        <v>0</v>
      </c>
      <c r="H254" s="247">
        <f t="shared" ref="H254:H259" si="41">+H253+H124</f>
        <v>0</v>
      </c>
      <c r="I254" s="247">
        <f>+I$23+I124</f>
        <v>0</v>
      </c>
      <c r="J254" s="247"/>
      <c r="K254" s="247"/>
      <c r="L254" s="247"/>
      <c r="M254" s="247"/>
      <c r="N254" s="247"/>
      <c r="O254" s="247"/>
      <c r="P254" s="247"/>
      <c r="R254" s="803">
        <f t="shared" si="39"/>
        <v>0</v>
      </c>
    </row>
    <row r="255" spans="2:18" ht="28.5" customHeight="1" x14ac:dyDescent="0.2">
      <c r="B255" s="1107" t="str">
        <f>"per 31/12/"&amp;$J$13</f>
        <v>per 31/12/2018</v>
      </c>
      <c r="C255" s="1108"/>
      <c r="D255" s="1108"/>
      <c r="E255" s="1109"/>
      <c r="F255" s="167"/>
      <c r="G255" s="247">
        <f t="shared" si="40"/>
        <v>0</v>
      </c>
      <c r="H255" s="247">
        <f t="shared" si="41"/>
        <v>0</v>
      </c>
      <c r="I255" s="247">
        <f t="shared" ref="I255:I259" si="42">+I254+I125</f>
        <v>0</v>
      </c>
      <c r="J255" s="247">
        <f>+J$23+J125</f>
        <v>0</v>
      </c>
      <c r="K255" s="247"/>
      <c r="L255" s="247"/>
      <c r="M255" s="247"/>
      <c r="N255" s="247"/>
      <c r="O255" s="247"/>
      <c r="P255" s="247"/>
      <c r="R255" s="803">
        <f t="shared" si="39"/>
        <v>0</v>
      </c>
    </row>
    <row r="256" spans="2:18" ht="28.5" customHeight="1" x14ac:dyDescent="0.2">
      <c r="B256" s="1107" t="str">
        <f>"per 31/12/"&amp;$K$13</f>
        <v>per 31/12/2019</v>
      </c>
      <c r="C256" s="1108"/>
      <c r="D256" s="1108"/>
      <c r="E256" s="1109"/>
      <c r="F256" s="167"/>
      <c r="G256" s="247">
        <f t="shared" si="40"/>
        <v>0</v>
      </c>
      <c r="H256" s="247">
        <f t="shared" si="41"/>
        <v>0</v>
      </c>
      <c r="I256" s="247">
        <f t="shared" si="42"/>
        <v>0</v>
      </c>
      <c r="J256" s="247">
        <f t="shared" ref="J256:J259" si="43">+J255+J126</f>
        <v>0</v>
      </c>
      <c r="K256" s="247">
        <f>+K$23+K126</f>
        <v>0</v>
      </c>
      <c r="L256" s="247"/>
      <c r="M256" s="247"/>
      <c r="N256" s="247"/>
      <c r="O256" s="247"/>
      <c r="P256" s="247"/>
      <c r="R256" s="803">
        <f t="shared" si="39"/>
        <v>0</v>
      </c>
    </row>
    <row r="257" spans="2:18" ht="28.5" customHeight="1" x14ac:dyDescent="0.2">
      <c r="B257" s="1107" t="str">
        <f>"per 31/12/"&amp;$L$13</f>
        <v>per 31/12/2020</v>
      </c>
      <c r="C257" s="1108"/>
      <c r="D257" s="1108"/>
      <c r="E257" s="1109"/>
      <c r="F257" s="167"/>
      <c r="G257" s="247">
        <f t="shared" si="40"/>
        <v>0</v>
      </c>
      <c r="H257" s="247">
        <f t="shared" si="41"/>
        <v>0</v>
      </c>
      <c r="I257" s="247">
        <f t="shared" si="42"/>
        <v>0</v>
      </c>
      <c r="J257" s="247">
        <f t="shared" si="43"/>
        <v>0</v>
      </c>
      <c r="K257" s="247">
        <f t="shared" ref="K257:K259" si="44">+K256+K127</f>
        <v>0</v>
      </c>
      <c r="L257" s="247">
        <f>+L$23+L127</f>
        <v>0</v>
      </c>
      <c r="M257" s="247"/>
      <c r="N257" s="247"/>
      <c r="O257" s="247"/>
      <c r="P257" s="247"/>
      <c r="R257" s="803">
        <f t="shared" si="39"/>
        <v>0</v>
      </c>
    </row>
    <row r="258" spans="2:18" ht="28.5" customHeight="1" x14ac:dyDescent="0.2">
      <c r="B258" s="1107" t="str">
        <f>"per 31/12/"&amp;$M$13</f>
        <v>per 31/12/2021</v>
      </c>
      <c r="C258" s="1108"/>
      <c r="D258" s="1108"/>
      <c r="E258" s="1109"/>
      <c r="F258" s="167"/>
      <c r="G258" s="247">
        <f t="shared" si="40"/>
        <v>0</v>
      </c>
      <c r="H258" s="247">
        <f t="shared" si="41"/>
        <v>0</v>
      </c>
      <c r="I258" s="247">
        <f t="shared" si="42"/>
        <v>0</v>
      </c>
      <c r="J258" s="247">
        <f t="shared" si="43"/>
        <v>0</v>
      </c>
      <c r="K258" s="247">
        <f t="shared" si="44"/>
        <v>0</v>
      </c>
      <c r="L258" s="247">
        <f t="shared" ref="L258:L260" si="45">+L257+L128</f>
        <v>0</v>
      </c>
      <c r="M258" s="247">
        <f>+M$23+M128</f>
        <v>0</v>
      </c>
      <c r="N258" s="247"/>
      <c r="O258" s="247"/>
      <c r="P258" s="247"/>
      <c r="R258" s="803">
        <f t="shared" si="39"/>
        <v>0</v>
      </c>
    </row>
    <row r="259" spans="2:18" ht="28.5" customHeight="1" x14ac:dyDescent="0.2">
      <c r="B259" s="1107" t="str">
        <f>"per 31/12/"&amp;$N$13</f>
        <v>per 31/12/2022</v>
      </c>
      <c r="C259" s="1108"/>
      <c r="D259" s="1108"/>
      <c r="E259" s="1109"/>
      <c r="F259" s="167"/>
      <c r="G259" s="247">
        <f t="shared" si="40"/>
        <v>0</v>
      </c>
      <c r="H259" s="247">
        <f t="shared" si="41"/>
        <v>0</v>
      </c>
      <c r="I259" s="247">
        <f t="shared" si="42"/>
        <v>0</v>
      </c>
      <c r="J259" s="247">
        <f t="shared" si="43"/>
        <v>0</v>
      </c>
      <c r="K259" s="247">
        <f t="shared" si="44"/>
        <v>0</v>
      </c>
      <c r="L259" s="247">
        <f t="shared" si="45"/>
        <v>0</v>
      </c>
      <c r="M259" s="247">
        <f t="shared" ref="M259:M261" si="46">+M258+M129</f>
        <v>0</v>
      </c>
      <c r="N259" s="520"/>
      <c r="O259" s="247"/>
      <c r="P259" s="247"/>
      <c r="R259" s="803">
        <f t="shared" si="39"/>
        <v>0</v>
      </c>
    </row>
    <row r="260" spans="2:18" ht="28.5" customHeight="1" x14ac:dyDescent="0.2">
      <c r="B260" s="1107" t="str">
        <f>"per 31/12/"&amp;$O$13</f>
        <v>per 31/12/2023</v>
      </c>
      <c r="C260" s="1108"/>
      <c r="D260" s="1108"/>
      <c r="E260" s="1109"/>
      <c r="F260" s="167"/>
      <c r="G260" s="247"/>
      <c r="H260" s="247"/>
      <c r="I260" s="247"/>
      <c r="J260" s="247"/>
      <c r="K260" s="247"/>
      <c r="L260" s="247">
        <f t="shared" si="45"/>
        <v>0</v>
      </c>
      <c r="M260" s="247">
        <f t="shared" si="46"/>
        <v>0</v>
      </c>
      <c r="N260" s="520"/>
      <c r="O260" s="520"/>
      <c r="P260" s="247"/>
      <c r="R260" s="803">
        <f t="shared" si="39"/>
        <v>0</v>
      </c>
    </row>
    <row r="261" spans="2:18" ht="28.5" customHeight="1" x14ac:dyDescent="0.2">
      <c r="B261" s="1107" t="str">
        <f>"per 31/12/"&amp;$P$13</f>
        <v>per 31/12/2024</v>
      </c>
      <c r="C261" s="1108"/>
      <c r="D261" s="1108"/>
      <c r="E261" s="1109"/>
      <c r="F261" s="167"/>
      <c r="G261" s="247"/>
      <c r="H261" s="247"/>
      <c r="I261" s="247"/>
      <c r="J261" s="247"/>
      <c r="K261" s="247"/>
      <c r="L261" s="247"/>
      <c r="M261" s="247">
        <f t="shared" si="46"/>
        <v>0</v>
      </c>
      <c r="N261" s="520"/>
      <c r="O261" s="520"/>
      <c r="P261" s="520"/>
      <c r="R261" s="803">
        <f t="shared" si="39"/>
        <v>0</v>
      </c>
    </row>
    <row r="262" spans="2:18" ht="33" customHeight="1" x14ac:dyDescent="0.2">
      <c r="B262" s="1118" t="s">
        <v>352</v>
      </c>
      <c r="C262" s="1119"/>
      <c r="D262" s="1119"/>
      <c r="E262" s="1120"/>
      <c r="F262" s="167"/>
      <c r="G262" s="804"/>
      <c r="H262" s="804"/>
      <c r="I262" s="804"/>
      <c r="J262" s="804"/>
      <c r="K262" s="804"/>
      <c r="L262" s="804"/>
      <c r="M262" s="804"/>
      <c r="N262" s="804"/>
      <c r="O262" s="804"/>
      <c r="P262" s="804"/>
      <c r="R262" s="804"/>
    </row>
    <row r="263" spans="2:18" ht="28.5" customHeight="1" x14ac:dyDescent="0.2">
      <c r="B263" s="1112" t="str">
        <f>"per 31/12/"&amp;$G$13</f>
        <v>per 31/12/2015</v>
      </c>
      <c r="C263" s="1113"/>
      <c r="D263" s="1113"/>
      <c r="E263" s="1114"/>
      <c r="F263" s="167"/>
      <c r="G263" s="809"/>
      <c r="H263" s="247"/>
      <c r="I263" s="247"/>
      <c r="J263" s="247"/>
      <c r="K263" s="247"/>
      <c r="L263" s="247"/>
      <c r="M263" s="247"/>
      <c r="N263" s="247"/>
      <c r="O263" s="247"/>
      <c r="P263" s="247"/>
      <c r="R263" s="805"/>
    </row>
    <row r="264" spans="2:18" ht="28.5" customHeight="1" x14ac:dyDescent="0.2">
      <c r="B264" s="1112" t="str">
        <f>"per 31/12/"&amp;$H$13</f>
        <v>per 31/12/2016</v>
      </c>
      <c r="C264" s="1113"/>
      <c r="D264" s="1113"/>
      <c r="E264" s="1114"/>
      <c r="F264" s="167"/>
      <c r="G264" s="520"/>
      <c r="H264" s="520"/>
      <c r="I264" s="247"/>
      <c r="J264" s="247"/>
      <c r="K264" s="247"/>
      <c r="L264" s="247"/>
      <c r="M264" s="247"/>
      <c r="N264" s="247"/>
      <c r="O264" s="247"/>
      <c r="P264" s="247"/>
      <c r="R264" s="805"/>
    </row>
    <row r="265" spans="2:18" ht="28.5" customHeight="1" x14ac:dyDescent="0.2">
      <c r="B265" s="1112" t="str">
        <f>"per 31/12/"&amp;$I$13</f>
        <v>per 31/12/2017</v>
      </c>
      <c r="C265" s="1113"/>
      <c r="D265" s="1113"/>
      <c r="E265" s="1114"/>
      <c r="F265" s="167"/>
      <c r="G265" s="520"/>
      <c r="H265" s="520"/>
      <c r="I265" s="520"/>
      <c r="J265" s="247"/>
      <c r="K265" s="247"/>
      <c r="L265" s="247"/>
      <c r="M265" s="247"/>
      <c r="N265" s="247"/>
      <c r="O265" s="247"/>
      <c r="P265" s="247"/>
      <c r="R265" s="805"/>
    </row>
    <row r="266" spans="2:18" ht="28.5" customHeight="1" x14ac:dyDescent="0.2">
      <c r="B266" s="1112" t="str">
        <f>"per 31/12/"&amp;$J$13</f>
        <v>per 31/12/2018</v>
      </c>
      <c r="C266" s="1113"/>
      <c r="D266" s="1113"/>
      <c r="E266" s="1114"/>
      <c r="F266" s="167"/>
      <c r="G266" s="520"/>
      <c r="H266" s="520"/>
      <c r="I266" s="520"/>
      <c r="J266" s="520"/>
      <c r="K266" s="247"/>
      <c r="L266" s="247"/>
      <c r="M266" s="247"/>
      <c r="N266" s="247"/>
      <c r="O266" s="247"/>
      <c r="P266" s="247"/>
      <c r="R266" s="805"/>
    </row>
    <row r="267" spans="2:18" ht="28.5" customHeight="1" x14ac:dyDescent="0.2">
      <c r="B267" s="1112" t="str">
        <f>"per 31/12/"&amp;$K$13</f>
        <v>per 31/12/2019</v>
      </c>
      <c r="C267" s="1113"/>
      <c r="D267" s="1113"/>
      <c r="E267" s="1114"/>
      <c r="F267" s="167"/>
      <c r="G267" s="520"/>
      <c r="H267" s="520"/>
      <c r="I267" s="520"/>
      <c r="J267" s="520"/>
      <c r="K267" s="520"/>
      <c r="L267" s="247"/>
      <c r="M267" s="247"/>
      <c r="N267" s="247"/>
      <c r="O267" s="247"/>
      <c r="P267" s="247"/>
      <c r="R267" s="805"/>
    </row>
    <row r="268" spans="2:18" ht="28.5" customHeight="1" x14ac:dyDescent="0.2">
      <c r="B268" s="1112" t="str">
        <f>"per 31/12/"&amp;$L$13</f>
        <v>per 31/12/2020</v>
      </c>
      <c r="C268" s="1113"/>
      <c r="D268" s="1113"/>
      <c r="E268" s="1114"/>
      <c r="F268" s="167"/>
      <c r="G268" s="520"/>
      <c r="H268" s="520"/>
      <c r="I268" s="520"/>
      <c r="J268" s="520"/>
      <c r="K268" s="520"/>
      <c r="L268" s="520"/>
      <c r="M268" s="247"/>
      <c r="N268" s="247"/>
      <c r="O268" s="247"/>
      <c r="P268" s="247"/>
      <c r="R268" s="805"/>
    </row>
    <row r="269" spans="2:18" ht="28.5" customHeight="1" x14ac:dyDescent="0.2">
      <c r="B269" s="1112" t="str">
        <f>"per 31/12/"&amp;$M$13</f>
        <v>per 31/12/2021</v>
      </c>
      <c r="C269" s="1113"/>
      <c r="D269" s="1113"/>
      <c r="E269" s="1114"/>
      <c r="F269" s="167"/>
      <c r="G269" s="520"/>
      <c r="H269" s="520"/>
      <c r="I269" s="520"/>
      <c r="J269" s="520"/>
      <c r="K269" s="520"/>
      <c r="L269" s="520"/>
      <c r="M269" s="520"/>
      <c r="N269" s="247"/>
      <c r="O269" s="247"/>
      <c r="P269" s="247"/>
      <c r="R269" s="805"/>
    </row>
    <row r="270" spans="2:18" ht="28.5" customHeight="1" x14ac:dyDescent="0.2">
      <c r="B270" s="1107" t="str">
        <f>"per 31/12/"&amp;$N$13</f>
        <v>per 31/12/2022</v>
      </c>
      <c r="C270" s="1108"/>
      <c r="D270" s="1108"/>
      <c r="E270" s="1109"/>
      <c r="F270" s="167"/>
      <c r="G270" s="520"/>
      <c r="H270" s="520"/>
      <c r="I270" s="520"/>
      <c r="J270" s="520"/>
      <c r="K270" s="520"/>
      <c r="L270" s="520"/>
      <c r="M270" s="520"/>
      <c r="N270" s="247">
        <f>+N$24+N140</f>
        <v>0</v>
      </c>
      <c r="O270" s="247"/>
      <c r="P270" s="247"/>
      <c r="R270" s="803">
        <f t="shared" ref="R270:R272" si="47">SUM(G270:P270)</f>
        <v>0</v>
      </c>
    </row>
    <row r="271" spans="2:18" ht="28.5" customHeight="1" x14ac:dyDescent="0.2">
      <c r="B271" s="1107" t="str">
        <f>"per 31/12/"&amp;$O$13</f>
        <v>per 31/12/2023</v>
      </c>
      <c r="C271" s="1108"/>
      <c r="D271" s="1108"/>
      <c r="E271" s="1109"/>
      <c r="F271" s="167"/>
      <c r="G271" s="247"/>
      <c r="H271" s="247"/>
      <c r="I271" s="247"/>
      <c r="J271" s="247"/>
      <c r="K271" s="247"/>
      <c r="L271" s="520"/>
      <c r="M271" s="520"/>
      <c r="N271" s="247">
        <f t="shared" ref="N271:N272" si="48">+N270+N141</f>
        <v>0</v>
      </c>
      <c r="O271" s="247">
        <f>+O$24+O141</f>
        <v>0</v>
      </c>
      <c r="P271" s="247"/>
      <c r="R271" s="803">
        <f t="shared" si="47"/>
        <v>0</v>
      </c>
    </row>
    <row r="272" spans="2:18" ht="28.5" customHeight="1" x14ac:dyDescent="0.2">
      <c r="B272" s="1107" t="str">
        <f>"per 31/12/"&amp;$P$13</f>
        <v>per 31/12/2024</v>
      </c>
      <c r="C272" s="1108"/>
      <c r="D272" s="1108"/>
      <c r="E272" s="1109"/>
      <c r="F272" s="167"/>
      <c r="G272" s="247"/>
      <c r="H272" s="247"/>
      <c r="I272" s="247"/>
      <c r="J272" s="247"/>
      <c r="K272" s="247"/>
      <c r="L272" s="247"/>
      <c r="M272" s="520"/>
      <c r="N272" s="247">
        <f t="shared" si="48"/>
        <v>0</v>
      </c>
      <c r="O272" s="247">
        <f>+O271+O142</f>
        <v>0</v>
      </c>
      <c r="P272" s="247">
        <f>+P$24+P142</f>
        <v>0</v>
      </c>
      <c r="R272" s="803">
        <f t="shared" si="47"/>
        <v>0</v>
      </c>
    </row>
    <row r="273" spans="1:18" x14ac:dyDescent="0.2">
      <c r="G273" s="301"/>
      <c r="H273" s="301"/>
      <c r="I273" s="301"/>
      <c r="J273" s="301"/>
      <c r="K273" s="301"/>
      <c r="L273" s="301"/>
      <c r="M273" s="301"/>
      <c r="N273" s="301"/>
      <c r="O273" s="301"/>
      <c r="P273" s="301"/>
      <c r="R273" s="302"/>
    </row>
    <row r="274" spans="1:18" s="216" customFormat="1" x14ac:dyDescent="0.2">
      <c r="B274" s="310"/>
      <c r="C274" s="311"/>
      <c r="D274" s="311"/>
      <c r="E274" s="312"/>
      <c r="F274" s="275"/>
      <c r="G274" s="784">
        <v>2015</v>
      </c>
      <c r="H274" s="165">
        <f>+G274+1</f>
        <v>2016</v>
      </c>
      <c r="I274" s="165">
        <f>+H274+1</f>
        <v>2017</v>
      </c>
      <c r="J274" s="165">
        <f>+I274+1</f>
        <v>2018</v>
      </c>
      <c r="K274" s="165">
        <f>+J274+1</f>
        <v>2019</v>
      </c>
      <c r="L274" s="165">
        <f t="shared" ref="L274:P274" si="49">+K274+1</f>
        <v>2020</v>
      </c>
      <c r="M274" s="165">
        <f t="shared" si="49"/>
        <v>2021</v>
      </c>
      <c r="N274" s="165">
        <f t="shared" si="49"/>
        <v>2022</v>
      </c>
      <c r="O274" s="165">
        <f t="shared" si="49"/>
        <v>2023</v>
      </c>
      <c r="P274" s="165">
        <f t="shared" si="49"/>
        <v>2024</v>
      </c>
      <c r="Q274" s="203"/>
      <c r="R274" s="165" t="s">
        <v>20</v>
      </c>
    </row>
    <row r="275" spans="1:18" ht="20.25" customHeight="1" x14ac:dyDescent="0.2">
      <c r="B275" s="1125" t="s">
        <v>125</v>
      </c>
      <c r="C275" s="1126"/>
      <c r="D275" s="1126"/>
      <c r="E275" s="1127"/>
      <c r="F275" s="169"/>
      <c r="G275" s="170"/>
      <c r="H275" s="170"/>
      <c r="I275" s="170"/>
      <c r="J275" s="170"/>
      <c r="K275" s="170"/>
      <c r="L275" s="170"/>
      <c r="M275" s="170"/>
      <c r="N275" s="170"/>
      <c r="O275" s="170"/>
      <c r="P275" s="170"/>
      <c r="R275" s="170"/>
    </row>
    <row r="276" spans="1:18" ht="28.5" customHeight="1" x14ac:dyDescent="0.2">
      <c r="A276" s="203">
        <v>2015</v>
      </c>
      <c r="B276" s="1115" t="str">
        <f>"per 31/12/"&amp;$G$13</f>
        <v>per 31/12/2015</v>
      </c>
      <c r="C276" s="1116"/>
      <c r="D276" s="1116"/>
      <c r="E276" s="1117"/>
      <c r="F276" s="313"/>
      <c r="G276" s="806">
        <f>SUMIFS(G$164:G$272,$B$164:$B$272,$B276)</f>
        <v>0</v>
      </c>
      <c r="H276" s="806"/>
      <c r="I276" s="806"/>
      <c r="J276" s="806"/>
      <c r="K276" s="806"/>
      <c r="L276" s="806"/>
      <c r="M276" s="806"/>
      <c r="N276" s="806"/>
      <c r="O276" s="806"/>
      <c r="P276" s="806"/>
      <c r="R276" s="807">
        <f t="shared" ref="R276:R285" si="50">SUMIFS(R$164:R$272,$B$164:$B$272,$B276)</f>
        <v>0</v>
      </c>
    </row>
    <row r="277" spans="1:18" ht="28.5" customHeight="1" x14ac:dyDescent="0.2">
      <c r="A277" s="203">
        <v>2016</v>
      </c>
      <c r="B277" s="1115" t="str">
        <f>"per 31/12/"&amp;$H$13</f>
        <v>per 31/12/2016</v>
      </c>
      <c r="C277" s="1116"/>
      <c r="D277" s="1116"/>
      <c r="E277" s="1117"/>
      <c r="F277" s="313"/>
      <c r="G277" s="806">
        <f t="shared" ref="G277:N285" si="51">SUMIFS(G$164:G$272,$B$164:$B$272,$B277)</f>
        <v>0</v>
      </c>
      <c r="H277" s="806">
        <f t="shared" si="51"/>
        <v>0</v>
      </c>
      <c r="I277" s="806"/>
      <c r="J277" s="806"/>
      <c r="K277" s="806"/>
      <c r="L277" s="806"/>
      <c r="M277" s="806"/>
      <c r="N277" s="806"/>
      <c r="O277" s="806"/>
      <c r="P277" s="806"/>
      <c r="R277" s="807">
        <f t="shared" si="50"/>
        <v>0</v>
      </c>
    </row>
    <row r="278" spans="1:18" ht="28.5" customHeight="1" x14ac:dyDescent="0.2">
      <c r="A278" s="203">
        <v>2017</v>
      </c>
      <c r="B278" s="1115" t="str">
        <f>"per 31/12/"&amp;$I$13</f>
        <v>per 31/12/2017</v>
      </c>
      <c r="C278" s="1116"/>
      <c r="D278" s="1116"/>
      <c r="E278" s="1117"/>
      <c r="F278" s="313"/>
      <c r="G278" s="806">
        <f t="shared" si="51"/>
        <v>0</v>
      </c>
      <c r="H278" s="806">
        <f t="shared" si="51"/>
        <v>0</v>
      </c>
      <c r="I278" s="806">
        <f t="shared" si="51"/>
        <v>0</v>
      </c>
      <c r="J278" s="806"/>
      <c r="K278" s="806"/>
      <c r="L278" s="806"/>
      <c r="M278" s="806"/>
      <c r="N278" s="806"/>
      <c r="O278" s="806"/>
      <c r="P278" s="806"/>
      <c r="R278" s="807">
        <f t="shared" si="50"/>
        <v>0</v>
      </c>
    </row>
    <row r="279" spans="1:18" ht="28.5" customHeight="1" x14ac:dyDescent="0.2">
      <c r="A279" s="203">
        <v>2018</v>
      </c>
      <c r="B279" s="1115" t="str">
        <f>"per 31/12/"&amp;$J$13</f>
        <v>per 31/12/2018</v>
      </c>
      <c r="C279" s="1116"/>
      <c r="D279" s="1116"/>
      <c r="E279" s="1117"/>
      <c r="F279" s="313"/>
      <c r="G279" s="806">
        <f t="shared" si="51"/>
        <v>0</v>
      </c>
      <c r="H279" s="806">
        <f t="shared" si="51"/>
        <v>0</v>
      </c>
      <c r="I279" s="806">
        <f t="shared" si="51"/>
        <v>0</v>
      </c>
      <c r="J279" s="806">
        <f t="shared" si="51"/>
        <v>0</v>
      </c>
      <c r="K279" s="806"/>
      <c r="L279" s="806"/>
      <c r="M279" s="806"/>
      <c r="N279" s="806"/>
      <c r="O279" s="806"/>
      <c r="P279" s="806"/>
      <c r="R279" s="807">
        <f t="shared" si="50"/>
        <v>0</v>
      </c>
    </row>
    <row r="280" spans="1:18" ht="28.5" customHeight="1" x14ac:dyDescent="0.2">
      <c r="A280" s="203">
        <v>2019</v>
      </c>
      <c r="B280" s="1115" t="str">
        <f>"per 31/12/"&amp;$K$13</f>
        <v>per 31/12/2019</v>
      </c>
      <c r="C280" s="1116"/>
      <c r="D280" s="1116"/>
      <c r="E280" s="1117"/>
      <c r="F280" s="313"/>
      <c r="G280" s="806">
        <f t="shared" si="51"/>
        <v>0</v>
      </c>
      <c r="H280" s="806">
        <f t="shared" si="51"/>
        <v>0</v>
      </c>
      <c r="I280" s="806">
        <f t="shared" si="51"/>
        <v>0</v>
      </c>
      <c r="J280" s="806">
        <f t="shared" si="51"/>
        <v>0</v>
      </c>
      <c r="K280" s="806">
        <f t="shared" si="51"/>
        <v>0</v>
      </c>
      <c r="L280" s="806"/>
      <c r="M280" s="806"/>
      <c r="N280" s="806"/>
      <c r="O280" s="806"/>
      <c r="P280" s="806"/>
      <c r="R280" s="807">
        <f t="shared" si="50"/>
        <v>0</v>
      </c>
    </row>
    <row r="281" spans="1:18" ht="28.5" customHeight="1" x14ac:dyDescent="0.2">
      <c r="A281" s="203">
        <v>2020</v>
      </c>
      <c r="B281" s="1115" t="str">
        <f>"per 31/12/"&amp;$L$13</f>
        <v>per 31/12/2020</v>
      </c>
      <c r="C281" s="1116"/>
      <c r="D281" s="1116"/>
      <c r="E281" s="1117"/>
      <c r="F281" s="313"/>
      <c r="G281" s="806">
        <f t="shared" si="51"/>
        <v>0</v>
      </c>
      <c r="H281" s="806">
        <f t="shared" si="51"/>
        <v>0</v>
      </c>
      <c r="I281" s="806">
        <f t="shared" si="51"/>
        <v>0</v>
      </c>
      <c r="J281" s="806">
        <f t="shared" si="51"/>
        <v>0</v>
      </c>
      <c r="K281" s="806">
        <f t="shared" si="51"/>
        <v>0</v>
      </c>
      <c r="L281" s="806">
        <f t="shared" si="51"/>
        <v>0</v>
      </c>
      <c r="M281" s="806"/>
      <c r="N281" s="806"/>
      <c r="O281" s="806"/>
      <c r="P281" s="806"/>
      <c r="R281" s="807">
        <f t="shared" si="50"/>
        <v>0</v>
      </c>
    </row>
    <row r="282" spans="1:18" ht="28.5" customHeight="1" x14ac:dyDescent="0.2">
      <c r="A282" s="203">
        <v>2021</v>
      </c>
      <c r="B282" s="1115" t="str">
        <f>"per 31/12/"&amp;$M$13</f>
        <v>per 31/12/2021</v>
      </c>
      <c r="C282" s="1116"/>
      <c r="D282" s="1116"/>
      <c r="E282" s="1117"/>
      <c r="F282" s="313"/>
      <c r="G282" s="806">
        <f t="shared" si="51"/>
        <v>0</v>
      </c>
      <c r="H282" s="806">
        <f t="shared" si="51"/>
        <v>0</v>
      </c>
      <c r="I282" s="806">
        <f t="shared" si="51"/>
        <v>0</v>
      </c>
      <c r="J282" s="806">
        <f t="shared" si="51"/>
        <v>0</v>
      </c>
      <c r="K282" s="806">
        <f t="shared" si="51"/>
        <v>0</v>
      </c>
      <c r="L282" s="806">
        <f t="shared" si="51"/>
        <v>0</v>
      </c>
      <c r="M282" s="806">
        <f t="shared" si="51"/>
        <v>0</v>
      </c>
      <c r="N282" s="806"/>
      <c r="O282" s="806"/>
      <c r="P282" s="806"/>
      <c r="R282" s="807">
        <f t="shared" si="50"/>
        <v>0</v>
      </c>
    </row>
    <row r="283" spans="1:18" ht="28.5" customHeight="1" x14ac:dyDescent="0.2">
      <c r="A283" s="203">
        <v>2022</v>
      </c>
      <c r="B283" s="1115" t="str">
        <f>"per 31/12/"&amp;$N$13</f>
        <v>per 31/12/2022</v>
      </c>
      <c r="C283" s="1116"/>
      <c r="D283" s="1116"/>
      <c r="E283" s="1117"/>
      <c r="F283" s="313"/>
      <c r="G283" s="806">
        <f t="shared" si="51"/>
        <v>0</v>
      </c>
      <c r="H283" s="806">
        <f t="shared" si="51"/>
        <v>0</v>
      </c>
      <c r="I283" s="806">
        <f t="shared" si="51"/>
        <v>0</v>
      </c>
      <c r="J283" s="806">
        <f t="shared" si="51"/>
        <v>0</v>
      </c>
      <c r="K283" s="806">
        <f t="shared" si="51"/>
        <v>0</v>
      </c>
      <c r="L283" s="806">
        <f t="shared" si="51"/>
        <v>0</v>
      </c>
      <c r="M283" s="806">
        <f t="shared" si="51"/>
        <v>0</v>
      </c>
      <c r="N283" s="806">
        <f t="shared" si="51"/>
        <v>0</v>
      </c>
      <c r="O283" s="806"/>
      <c r="P283" s="806"/>
      <c r="R283" s="807">
        <f t="shared" si="50"/>
        <v>0</v>
      </c>
    </row>
    <row r="284" spans="1:18" ht="28.5" customHeight="1" x14ac:dyDescent="0.2">
      <c r="A284" s="203">
        <v>2023</v>
      </c>
      <c r="B284" s="1115" t="str">
        <f>"per 31/12/"&amp;$O$13</f>
        <v>per 31/12/2023</v>
      </c>
      <c r="C284" s="1116"/>
      <c r="D284" s="1116"/>
      <c r="E284" s="1117"/>
      <c r="F284" s="313"/>
      <c r="G284" s="806"/>
      <c r="H284" s="806"/>
      <c r="I284" s="806"/>
      <c r="J284" s="806"/>
      <c r="K284" s="806"/>
      <c r="L284" s="806">
        <f t="shared" si="51"/>
        <v>0</v>
      </c>
      <c r="M284" s="806">
        <f t="shared" si="51"/>
        <v>0</v>
      </c>
      <c r="N284" s="806">
        <f t="shared" si="51"/>
        <v>0</v>
      </c>
      <c r="O284" s="806">
        <f t="shared" ref="O284:O285" si="52">SUMIFS(O$164:O$272,$B$164:$B$272,$B284)</f>
        <v>0</v>
      </c>
      <c r="P284" s="806"/>
      <c r="R284" s="807">
        <f t="shared" si="50"/>
        <v>0</v>
      </c>
    </row>
    <row r="285" spans="1:18" ht="28.5" customHeight="1" x14ac:dyDescent="0.2">
      <c r="A285" s="203">
        <v>2024</v>
      </c>
      <c r="B285" s="1115" t="str">
        <f>"per 31/12/"&amp;$P$13</f>
        <v>per 31/12/2024</v>
      </c>
      <c r="C285" s="1116"/>
      <c r="D285" s="1116"/>
      <c r="E285" s="1117"/>
      <c r="F285" s="313"/>
      <c r="G285" s="806"/>
      <c r="H285" s="806"/>
      <c r="I285" s="806"/>
      <c r="J285" s="806"/>
      <c r="K285" s="806"/>
      <c r="L285" s="806"/>
      <c r="M285" s="806">
        <f t="shared" si="51"/>
        <v>0</v>
      </c>
      <c r="N285" s="806">
        <f t="shared" si="51"/>
        <v>0</v>
      </c>
      <c r="O285" s="806">
        <f t="shared" si="52"/>
        <v>0</v>
      </c>
      <c r="P285" s="806">
        <f>SUMIFS(P$164:P$272,$B$164:$B$272,$B285)</f>
        <v>0</v>
      </c>
      <c r="R285" s="807">
        <f t="shared" si="50"/>
        <v>0</v>
      </c>
    </row>
    <row r="286" spans="1:18" s="216" customFormat="1" x14ac:dyDescent="0.2">
      <c r="B286" s="1110" t="s">
        <v>97</v>
      </c>
      <c r="C286" s="1110"/>
      <c r="D286" s="1110"/>
      <c r="E286" s="1110"/>
      <c r="G286" s="304">
        <f>IF($E$2="ex-ante",(INDEX(G$276:G$285,MATCH($D$2,$A$276:$A$285,0),1))-T4A!C32,IF($E$2="ex-post",(INDEX(G$276:G$285,MATCH($D$2,$A$276:$A$285,0),1))-T4A!C32+SUMIFS(T4A!C$38:C$47,T4A!$B$38:$B$47,$D$2+1),"FOUT"))</f>
        <v>0</v>
      </c>
      <c r="H286" s="304">
        <f>IF($E$2="ex-ante",(INDEX(H$276:H$285,MATCH($D$2,$A$276:$A$285,0),1))-T4A!D32,IF($E$2="ex-post",(INDEX(H$276:H$285,MATCH($D$2,$A$276:$A$285,0),1))-T4A!D32+SUMIFS(T4A!D$38:D$47,T4A!$B$38:$B$47,$D$2+1),"FOUT"))</f>
        <v>0</v>
      </c>
      <c r="I286" s="304">
        <f>IF($E$2="ex-ante",(INDEX(I$276:I$285,MATCH($D$2,$A$276:$A$285,0),1))-T4A!E32,IF($E$2="ex-post",(INDEX(I$276:I$285,MATCH($D$2,$A$276:$A$285,0),1))-T4A!E32+SUMIFS(T4A!E$38:E$47,T4A!$B$38:$B$47,$D$2+1),"FOUT"))</f>
        <v>0</v>
      </c>
      <c r="J286" s="304">
        <f>IF($E$2="ex-ante",(INDEX(J$276:J$285,MATCH($D$2,$A$276:$A$285,0),1))-T4A!F32,IF($E$2="ex-post",(INDEX(J$276:J$285,MATCH($D$2,$A$276:$A$285,0),1))-T4A!F32+SUMIFS(T4A!F$38:F$47,T4A!$B$38:$B$47,$D$2+1),"FOUT"))</f>
        <v>0</v>
      </c>
      <c r="K286" s="304">
        <f>IF($E$2="ex-ante",(INDEX(K$276:K$285,MATCH($D$2,$A$276:$A$285,0),1))-T4A!G32,IF($E$2="ex-post",(INDEX(K$276:K$285,MATCH($D$2,$A$276:$A$285,0),1))-T4A!G32+SUMIFS(T4A!G$38:G$47,T4A!$B$38:$B$47,$D$2+1),"FOUT"))</f>
        <v>0</v>
      </c>
      <c r="L286" s="304">
        <f>IF($E$2="ex-ante",(INDEX(L$276:L$285,MATCH($D$2,$A$276:$A$285,0),1))-T4A!H32,IF($E$2="ex-post",(INDEX(L$276:L$285,MATCH($D$2,$A$276:$A$285,0),1))-T4A!H32+SUMIFS(T4A!H$38:H$47,T4A!$B$38:$B$47,$D$2+1),"FOUT"))</f>
        <v>0</v>
      </c>
      <c r="M286" s="304">
        <f>IF($E$2="ex-ante",(INDEX(M$276:M$285,MATCH($D$2,$A$276:$A$285,0),1))-T4A!I32,IF($E$2="ex-post",(INDEX(M$276:M$285,MATCH($D$2,$A$276:$A$285,0),1))-T4A!I32+SUMIFS(T4A!I$38:I$47,T4A!$B$38:$B$47,$D$2+1),"FOUT"))</f>
        <v>0</v>
      </c>
      <c r="N286" s="304">
        <f>IF($E$2="ex-ante",(INDEX(N$276:N$285,MATCH($D$2,$A$276:$A$285,0),1))-T4A!J32,IF($E$2="ex-post",(INDEX(N$276:N$285,MATCH($D$2,$A$276:$A$285,0),1))-T4A!J32+SUMIFS(T4A!J$38:J$47,T4A!$B$38:$B$47,$D$2+1),"FOUT"))</f>
        <v>0</v>
      </c>
      <c r="O286" s="304">
        <f>IF($E$2="ex-ante",(INDEX(O$276:O$285,MATCH($D$2,$A$276:$A$285,0),1))-T4A!K32,IF($E$2="ex-post",(INDEX(O$276:O$285,MATCH($D$2,$A$276:$A$285,0),1))-T4A!K32+SUMIFS(T4A!K$38:K$47,T4A!$B$38:$B$47,$D$2+1),"FOUT"))</f>
        <v>0</v>
      </c>
      <c r="P286" s="304">
        <f>IF($E$2="ex-ante",(INDEX(P$276:P$285,MATCH($D$2,$A$276:$A$285,0),1))-T4A!L32,IF($E$2="ex-post",(INDEX(P$276:P$285,MATCH($D$2,$A$276:$A$285,0),1))-T4A!L32+SUMIFS(T4A!L$38:L$47,T4A!$B$38:$B$47,$D$2+1),"FOUT"))</f>
        <v>0</v>
      </c>
      <c r="Q286" s="205"/>
      <c r="R286" s="304">
        <f>IF($E$2="ex-ante",(INDEX(R$276:R$285,MATCH($D$2,$A$276:$A$285,0),1))-T4A!N32,IF($E$2="ex-post",(INDEX(R$276:R$285,MATCH($D$2,$A$276:$A$285,0),1))-T4A!N32+SUMIFS(T4A!N$38:N$47,T4A!$B$38:$B$47,$D$2+1),"FOUT"))</f>
        <v>0</v>
      </c>
    </row>
    <row r="287" spans="1:18" x14ac:dyDescent="0.2">
      <c r="B287" s="305"/>
      <c r="C287" s="305"/>
      <c r="D287" s="305"/>
      <c r="E287" s="305"/>
      <c r="F287" s="306"/>
      <c r="G287" s="307"/>
      <c r="H287" s="307"/>
      <c r="I287" s="307"/>
      <c r="J287" s="307"/>
      <c r="K287" s="307"/>
      <c r="L287" s="307"/>
      <c r="M287" s="307"/>
      <c r="N287" s="307"/>
      <c r="O287" s="307"/>
      <c r="P287" s="307"/>
      <c r="R287" s="307"/>
    </row>
    <row r="288" spans="1:18" x14ac:dyDescent="0.2">
      <c r="B288" s="305"/>
      <c r="C288" s="305"/>
      <c r="D288" s="305"/>
      <c r="E288" s="305"/>
      <c r="F288" s="306"/>
      <c r="G288" s="307"/>
      <c r="H288" s="307"/>
      <c r="I288" s="307"/>
      <c r="J288" s="307"/>
      <c r="K288" s="307"/>
      <c r="L288" s="307"/>
      <c r="M288" s="307"/>
      <c r="N288" s="307"/>
      <c r="O288" s="307"/>
      <c r="P288" s="307"/>
      <c r="R288" s="307"/>
    </row>
    <row r="289" spans="2:18" x14ac:dyDescent="0.2">
      <c r="B289" s="305"/>
      <c r="C289" s="305"/>
      <c r="D289" s="305"/>
      <c r="E289" s="305"/>
      <c r="F289" s="306"/>
      <c r="G289" s="308" t="s">
        <v>32</v>
      </c>
      <c r="H289" s="307"/>
      <c r="I289" s="307"/>
      <c r="J289" s="307"/>
      <c r="K289" s="307"/>
      <c r="L289" s="307"/>
      <c r="M289" s="307"/>
      <c r="N289" s="307"/>
      <c r="O289" s="307"/>
      <c r="P289" s="307"/>
      <c r="R289" s="307"/>
    </row>
    <row r="290" spans="2:18" x14ac:dyDescent="0.2">
      <c r="G290" s="308" t="s">
        <v>33</v>
      </c>
      <c r="H290" s="307"/>
      <c r="I290" s="307"/>
      <c r="J290" s="307"/>
    </row>
    <row r="291" spans="2:18" ht="71.099999999999994" customHeight="1" x14ac:dyDescent="0.2">
      <c r="B291" s="1132" t="s">
        <v>65</v>
      </c>
      <c r="C291" s="1133"/>
      <c r="D291" s="1133"/>
      <c r="E291" s="1134"/>
      <c r="F291" s="167"/>
      <c r="G291" s="165" t="str">
        <f>"Afbouw van het regulatoir saldo inzake exogene kosten op te nemen in het toegelaten inkomen voor boekjaar "&amp;D2</f>
        <v>Afbouw van het regulatoir saldo inzake exogene kosten op te nemen in het toegelaten inkomen voor boekjaar 2022</v>
      </c>
      <c r="H291" s="307"/>
      <c r="I291" s="307"/>
      <c r="J291" s="307"/>
    </row>
    <row r="292" spans="2:18" x14ac:dyDescent="0.2">
      <c r="B292" s="320"/>
      <c r="C292" s="297"/>
      <c r="D292" s="297"/>
      <c r="E292" s="297"/>
      <c r="F292" s="298"/>
      <c r="G292" s="787"/>
      <c r="H292" s="307"/>
      <c r="I292" s="307"/>
      <c r="J292" s="307"/>
    </row>
    <row r="293" spans="2:18" ht="24.95" customHeight="1" x14ac:dyDescent="0.2">
      <c r="B293" s="1111" t="s">
        <v>369</v>
      </c>
      <c r="C293" s="1111"/>
      <c r="D293" s="1111"/>
      <c r="E293" s="1111"/>
      <c r="F293" s="167"/>
      <c r="G293" s="247">
        <f>IF($B$7="elektriciteit",VLOOKUP($D$2,B370:C373,2,FALSE)+VLOOKUP($D$2,B386:C389,2,FALSE)+VLOOKUP($D$2,B461:C464,2,FALSE)+VLOOKUP($D$2,B527:C530,2,FALSE)+VLOOKUP($D$2,B594:C597,2,FALSE)+VLOOKUP($D$2,B743:C746,2,FALSE)+VLOOKUP($D$2,B892:C895,2,FALSE),IF($B$7="gas",VLOOKUP($D$2,B370:C373,2,FALSE)+VLOOKUP($D$2,B594:C597,2,FALSE),"FOUT"))</f>
        <v>0</v>
      </c>
      <c r="H293" s="307"/>
      <c r="I293" s="307"/>
      <c r="J293" s="307"/>
    </row>
    <row r="294" spans="2:18" ht="24.95" customHeight="1" x14ac:dyDescent="0.2">
      <c r="B294" s="1111" t="s">
        <v>353</v>
      </c>
      <c r="C294" s="1111"/>
      <c r="D294" s="1111"/>
      <c r="E294" s="1111"/>
      <c r="F294" s="167"/>
      <c r="G294" s="247">
        <f>IF($B$7="elektriciteit",0,IF($B$7="gas",VLOOKUP($D$2,B461:C464,2,FALSE),"FOUT"))</f>
        <v>0</v>
      </c>
      <c r="H294" s="307"/>
      <c r="I294" s="307"/>
      <c r="J294" s="307"/>
    </row>
    <row r="295" spans="2:18" ht="24.95" customHeight="1" x14ac:dyDescent="0.2">
      <c r="B295" s="1111" t="s">
        <v>354</v>
      </c>
      <c r="C295" s="1111"/>
      <c r="D295" s="1111"/>
      <c r="E295" s="1111"/>
      <c r="F295" s="167"/>
      <c r="G295" s="247">
        <f>VLOOKUP($D$2,B669:C672,2,FALSE)</f>
        <v>0</v>
      </c>
      <c r="H295" s="307"/>
      <c r="I295" s="307"/>
      <c r="J295" s="307"/>
    </row>
    <row r="296" spans="2:18" ht="24.95" customHeight="1" x14ac:dyDescent="0.2">
      <c r="B296" s="1111" t="s">
        <v>356</v>
      </c>
      <c r="C296" s="1111"/>
      <c r="D296" s="1111"/>
      <c r="E296" s="1111"/>
      <c r="F296" s="167"/>
      <c r="G296" s="247">
        <f>VLOOKUP($D$2,B818:C821,2,FALSE)</f>
        <v>0</v>
      </c>
      <c r="H296" s="307"/>
      <c r="I296" s="307"/>
      <c r="J296" s="307"/>
    </row>
    <row r="297" spans="2:18" ht="22.5" customHeight="1" x14ac:dyDescent="0.2">
      <c r="B297" s="1111" t="s">
        <v>355</v>
      </c>
      <c r="C297" s="1111"/>
      <c r="D297" s="1111"/>
      <c r="E297" s="1111"/>
      <c r="F297" s="167"/>
      <c r="G297" s="247">
        <f>IF($B$7="elektriciteit",VLOOKUP($D$2,B908:C911,2,FALSE),IF($B$7="gas",0,"FOUT"))</f>
        <v>0</v>
      </c>
      <c r="H297" s="307"/>
      <c r="I297" s="307"/>
      <c r="J297" s="307"/>
    </row>
    <row r="298" spans="2:18" x14ac:dyDescent="0.2">
      <c r="H298" s="307"/>
      <c r="I298" s="307"/>
      <c r="J298" s="307"/>
    </row>
    <row r="299" spans="2:18" ht="22.5" customHeight="1" x14ac:dyDescent="0.2">
      <c r="B299" s="1121" t="s">
        <v>22</v>
      </c>
      <c r="C299" s="1122"/>
      <c r="D299" s="1122"/>
      <c r="E299" s="1123"/>
      <c r="F299" s="181"/>
      <c r="G299" s="168">
        <f>SUM(G293:G297)</f>
        <v>0</v>
      </c>
      <c r="H299" s="307"/>
      <c r="I299" s="307"/>
      <c r="J299" s="307"/>
    </row>
    <row r="300" spans="2:18" x14ac:dyDescent="0.2">
      <c r="Q300" s="206"/>
    </row>
    <row r="301" spans="2:18" x14ac:dyDescent="0.2">
      <c r="Q301" s="206"/>
    </row>
    <row r="302" spans="2:18" x14ac:dyDescent="0.2">
      <c r="B302" s="321" t="s">
        <v>201</v>
      </c>
      <c r="C302" s="322"/>
      <c r="D302" s="322"/>
      <c r="E302" s="322"/>
      <c r="F302" s="323"/>
      <c r="G302" s="323"/>
      <c r="H302" s="323"/>
      <c r="I302" s="323"/>
      <c r="J302" s="323"/>
      <c r="K302" s="323"/>
      <c r="L302" s="323"/>
      <c r="M302" s="323"/>
      <c r="N302" s="323"/>
      <c r="O302" s="323"/>
      <c r="P302" s="323"/>
      <c r="Q302" s="324"/>
      <c r="R302" s="323"/>
    </row>
    <row r="303" spans="2:18" x14ac:dyDescent="0.2">
      <c r="Q303" s="206"/>
    </row>
    <row r="304" spans="2:18" x14ac:dyDescent="0.2">
      <c r="B304" s="273" t="s">
        <v>139</v>
      </c>
      <c r="F304" s="810">
        <v>2017</v>
      </c>
      <c r="Q304" s="206"/>
    </row>
    <row r="305" spans="2:17" x14ac:dyDescent="0.2">
      <c r="P305" s="206"/>
      <c r="Q305" s="166"/>
    </row>
    <row r="306" spans="2:17" ht="82.5" customHeight="1" x14ac:dyDescent="0.2">
      <c r="B306" s="1101" t="s">
        <v>140</v>
      </c>
      <c r="C306" s="1102"/>
      <c r="D306" s="1102"/>
      <c r="E306" s="1103"/>
      <c r="F306" s="274"/>
      <c r="G306" s="165" t="str">
        <f>"Nog af te bouwen regulatoir saldo einde "&amp;F304-1</f>
        <v>Nog af te bouwen regulatoir saldo einde 2016</v>
      </c>
      <c r="H306" s="165" t="str">
        <f>"Afbouw oudste openstaande regulatoir saldo vanaf boekjaar "&amp;F304-3&amp;" en vroeger, door aanwending van compensatie met regulatoir saldo ontstaan over boekjaar "&amp;F304-2</f>
        <v>Afbouw oudste openstaande regulatoir saldo vanaf boekjaar 2014 en vroeger, door aanwending van compensatie met regulatoir saldo ontstaan over boekjaar 2015</v>
      </c>
      <c r="I306" s="165" t="str">
        <f>"Nog af te bouwen regulatoir saldo na compensatie einde "&amp;F304-1</f>
        <v>Nog af te bouwen regulatoir saldo na compensatie einde 2016</v>
      </c>
      <c r="J306" s="165" t="str">
        <f>"Aanwending van 60% van het geaccumuleerd regulatoir saldo door te rekenen volgens de tariefmethodologie in het boekjaar "&amp;F304</f>
        <v>Aanwending van 60% van het geaccumuleerd regulatoir saldo door te rekenen volgens de tariefmethodologie in het boekjaar 2017</v>
      </c>
      <c r="K306" s="165" t="str">
        <f>"Nog af te bouwen regulatoir saldo einde "&amp;F304</f>
        <v>Nog af te bouwen regulatoir saldo einde 2017</v>
      </c>
      <c r="L306" s="220"/>
      <c r="M306" s="220"/>
      <c r="N306" s="220"/>
      <c r="O306" s="220"/>
      <c r="P306" s="206"/>
      <c r="Q306" s="166"/>
    </row>
    <row r="307" spans="2:17" x14ac:dyDescent="0.2">
      <c r="B307" s="1104">
        <v>2015</v>
      </c>
      <c r="C307" s="1105"/>
      <c r="D307" s="1105"/>
      <c r="E307" s="1106"/>
      <c r="F307" s="275"/>
      <c r="G307" s="176">
        <f>G165</f>
        <v>0</v>
      </c>
      <c r="H307" s="521">
        <v>0</v>
      </c>
      <c r="I307" s="176">
        <f>+G307+H307</f>
        <v>0</v>
      </c>
      <c r="J307" s="176">
        <f>-I307*0.6</f>
        <v>0</v>
      </c>
      <c r="K307" s="811">
        <f>+J307+G307</f>
        <v>0</v>
      </c>
      <c r="L307" s="812"/>
      <c r="M307" s="812"/>
      <c r="N307" s="812"/>
      <c r="O307" s="812"/>
      <c r="P307" s="206"/>
      <c r="Q307" s="166"/>
    </row>
    <row r="308" spans="2:17" x14ac:dyDescent="0.2">
      <c r="P308" s="206"/>
      <c r="Q308" s="166"/>
    </row>
    <row r="309" spans="2:17" x14ac:dyDescent="0.2">
      <c r="B309" s="273" t="s">
        <v>139</v>
      </c>
      <c r="F309" s="810">
        <v>2018</v>
      </c>
      <c r="Q309" s="206"/>
    </row>
    <row r="310" spans="2:17" x14ac:dyDescent="0.2">
      <c r="Q310" s="206"/>
    </row>
    <row r="311" spans="2:17" ht="80.099999999999994" customHeight="1" x14ac:dyDescent="0.2">
      <c r="B311" s="1101" t="s">
        <v>140</v>
      </c>
      <c r="C311" s="1102"/>
      <c r="D311" s="1102"/>
      <c r="E311" s="1103"/>
      <c r="F311" s="274"/>
      <c r="G311" s="165" t="str">
        <f>"Nog af te bouwen regulatoir saldo einde "&amp;F309-1</f>
        <v>Nog af te bouwen regulatoir saldo einde 2017</v>
      </c>
      <c r="H311" s="165" t="str">
        <f>"Afbouw oudste openstaande regulatoir saldo vanaf boekjaar "&amp;F309-3&amp;" en vroeger, door aanwending van compensatie met regulatoir saldo ontstaan over boekjaar "&amp;F309-2</f>
        <v>Afbouw oudste openstaande regulatoir saldo vanaf boekjaar 2015 en vroeger, door aanwending van compensatie met regulatoir saldo ontstaan over boekjaar 2016</v>
      </c>
      <c r="I311" s="165" t="str">
        <f>"Nog af te bouwen regulatoir saldo na compensatie einde "&amp;F309-1</f>
        <v>Nog af te bouwen regulatoir saldo na compensatie einde 2017</v>
      </c>
      <c r="J311" s="165" t="str">
        <f>"60% van het geaccumuleerd regulatoir saldo door te rekenen volgens de tariefmethodologie in het boekjaar "&amp;F309</f>
        <v>60% van het geaccumuleerd regulatoir saldo door te rekenen volgens de tariefmethodologie in het boekjaar 2018</v>
      </c>
      <c r="K311" s="165" t="str">
        <f>"Aanwending van 60% van het geaccumuleerd regulatoir saldo door te rekenen volgens de tariefmethodologie in het boekjaar "&amp;F309</f>
        <v>Aanwending van 60% van het geaccumuleerd regulatoir saldo door te rekenen volgens de tariefmethodologie in het boekjaar 2018</v>
      </c>
      <c r="L311" s="165" t="str">
        <f>"Totale afbouw over "&amp;F309</f>
        <v>Totale afbouw over 2018</v>
      </c>
      <c r="M311" s="165" t="str">
        <f>"Nog af te bouwen regulatoir saldo einde "&amp;F309</f>
        <v>Nog af te bouwen regulatoir saldo einde 2018</v>
      </c>
      <c r="N311" s="206"/>
      <c r="Q311" s="166"/>
    </row>
    <row r="312" spans="2:17" x14ac:dyDescent="0.2">
      <c r="B312" s="1104">
        <v>2015</v>
      </c>
      <c r="C312" s="1105"/>
      <c r="D312" s="1105"/>
      <c r="E312" s="1106"/>
      <c r="F312" s="275"/>
      <c r="G312" s="176">
        <f>K307</f>
        <v>0</v>
      </c>
      <c r="H312" s="521">
        <f>IF(SIGN(G313*K307)&lt;0,IF(G312&lt;&gt;0,-SIGN(G312)*MIN(ABS(G313),ABS(G312)),0),0)</f>
        <v>0</v>
      </c>
      <c r="I312" s="176">
        <f>+G312+H312</f>
        <v>0</v>
      </c>
      <c r="J312" s="806"/>
      <c r="K312" s="521">
        <f>-MIN(ABS(I312),ABS(J314))*SIGN(I312)</f>
        <v>0</v>
      </c>
      <c r="L312" s="813">
        <f>+K312+H312</f>
        <v>0</v>
      </c>
      <c r="M312" s="176">
        <f>+I312+K312</f>
        <v>0</v>
      </c>
      <c r="N312" s="206"/>
      <c r="Q312" s="166"/>
    </row>
    <row r="313" spans="2:17" x14ac:dyDescent="0.2">
      <c r="B313" s="1104">
        <v>2016</v>
      </c>
      <c r="C313" s="1105"/>
      <c r="D313" s="1105"/>
      <c r="E313" s="1106"/>
      <c r="F313" s="275"/>
      <c r="G313" s="176">
        <f>H166</f>
        <v>0</v>
      </c>
      <c r="H313" s="813">
        <f>IF(SIGN(G313*K307)&lt;0,-H312,0)</f>
        <v>0</v>
      </c>
      <c r="I313" s="176">
        <f>+G313+H313</f>
        <v>0</v>
      </c>
      <c r="J313" s="806"/>
      <c r="K313" s="521">
        <f>-MIN(ABS(I313),ABS(J314-K312))*SIGN(I313)</f>
        <v>0</v>
      </c>
      <c r="L313" s="813">
        <f>+K313+H313</f>
        <v>0</v>
      </c>
      <c r="M313" s="176">
        <f>+I313+K313</f>
        <v>0</v>
      </c>
      <c r="N313" s="206"/>
      <c r="Q313" s="166"/>
    </row>
    <row r="314" spans="2:17" s="273" customFormat="1" x14ac:dyDescent="0.2">
      <c r="G314" s="276">
        <f>SUM(G312:G313)</f>
        <v>0</v>
      </c>
      <c r="H314" s="168">
        <f>SUM(H312:H313)</f>
        <v>0</v>
      </c>
      <c r="I314" s="276">
        <f>SUM(I312:I313)</f>
        <v>0</v>
      </c>
      <c r="J314" s="276">
        <f>-I314*0.6</f>
        <v>0</v>
      </c>
      <c r="K314" s="168">
        <f>SUM(K312:K313)</f>
        <v>0</v>
      </c>
      <c r="L314" s="528"/>
      <c r="M314" s="276">
        <f>SUM(M312:M313)</f>
        <v>0</v>
      </c>
    </row>
    <row r="315" spans="2:17" x14ac:dyDescent="0.2">
      <c r="Q315" s="166"/>
    </row>
    <row r="316" spans="2:17" x14ac:dyDescent="0.2">
      <c r="B316" s="273" t="s">
        <v>139</v>
      </c>
      <c r="F316" s="810">
        <v>2019</v>
      </c>
      <c r="Q316" s="166"/>
    </row>
    <row r="317" spans="2:17" x14ac:dyDescent="0.2">
      <c r="Q317" s="166"/>
    </row>
    <row r="318" spans="2:17" ht="75.75" customHeight="1" x14ac:dyDescent="0.2">
      <c r="B318" s="1101" t="s">
        <v>140</v>
      </c>
      <c r="C318" s="1102"/>
      <c r="D318" s="1102"/>
      <c r="E318" s="1103"/>
      <c r="F318" s="274"/>
      <c r="G318" s="165" t="str">
        <f>"Nog af te bouwen regulatoir saldo einde "&amp;F316-1</f>
        <v>Nog af te bouwen regulatoir saldo einde 2018</v>
      </c>
      <c r="H318" s="165" t="str">
        <f>"Afbouw oudste openstaande regulatoir saldo vanaf boekjaar "&amp;F316-3&amp;" en vroeger, door aanwending van compensatie met regulatoir saldo ontstaan over boekjaar "&amp;F316-2</f>
        <v>Afbouw oudste openstaande regulatoir saldo vanaf boekjaar 2016 en vroeger, door aanwending van compensatie met regulatoir saldo ontstaan over boekjaar 2017</v>
      </c>
      <c r="I318" s="165" t="str">
        <f>"Nog af te bouwen regulatoir saldo na compensatie einde "&amp;F316-1</f>
        <v>Nog af te bouwen regulatoir saldo na compensatie einde 2018</v>
      </c>
      <c r="J318" s="165" t="str">
        <f>"60% van het geaccumuleerd regulatoir saldo door te rekenen volgens de tariefmethodologie in het boekjaar "&amp;F316</f>
        <v>60% van het geaccumuleerd regulatoir saldo door te rekenen volgens de tariefmethodologie in het boekjaar 2019</v>
      </c>
      <c r="K318" s="165" t="str">
        <f>"Aanwending van het 60% van het geaccumuleerd regulatoir saldo door te rekenen volgens de tariefmethodologie in het boekjaar "&amp;F316</f>
        <v>Aanwending van het 60% van het geaccumuleerd regulatoir saldo door te rekenen volgens de tariefmethodologie in het boekjaar 2019</v>
      </c>
      <c r="L318" s="165" t="str">
        <f>"Totale afbouw over "&amp;F316</f>
        <v>Totale afbouw over 2019</v>
      </c>
      <c r="M318" s="165" t="str">
        <f>"Nog af te bouwen regulatoir saldo einde "&amp;F316</f>
        <v>Nog af te bouwen regulatoir saldo einde 2019</v>
      </c>
      <c r="N318" s="206"/>
      <c r="Q318" s="166"/>
    </row>
    <row r="319" spans="2:17" x14ac:dyDescent="0.2">
      <c r="B319" s="1104">
        <v>2015</v>
      </c>
      <c r="C319" s="1105"/>
      <c r="D319" s="1105"/>
      <c r="E319" s="1106"/>
      <c r="F319" s="275"/>
      <c r="G319" s="176">
        <f>+M312</f>
        <v>0</v>
      </c>
      <c r="H319" s="813">
        <f>IF(SIGN(G321*M314)&lt;0,IF(G319&lt;&gt;0,-SIGN(G319)*MIN(ABS(G321),ABS(G319)),0),0)</f>
        <v>0</v>
      </c>
      <c r="I319" s="176">
        <f>+G319+H319</f>
        <v>0</v>
      </c>
      <c r="J319" s="806"/>
      <c r="K319" s="521">
        <f>-MIN(ABS(I319),ABS(J322))*SIGN(I319)</f>
        <v>0</v>
      </c>
      <c r="L319" s="813">
        <f>+K319+H319</f>
        <v>0</v>
      </c>
      <c r="M319" s="176">
        <f>+I319+K319</f>
        <v>0</v>
      </c>
      <c r="N319" s="206"/>
      <c r="Q319" s="166"/>
    </row>
    <row r="320" spans="2:17" x14ac:dyDescent="0.2">
      <c r="B320" s="1104">
        <v>2016</v>
      </c>
      <c r="C320" s="1105"/>
      <c r="D320" s="1105">
        <v>2016</v>
      </c>
      <c r="E320" s="1106"/>
      <c r="F320" s="275"/>
      <c r="G320" s="176">
        <f>+M313</f>
        <v>0</v>
      </c>
      <c r="H320" s="813">
        <f>IF(SIGN(G321*M314)&lt;0,IF(G320&lt;&gt;0,-SIGN(G320)*MIN(ABS(G321-H319),ABS(G320)),0),0)</f>
        <v>0</v>
      </c>
      <c r="I320" s="176">
        <f>+G320+H320</f>
        <v>0</v>
      </c>
      <c r="J320" s="806"/>
      <c r="K320" s="521">
        <f>-MIN(ABS(I320),ABS(J322-K319))*SIGN(I320)</f>
        <v>0</v>
      </c>
      <c r="L320" s="813">
        <f>+K320+H320</f>
        <v>0</v>
      </c>
      <c r="M320" s="176">
        <f>+I320+K320</f>
        <v>0</v>
      </c>
      <c r="N320" s="206"/>
      <c r="Q320" s="166"/>
    </row>
    <row r="321" spans="2:17" x14ac:dyDescent="0.2">
      <c r="B321" s="1104">
        <v>2017</v>
      </c>
      <c r="C321" s="1105"/>
      <c r="D321" s="1105"/>
      <c r="E321" s="1106"/>
      <c r="F321" s="275"/>
      <c r="G321" s="176">
        <f>I167</f>
        <v>0</v>
      </c>
      <c r="H321" s="813">
        <f>IF(SIGN(G321*M314)&lt;0,-SUM(H319:H320),0)</f>
        <v>0</v>
      </c>
      <c r="I321" s="176">
        <f>+G321+H321</f>
        <v>0</v>
      </c>
      <c r="J321" s="806"/>
      <c r="K321" s="521">
        <f>-MIN(ABS(I321),ABS(J322-K319-K320))*SIGN(I321)</f>
        <v>0</v>
      </c>
      <c r="L321" s="813">
        <f>+K321+H321</f>
        <v>0</v>
      </c>
      <c r="M321" s="176">
        <f>+I321+K321</f>
        <v>0</v>
      </c>
      <c r="N321" s="206"/>
      <c r="Q321" s="166"/>
    </row>
    <row r="322" spans="2:17" s="273" customFormat="1" x14ac:dyDescent="0.2">
      <c r="G322" s="276">
        <f>SUM(G319:G321)</f>
        <v>0</v>
      </c>
      <c r="H322" s="168">
        <f>SUM(H319:H321)</f>
        <v>0</v>
      </c>
      <c r="I322" s="276">
        <f>SUM(I319:I321)</f>
        <v>0</v>
      </c>
      <c r="J322" s="276">
        <f>-I322*0.6</f>
        <v>0</v>
      </c>
      <c r="K322" s="168">
        <f>SUM(K319:K321)</f>
        <v>0</v>
      </c>
      <c r="L322" s="528"/>
      <c r="M322" s="276">
        <f>SUM(M319:M321)</f>
        <v>0</v>
      </c>
    </row>
    <row r="323" spans="2:17" x14ac:dyDescent="0.2">
      <c r="Q323" s="166"/>
    </row>
    <row r="324" spans="2:17" x14ac:dyDescent="0.2">
      <c r="B324" s="273" t="s">
        <v>139</v>
      </c>
      <c r="F324" s="810">
        <v>2020</v>
      </c>
      <c r="Q324" s="166"/>
    </row>
    <row r="325" spans="2:17" x14ac:dyDescent="0.2">
      <c r="Q325" s="166"/>
    </row>
    <row r="326" spans="2:17" ht="78" customHeight="1" x14ac:dyDescent="0.2">
      <c r="B326" s="1101" t="s">
        <v>140</v>
      </c>
      <c r="C326" s="1102"/>
      <c r="D326" s="1102"/>
      <c r="E326" s="1103"/>
      <c r="F326" s="274"/>
      <c r="G326" s="165" t="str">
        <f>"Nog af te bouwen regulatoir saldo einde "&amp;F324-1</f>
        <v>Nog af te bouwen regulatoir saldo einde 2019</v>
      </c>
      <c r="H326" s="165" t="str">
        <f>"Afbouw oudste openstaande regulatoir saldo vanaf boekjaar "&amp;F324-3&amp;" en vroeger, door aanwending van compensatie met regulatoir saldo ontstaan over boekjaar "&amp;F324-2</f>
        <v>Afbouw oudste openstaande regulatoir saldo vanaf boekjaar 2017 en vroeger, door aanwending van compensatie met regulatoir saldo ontstaan over boekjaar 2018</v>
      </c>
      <c r="I326" s="165" t="str">
        <f>"Nog af te bouwen regulatoir saldo na compensatie einde "&amp;F324-1</f>
        <v>Nog af te bouwen regulatoir saldo na compensatie einde 2019</v>
      </c>
      <c r="J326" s="165" t="str">
        <f>"60% van het geaccumuleerd regulatoir saldo door te rekenen volgens de tariefmethodologie in het boekjaar "&amp;F324</f>
        <v>60% van het geaccumuleerd regulatoir saldo door te rekenen volgens de tariefmethodologie in het boekjaar 2020</v>
      </c>
      <c r="K326" s="165" t="str">
        <f>"Aanwending van het 60% van het geaccumuleerd regulatoir saldo door te rekenen volgens de tariefmethodologie in het boekjaar "&amp;F324</f>
        <v>Aanwending van het 60% van het geaccumuleerd regulatoir saldo door te rekenen volgens de tariefmethodologie in het boekjaar 2020</v>
      </c>
      <c r="L326" s="165" t="str">
        <f>"Totale afbouw over "&amp;F324</f>
        <v>Totale afbouw over 2020</v>
      </c>
      <c r="M326" s="165" t="str">
        <f>"Nog af te bouwen regulatoir saldo einde "&amp;F324</f>
        <v>Nog af te bouwen regulatoir saldo einde 2020</v>
      </c>
      <c r="N326" s="206"/>
      <c r="Q326" s="166"/>
    </row>
    <row r="327" spans="2:17" x14ac:dyDescent="0.2">
      <c r="B327" s="1104">
        <v>2015</v>
      </c>
      <c r="C327" s="1105"/>
      <c r="D327" s="1105"/>
      <c r="E327" s="1106"/>
      <c r="F327" s="275"/>
      <c r="G327" s="176">
        <f>+M319</f>
        <v>0</v>
      </c>
      <c r="H327" s="813">
        <f>IF(SIGN(G330*M322)&lt;0,IF(G327&lt;&gt;0,-SIGN(G327)*MIN(ABS(G330),ABS(G327)),0),0)</f>
        <v>0</v>
      </c>
      <c r="I327" s="176">
        <f>+G327+H327</f>
        <v>0</v>
      </c>
      <c r="J327" s="806"/>
      <c r="K327" s="521">
        <f>-MIN(ABS(I327),ABS(J331))*SIGN(I327)</f>
        <v>0</v>
      </c>
      <c r="L327" s="813">
        <f>+K327+H327</f>
        <v>0</v>
      </c>
      <c r="M327" s="176">
        <f>+I327+K327</f>
        <v>0</v>
      </c>
      <c r="N327" s="206"/>
      <c r="Q327" s="166"/>
    </row>
    <row r="328" spans="2:17" x14ac:dyDescent="0.2">
      <c r="B328" s="1104">
        <v>2016</v>
      </c>
      <c r="C328" s="1105"/>
      <c r="D328" s="1105"/>
      <c r="E328" s="1106"/>
      <c r="F328" s="275"/>
      <c r="G328" s="176">
        <f>+M320</f>
        <v>0</v>
      </c>
      <c r="H328" s="813">
        <f>IF(SIGN(G330*M322)&lt;0,IF(G328&lt;&gt;0,-SIGN(G328)*MIN(ABS(G330-H327),ABS(G328)),0),0)</f>
        <v>0</v>
      </c>
      <c r="I328" s="176">
        <f>+G328+H328</f>
        <v>0</v>
      </c>
      <c r="J328" s="806"/>
      <c r="K328" s="521">
        <f>-MIN(ABS(I328),ABS(J331-K327))*SIGN(I328)</f>
        <v>0</v>
      </c>
      <c r="L328" s="813">
        <f>+K328+H328</f>
        <v>0</v>
      </c>
      <c r="M328" s="176">
        <f>+I328+K328</f>
        <v>0</v>
      </c>
      <c r="N328" s="206"/>
      <c r="Q328" s="166"/>
    </row>
    <row r="329" spans="2:17" x14ac:dyDescent="0.2">
      <c r="B329" s="1104">
        <v>2017</v>
      </c>
      <c r="C329" s="1105"/>
      <c r="D329" s="1105">
        <v>2016</v>
      </c>
      <c r="E329" s="1106"/>
      <c r="F329" s="275"/>
      <c r="G329" s="176">
        <f>+M321</f>
        <v>0</v>
      </c>
      <c r="H329" s="813">
        <f>IF(SIGN(G330*M322)&lt;0,IF(G329&lt;&gt;0,-SIGN(G329)*MIN(ABS(G330-H327-H328),ABS(G329)),0),0)</f>
        <v>0</v>
      </c>
      <c r="I329" s="176">
        <f>+G329+H329</f>
        <v>0</v>
      </c>
      <c r="J329" s="806"/>
      <c r="K329" s="521">
        <f>-MIN(ABS(I329),ABS(J331-K327-K328))*SIGN(I329)</f>
        <v>0</v>
      </c>
      <c r="L329" s="813">
        <f>+K329+H329</f>
        <v>0</v>
      </c>
      <c r="M329" s="176">
        <f>+I329+K329</f>
        <v>0</v>
      </c>
      <c r="N329" s="206"/>
      <c r="Q329" s="166"/>
    </row>
    <row r="330" spans="2:17" x14ac:dyDescent="0.2">
      <c r="B330" s="1104">
        <v>2018</v>
      </c>
      <c r="C330" s="1105"/>
      <c r="D330" s="1105"/>
      <c r="E330" s="1106"/>
      <c r="F330" s="275"/>
      <c r="G330" s="176">
        <f>J168</f>
        <v>0</v>
      </c>
      <c r="H330" s="813">
        <f>IF(SIGN(G330*M322)&lt;0,-SUM(H327:H329),0)</f>
        <v>0</v>
      </c>
      <c r="I330" s="176">
        <f>+G330+H330</f>
        <v>0</v>
      </c>
      <c r="J330" s="806"/>
      <c r="K330" s="521">
        <f>-MIN(ABS(I330),ABS(J331-K327-K328-K329))*SIGN(I330)</f>
        <v>0</v>
      </c>
      <c r="L330" s="813">
        <f>+K330+H330</f>
        <v>0</v>
      </c>
      <c r="M330" s="176">
        <f>+I330+K330</f>
        <v>0</v>
      </c>
      <c r="N330" s="206"/>
      <c r="Q330" s="166"/>
    </row>
    <row r="331" spans="2:17" s="273" customFormat="1" x14ac:dyDescent="0.2">
      <c r="G331" s="276">
        <f>SUM(G327:G330)</f>
        <v>0</v>
      </c>
      <c r="H331" s="168">
        <f>SUM(H327:H330)</f>
        <v>0</v>
      </c>
      <c r="I331" s="276">
        <f>SUM(I327:I330)</f>
        <v>0</v>
      </c>
      <c r="J331" s="276">
        <f>-I331*0.6</f>
        <v>0</v>
      </c>
      <c r="K331" s="168">
        <f>SUM(K327:K330)</f>
        <v>0</v>
      </c>
      <c r="L331" s="168"/>
      <c r="M331" s="276">
        <f>SUM(M327:M330)</f>
        <v>0</v>
      </c>
    </row>
    <row r="332" spans="2:17" x14ac:dyDescent="0.2">
      <c r="K332" s="214"/>
      <c r="L332" s="214"/>
      <c r="Q332" s="166"/>
    </row>
    <row r="333" spans="2:17" x14ac:dyDescent="0.2">
      <c r="B333" s="273" t="s">
        <v>139</v>
      </c>
      <c r="F333" s="810">
        <v>2021</v>
      </c>
      <c r="Q333" s="166"/>
    </row>
    <row r="334" spans="2:17" x14ac:dyDescent="0.2">
      <c r="Q334" s="166"/>
    </row>
    <row r="335" spans="2:17" ht="78" customHeight="1" x14ac:dyDescent="0.2">
      <c r="B335" s="1101" t="s">
        <v>140</v>
      </c>
      <c r="C335" s="1102"/>
      <c r="D335" s="1102"/>
      <c r="E335" s="1103"/>
      <c r="F335" s="274"/>
      <c r="G335" s="165" t="str">
        <f>"Nog af te bouwen regulatoir saldo einde "&amp;F333-1</f>
        <v>Nog af te bouwen regulatoir saldo einde 2020</v>
      </c>
      <c r="H335" s="165" t="str">
        <f>"50% van het oorspronkelijk regulatoir saldo door te rekenen volgens de tariefmethodologie in het boekjaar "&amp;F333</f>
        <v>50% van het oorspronkelijk regulatoir saldo door te rekenen volgens de tariefmethodologie in het boekjaar 2021</v>
      </c>
      <c r="I335" s="165" t="str">
        <f>"Nog af te bouwen regulatoir saldo einde "&amp;F333</f>
        <v>Nog af te bouwen regulatoir saldo einde 2021</v>
      </c>
      <c r="J335" s="206"/>
      <c r="Q335" s="166"/>
    </row>
    <row r="336" spans="2:17" x14ac:dyDescent="0.2">
      <c r="B336" s="1104">
        <v>2015</v>
      </c>
      <c r="C336" s="1105"/>
      <c r="D336" s="1105"/>
      <c r="E336" s="1106"/>
      <c r="F336" s="275"/>
      <c r="G336" s="176">
        <f>M327</f>
        <v>0</v>
      </c>
      <c r="H336" s="176">
        <f>-G336*0.5</f>
        <v>0</v>
      </c>
      <c r="I336" s="176">
        <f>+G336+H336</f>
        <v>0</v>
      </c>
      <c r="J336" s="206"/>
      <c r="Q336" s="166"/>
    </row>
    <row r="337" spans="2:17" x14ac:dyDescent="0.2">
      <c r="B337" s="1104">
        <v>2016</v>
      </c>
      <c r="C337" s="1105"/>
      <c r="D337" s="1105"/>
      <c r="E337" s="1106"/>
      <c r="F337" s="275"/>
      <c r="G337" s="176">
        <f t="shared" ref="G337:G339" si="53">M328</f>
        <v>0</v>
      </c>
      <c r="H337" s="176">
        <f t="shared" ref="H337:H340" si="54">-G337*0.5</f>
        <v>0</v>
      </c>
      <c r="I337" s="176">
        <f t="shared" ref="I337:I340" si="55">+G337+H337</f>
        <v>0</v>
      </c>
      <c r="J337" s="206"/>
      <c r="Q337" s="166"/>
    </row>
    <row r="338" spans="2:17" x14ac:dyDescent="0.2">
      <c r="B338" s="1104">
        <v>2017</v>
      </c>
      <c r="C338" s="1105"/>
      <c r="D338" s="1105">
        <v>2016</v>
      </c>
      <c r="E338" s="1106"/>
      <c r="F338" s="275"/>
      <c r="G338" s="176">
        <f t="shared" si="53"/>
        <v>0</v>
      </c>
      <c r="H338" s="176">
        <f t="shared" si="54"/>
        <v>0</v>
      </c>
      <c r="I338" s="176">
        <f t="shared" si="55"/>
        <v>0</v>
      </c>
      <c r="J338" s="206"/>
      <c r="Q338" s="166"/>
    </row>
    <row r="339" spans="2:17" x14ac:dyDescent="0.2">
      <c r="B339" s="1104">
        <v>2018</v>
      </c>
      <c r="C339" s="1105"/>
      <c r="D339" s="1105"/>
      <c r="E339" s="1106"/>
      <c r="F339" s="275"/>
      <c r="G339" s="176">
        <f t="shared" si="53"/>
        <v>0</v>
      </c>
      <c r="H339" s="176">
        <f t="shared" si="54"/>
        <v>0</v>
      </c>
      <c r="I339" s="176">
        <f t="shared" si="55"/>
        <v>0</v>
      </c>
      <c r="J339" s="206"/>
      <c r="Q339" s="166"/>
    </row>
    <row r="340" spans="2:17" x14ac:dyDescent="0.2">
      <c r="B340" s="1104">
        <v>2019</v>
      </c>
      <c r="C340" s="1105"/>
      <c r="D340" s="1105"/>
      <c r="E340" s="1106"/>
      <c r="F340" s="275"/>
      <c r="G340" s="176">
        <f>K169</f>
        <v>0</v>
      </c>
      <c r="H340" s="176">
        <f t="shared" si="54"/>
        <v>0</v>
      </c>
      <c r="I340" s="176">
        <f t="shared" si="55"/>
        <v>0</v>
      </c>
      <c r="J340" s="206"/>
      <c r="Q340" s="166"/>
    </row>
    <row r="341" spans="2:17" s="273" customFormat="1" x14ac:dyDescent="0.2">
      <c r="G341" s="276">
        <f>SUM(G336:G340)</f>
        <v>0</v>
      </c>
      <c r="H341" s="276">
        <f>SUM(H336:H340)</f>
        <v>0</v>
      </c>
      <c r="I341" s="276">
        <f>SUM(I336:I340)</f>
        <v>0</v>
      </c>
    </row>
    <row r="342" spans="2:17" x14ac:dyDescent="0.2">
      <c r="Q342" s="166"/>
    </row>
    <row r="343" spans="2:17" x14ac:dyDescent="0.2">
      <c r="B343" s="273" t="s">
        <v>139</v>
      </c>
      <c r="F343" s="810">
        <v>2022</v>
      </c>
      <c r="Q343" s="166"/>
    </row>
    <row r="344" spans="2:17" x14ac:dyDescent="0.2">
      <c r="Q344" s="166"/>
    </row>
    <row r="345" spans="2:17" ht="78" customHeight="1" x14ac:dyDescent="0.2">
      <c r="B345" s="1101" t="s">
        <v>140</v>
      </c>
      <c r="C345" s="1102"/>
      <c r="D345" s="1102"/>
      <c r="E345" s="1103"/>
      <c r="F345" s="274"/>
      <c r="G345" s="165" t="str">
        <f>"Nog af te bouwen regulatoir saldo einde "&amp;F343-1</f>
        <v>Nog af te bouwen regulatoir saldo einde 2021</v>
      </c>
      <c r="H345" s="165" t="str">
        <f>"50% van het oorspronkelijk regulatoir saldo door te rekenen volgens de tariefmethodologie in het boekjaar "&amp;F343</f>
        <v>50% van het oorspronkelijk regulatoir saldo door te rekenen volgens de tariefmethodologie in het boekjaar 2022</v>
      </c>
      <c r="I345" s="165" t="str">
        <f>"Nog af te bouwen regulatoir saldo einde "&amp;F343</f>
        <v>Nog af te bouwen regulatoir saldo einde 2022</v>
      </c>
      <c r="J345" s="206"/>
      <c r="Q345" s="166"/>
    </row>
    <row r="346" spans="2:17" x14ac:dyDescent="0.2">
      <c r="B346" s="1104">
        <v>2015</v>
      </c>
      <c r="C346" s="1105"/>
      <c r="D346" s="1105"/>
      <c r="E346" s="1106"/>
      <c r="F346" s="275"/>
      <c r="G346" s="176">
        <f>+I336</f>
        <v>0</v>
      </c>
      <c r="H346" s="176">
        <f>-G336*0.5</f>
        <v>0</v>
      </c>
      <c r="I346" s="176">
        <f>+G346+H346</f>
        <v>0</v>
      </c>
      <c r="J346" s="206"/>
      <c r="Q346" s="166"/>
    </row>
    <row r="347" spans="2:17" x14ac:dyDescent="0.2">
      <c r="B347" s="1104">
        <v>2016</v>
      </c>
      <c r="C347" s="1105"/>
      <c r="D347" s="1105"/>
      <c r="E347" s="1106"/>
      <c r="F347" s="275"/>
      <c r="G347" s="176">
        <f t="shared" ref="G347:G350" si="56">+I337</f>
        <v>0</v>
      </c>
      <c r="H347" s="176">
        <f t="shared" ref="H347:H350" si="57">-G337*0.5</f>
        <v>0</v>
      </c>
      <c r="I347" s="176">
        <f t="shared" ref="I347:I350" si="58">+G347+H347</f>
        <v>0</v>
      </c>
      <c r="J347" s="206"/>
      <c r="Q347" s="166"/>
    </row>
    <row r="348" spans="2:17" x14ac:dyDescent="0.2">
      <c r="B348" s="1104">
        <v>2017</v>
      </c>
      <c r="C348" s="1105"/>
      <c r="D348" s="1105">
        <v>2016</v>
      </c>
      <c r="E348" s="1106"/>
      <c r="F348" s="275"/>
      <c r="G348" s="176">
        <f t="shared" si="56"/>
        <v>0</v>
      </c>
      <c r="H348" s="176">
        <f t="shared" si="57"/>
        <v>0</v>
      </c>
      <c r="I348" s="176">
        <f t="shared" si="58"/>
        <v>0</v>
      </c>
      <c r="J348" s="206"/>
      <c r="Q348" s="166"/>
    </row>
    <row r="349" spans="2:17" x14ac:dyDescent="0.2">
      <c r="B349" s="1104">
        <v>2018</v>
      </c>
      <c r="C349" s="1105"/>
      <c r="D349" s="1105"/>
      <c r="E349" s="1106"/>
      <c r="F349" s="275"/>
      <c r="G349" s="176">
        <f t="shared" si="56"/>
        <v>0</v>
      </c>
      <c r="H349" s="176">
        <f t="shared" si="57"/>
        <v>0</v>
      </c>
      <c r="I349" s="176">
        <f t="shared" si="58"/>
        <v>0</v>
      </c>
      <c r="J349" s="206"/>
      <c r="Q349" s="166"/>
    </row>
    <row r="350" spans="2:17" x14ac:dyDescent="0.2">
      <c r="B350" s="1104">
        <v>2019</v>
      </c>
      <c r="C350" s="1105"/>
      <c r="D350" s="1105"/>
      <c r="E350" s="1106"/>
      <c r="F350" s="275"/>
      <c r="G350" s="176">
        <f t="shared" si="56"/>
        <v>0</v>
      </c>
      <c r="H350" s="176">
        <f t="shared" si="57"/>
        <v>0</v>
      </c>
      <c r="I350" s="176">
        <f t="shared" si="58"/>
        <v>0</v>
      </c>
      <c r="J350" s="206"/>
      <c r="Q350" s="166"/>
    </row>
    <row r="351" spans="2:17" x14ac:dyDescent="0.2">
      <c r="B351" s="1104">
        <v>2020</v>
      </c>
      <c r="C351" s="1105"/>
      <c r="D351" s="1105"/>
      <c r="E351" s="1106"/>
      <c r="F351" s="275"/>
      <c r="G351" s="176">
        <f>L170</f>
        <v>0</v>
      </c>
      <c r="H351" s="176">
        <f t="shared" ref="H351" si="59">-G351*0.5</f>
        <v>0</v>
      </c>
      <c r="I351" s="176">
        <f t="shared" ref="I351" si="60">+G351+H351</f>
        <v>0</v>
      </c>
      <c r="J351" s="206"/>
      <c r="Q351" s="166"/>
    </row>
    <row r="352" spans="2:17" s="273" customFormat="1" x14ac:dyDescent="0.2">
      <c r="G352" s="276">
        <f>SUM(G346:G351)</f>
        <v>0</v>
      </c>
      <c r="H352" s="276">
        <f t="shared" ref="H352:I352" si="61">SUM(H346:H351)</f>
        <v>0</v>
      </c>
      <c r="I352" s="276">
        <f t="shared" si="61"/>
        <v>0</v>
      </c>
    </row>
    <row r="353" spans="2:17" x14ac:dyDescent="0.2">
      <c r="Q353" s="166"/>
    </row>
    <row r="354" spans="2:17" x14ac:dyDescent="0.2">
      <c r="B354" s="273" t="s">
        <v>139</v>
      </c>
      <c r="F354" s="810">
        <v>2023</v>
      </c>
      <c r="Q354" s="166"/>
    </row>
    <row r="355" spans="2:17" x14ac:dyDescent="0.2">
      <c r="Q355" s="166"/>
    </row>
    <row r="356" spans="2:17" ht="78" customHeight="1" x14ac:dyDescent="0.2">
      <c r="B356" s="1101" t="s">
        <v>140</v>
      </c>
      <c r="C356" s="1102"/>
      <c r="D356" s="1102"/>
      <c r="E356" s="1103"/>
      <c r="F356" s="274"/>
      <c r="G356" s="165" t="str">
        <f>"Nog af te bouwen regulatoir saldo einde "&amp;F354-1</f>
        <v>Nog af te bouwen regulatoir saldo einde 2022</v>
      </c>
      <c r="H356" s="165" t="str">
        <f>"50% van het oorspronkelijk regulatoir saldo door te rekenen volgens de tariefmethodologie in het boekjaar "&amp;F354</f>
        <v>50% van het oorspronkelijk regulatoir saldo door te rekenen volgens de tariefmethodologie in het boekjaar 2023</v>
      </c>
      <c r="I356" s="165" t="str">
        <f>"Nog af te bouwen regulatoir saldo einde "&amp;F354</f>
        <v>Nog af te bouwen regulatoir saldo einde 2023</v>
      </c>
      <c r="J356" s="206"/>
      <c r="Q356" s="166"/>
    </row>
    <row r="357" spans="2:17" x14ac:dyDescent="0.2">
      <c r="B357" s="1104">
        <v>2020</v>
      </c>
      <c r="C357" s="1105"/>
      <c r="D357" s="1105"/>
      <c r="E357" s="1106"/>
      <c r="F357" s="275"/>
      <c r="G357" s="176">
        <f>+I351</f>
        <v>0</v>
      </c>
      <c r="H357" s="176">
        <f>-G351*0.5</f>
        <v>0</v>
      </c>
      <c r="I357" s="176">
        <f t="shared" ref="I357" si="62">+G357+H357</f>
        <v>0</v>
      </c>
      <c r="J357" s="206"/>
      <c r="Q357" s="166"/>
    </row>
    <row r="358" spans="2:17" x14ac:dyDescent="0.2">
      <c r="B358" s="1104">
        <v>2021</v>
      </c>
      <c r="C358" s="1105"/>
      <c r="D358" s="1105"/>
      <c r="E358" s="1106"/>
      <c r="F358" s="275"/>
      <c r="G358" s="176">
        <f>M171</f>
        <v>0</v>
      </c>
      <c r="H358" s="176">
        <f t="shared" ref="H358" si="63">-G358*0.5</f>
        <v>0</v>
      </c>
      <c r="I358" s="176">
        <f t="shared" ref="I358" si="64">+G358+H358</f>
        <v>0</v>
      </c>
      <c r="J358" s="206"/>
      <c r="Q358" s="166"/>
    </row>
    <row r="359" spans="2:17" s="273" customFormat="1" x14ac:dyDescent="0.2">
      <c r="G359" s="276">
        <f>SUM(G357:G358)</f>
        <v>0</v>
      </c>
      <c r="H359" s="276">
        <f>SUM(H357:H358)</f>
        <v>0</v>
      </c>
      <c r="I359" s="276">
        <f>SUM(I357:I358)</f>
        <v>0</v>
      </c>
    </row>
    <row r="360" spans="2:17" x14ac:dyDescent="0.2">
      <c r="Q360" s="166"/>
    </row>
    <row r="361" spans="2:17" x14ac:dyDescent="0.2">
      <c r="B361" s="273" t="s">
        <v>139</v>
      </c>
      <c r="F361" s="810">
        <v>2024</v>
      </c>
      <c r="Q361" s="166"/>
    </row>
    <row r="362" spans="2:17" x14ac:dyDescent="0.2">
      <c r="Q362" s="166"/>
    </row>
    <row r="363" spans="2:17" ht="78" customHeight="1" x14ac:dyDescent="0.2">
      <c r="B363" s="1101" t="s">
        <v>140</v>
      </c>
      <c r="C363" s="1102"/>
      <c r="D363" s="1102"/>
      <c r="E363" s="1103"/>
      <c r="F363" s="274"/>
      <c r="G363" s="165" t="str">
        <f>"Nog af te bouwen regulatoir saldo einde "&amp;F361-1</f>
        <v>Nog af te bouwen regulatoir saldo einde 2023</v>
      </c>
      <c r="H363" s="165" t="str">
        <f>"50% van het oorspronkelijk regulatoir saldo door te rekenen volgens de tariefmethodologie in het boekjaar "&amp;F361</f>
        <v>50% van het oorspronkelijk regulatoir saldo door te rekenen volgens de tariefmethodologie in het boekjaar 2024</v>
      </c>
      <c r="I363" s="165" t="str">
        <f>"Nog af te bouwen regulatoir saldo einde "&amp;F361</f>
        <v>Nog af te bouwen regulatoir saldo einde 2024</v>
      </c>
      <c r="J363" s="206"/>
      <c r="Q363" s="166"/>
    </row>
    <row r="364" spans="2:17" x14ac:dyDescent="0.2">
      <c r="B364" s="1104">
        <v>2021</v>
      </c>
      <c r="C364" s="1105"/>
      <c r="D364" s="1105"/>
      <c r="E364" s="1106"/>
      <c r="F364" s="275"/>
      <c r="G364" s="176">
        <f>+I358</f>
        <v>0</v>
      </c>
      <c r="H364" s="176">
        <f>-G358*0.5</f>
        <v>0</v>
      </c>
      <c r="I364" s="176">
        <f t="shared" ref="I364:I365" si="65">+G364+H364</f>
        <v>0</v>
      </c>
      <c r="J364" s="206"/>
      <c r="Q364" s="166"/>
    </row>
    <row r="365" spans="2:17" x14ac:dyDescent="0.2">
      <c r="B365" s="1104">
        <v>2022</v>
      </c>
      <c r="C365" s="1105"/>
      <c r="D365" s="1105"/>
      <c r="E365" s="1106"/>
      <c r="F365" s="275"/>
      <c r="G365" s="176">
        <f>N172</f>
        <v>0</v>
      </c>
      <c r="H365" s="176">
        <f t="shared" ref="H365" si="66">-G365*0.5</f>
        <v>0</v>
      </c>
      <c r="I365" s="176">
        <f t="shared" si="65"/>
        <v>0</v>
      </c>
      <c r="J365" s="206"/>
      <c r="Q365" s="166"/>
    </row>
    <row r="366" spans="2:17" s="273" customFormat="1" x14ac:dyDescent="0.2">
      <c r="G366" s="276">
        <f>SUM(G364:G365)</f>
        <v>0</v>
      </c>
      <c r="H366" s="276">
        <f>SUM(H364:H365)</f>
        <v>0</v>
      </c>
      <c r="I366" s="276">
        <f>SUM(I364:I365)</f>
        <v>0</v>
      </c>
    </row>
    <row r="367" spans="2:17" x14ac:dyDescent="0.2">
      <c r="B367" s="273" t="s">
        <v>201</v>
      </c>
      <c r="Q367" s="166"/>
    </row>
    <row r="368" spans="2:17" x14ac:dyDescent="0.2">
      <c r="B368" s="273" t="s">
        <v>141</v>
      </c>
      <c r="C368" s="216"/>
      <c r="D368" s="216"/>
      <c r="E368" s="216"/>
      <c r="Q368" s="166"/>
    </row>
    <row r="369" spans="2:18" x14ac:dyDescent="0.2">
      <c r="B369" s="273"/>
      <c r="C369" s="216"/>
      <c r="D369" s="216"/>
      <c r="E369" s="216"/>
      <c r="Q369" s="166"/>
    </row>
    <row r="370" spans="2:18" x14ac:dyDescent="0.2">
      <c r="B370" s="275">
        <f>F333</f>
        <v>2021</v>
      </c>
      <c r="C370" s="279">
        <f>+H341</f>
        <v>0</v>
      </c>
      <c r="D370" s="216"/>
      <c r="E370" s="216"/>
      <c r="Q370" s="166"/>
    </row>
    <row r="371" spans="2:18" x14ac:dyDescent="0.2">
      <c r="B371" s="275">
        <v>2022</v>
      </c>
      <c r="C371" s="279">
        <f>+H352</f>
        <v>0</v>
      </c>
      <c r="D371" s="216"/>
      <c r="E371" s="216"/>
      <c r="Q371" s="166"/>
    </row>
    <row r="372" spans="2:18" x14ac:dyDescent="0.2">
      <c r="B372" s="275">
        <v>2023</v>
      </c>
      <c r="C372" s="279">
        <f>+H359</f>
        <v>0</v>
      </c>
      <c r="D372" s="216"/>
      <c r="E372" s="216"/>
      <c r="Q372" s="166"/>
    </row>
    <row r="373" spans="2:18" x14ac:dyDescent="0.2">
      <c r="B373" s="275">
        <v>2024</v>
      </c>
      <c r="C373" s="279">
        <f>+H366</f>
        <v>0</v>
      </c>
      <c r="D373" s="216"/>
      <c r="E373" s="216"/>
      <c r="Q373" s="166"/>
    </row>
    <row r="374" spans="2:18" x14ac:dyDescent="0.2">
      <c r="Q374" s="206"/>
    </row>
    <row r="375" spans="2:18" x14ac:dyDescent="0.2">
      <c r="Q375" s="206"/>
    </row>
    <row r="376" spans="2:18" x14ac:dyDescent="0.2">
      <c r="B376" s="321" t="s">
        <v>347</v>
      </c>
      <c r="C376" s="322"/>
      <c r="D376" s="322"/>
      <c r="E376" s="322"/>
      <c r="F376" s="323"/>
      <c r="G376" s="323"/>
      <c r="H376" s="323"/>
      <c r="I376" s="323"/>
      <c r="J376" s="323"/>
      <c r="K376" s="323"/>
      <c r="L376" s="323"/>
      <c r="M376" s="323"/>
      <c r="N376" s="323"/>
      <c r="O376" s="323"/>
      <c r="P376" s="323"/>
      <c r="Q376" s="324"/>
      <c r="R376" s="323"/>
    </row>
    <row r="377" spans="2:18" x14ac:dyDescent="0.2">
      <c r="Q377" s="206"/>
    </row>
    <row r="378" spans="2:18" x14ac:dyDescent="0.2">
      <c r="B378" s="273" t="s">
        <v>139</v>
      </c>
      <c r="F378" s="810">
        <v>2024</v>
      </c>
      <c r="Q378" s="166"/>
    </row>
    <row r="379" spans="2:18" x14ac:dyDescent="0.2">
      <c r="Q379" s="166"/>
    </row>
    <row r="380" spans="2:18" ht="78" customHeight="1" x14ac:dyDescent="0.2">
      <c r="B380" s="1101" t="s">
        <v>140</v>
      </c>
      <c r="C380" s="1102"/>
      <c r="D380" s="1102"/>
      <c r="E380" s="1103"/>
      <c r="F380" s="274"/>
      <c r="G380" s="165" t="str">
        <f>"Nog af te bouwen regulatoir saldo einde "&amp;F378-1</f>
        <v>Nog af te bouwen regulatoir saldo einde 2023</v>
      </c>
      <c r="H380" s="165" t="str">
        <f>"50% van het oorspronkelijk regulatoir saldo door te rekenen volgens de tariefmethodologie in het boekjaar "&amp;F378</f>
        <v>50% van het oorspronkelijk regulatoir saldo door te rekenen volgens de tariefmethodologie in het boekjaar 2024</v>
      </c>
      <c r="I380" s="165" t="str">
        <f>"Nog af te bouwen regulatoir saldo einde "&amp;F378</f>
        <v>Nog af te bouwen regulatoir saldo einde 2024</v>
      </c>
      <c r="J380" s="206"/>
      <c r="Q380" s="166"/>
    </row>
    <row r="381" spans="2:18" x14ac:dyDescent="0.2">
      <c r="B381" s="1104">
        <v>2022</v>
      </c>
      <c r="C381" s="1105"/>
      <c r="D381" s="1105"/>
      <c r="E381" s="1106"/>
      <c r="F381" s="275"/>
      <c r="G381" s="176">
        <f>N183</f>
        <v>0</v>
      </c>
      <c r="H381" s="176">
        <f t="shared" ref="H381" si="67">-G381*0.5</f>
        <v>0</v>
      </c>
      <c r="I381" s="176">
        <f t="shared" ref="I381" si="68">+G381+H381</f>
        <v>0</v>
      </c>
      <c r="J381" s="206"/>
      <c r="Q381" s="166"/>
    </row>
    <row r="382" spans="2:18" s="273" customFormat="1" x14ac:dyDescent="0.2">
      <c r="G382" s="276">
        <f>SUM(G381:G381)</f>
        <v>0</v>
      </c>
      <c r="H382" s="276">
        <f>SUM(H381:H381)</f>
        <v>0</v>
      </c>
      <c r="I382" s="276">
        <f>SUM(I381:I381)</f>
        <v>0</v>
      </c>
    </row>
    <row r="383" spans="2:18" x14ac:dyDescent="0.2">
      <c r="B383" s="273" t="s">
        <v>347</v>
      </c>
      <c r="C383" s="216"/>
      <c r="D383" s="216"/>
      <c r="E383" s="216"/>
      <c r="Q383" s="166"/>
    </row>
    <row r="384" spans="2:18" x14ac:dyDescent="0.2">
      <c r="B384" s="273" t="s">
        <v>141</v>
      </c>
      <c r="C384" s="216"/>
      <c r="D384" s="216"/>
      <c r="E384" s="216"/>
      <c r="Q384" s="166"/>
    </row>
    <row r="385" spans="2:17" x14ac:dyDescent="0.2">
      <c r="B385" s="273"/>
      <c r="C385" s="216"/>
      <c r="D385" s="216"/>
      <c r="E385" s="216"/>
      <c r="Q385" s="166"/>
    </row>
    <row r="386" spans="2:17" x14ac:dyDescent="0.2">
      <c r="B386" s="336">
        <v>2021</v>
      </c>
      <c r="C386" s="337">
        <v>0</v>
      </c>
      <c r="D386" s="216"/>
      <c r="E386" s="216"/>
      <c r="Q386" s="166"/>
    </row>
    <row r="387" spans="2:17" x14ac:dyDescent="0.2">
      <c r="B387" s="336">
        <v>2022</v>
      </c>
      <c r="C387" s="337">
        <v>0</v>
      </c>
      <c r="D387" s="216"/>
      <c r="E387" s="216"/>
      <c r="Q387" s="166"/>
    </row>
    <row r="388" spans="2:17" x14ac:dyDescent="0.2">
      <c r="B388" s="336">
        <v>2023</v>
      </c>
      <c r="C388" s="337">
        <v>0</v>
      </c>
      <c r="D388" s="216"/>
      <c r="E388" s="216"/>
      <c r="Q388" s="166"/>
    </row>
    <row r="389" spans="2:17" x14ac:dyDescent="0.2">
      <c r="B389" s="275">
        <v>2024</v>
      </c>
      <c r="C389" s="279">
        <f>+H382</f>
        <v>0</v>
      </c>
      <c r="D389" s="216"/>
      <c r="E389" s="216"/>
      <c r="Q389" s="166"/>
    </row>
    <row r="390" spans="2:17" x14ac:dyDescent="0.2">
      <c r="Q390" s="166"/>
    </row>
    <row r="391" spans="2:17" x14ac:dyDescent="0.2">
      <c r="Q391" s="166"/>
    </row>
    <row r="392" spans="2:17" x14ac:dyDescent="0.2">
      <c r="B392" s="321" t="s">
        <v>66</v>
      </c>
      <c r="C392" s="322"/>
      <c r="D392" s="322"/>
      <c r="E392" s="322"/>
      <c r="F392" s="323"/>
      <c r="G392" s="323"/>
      <c r="H392" s="323"/>
      <c r="I392" s="323"/>
      <c r="J392" s="323"/>
      <c r="K392" s="323"/>
      <c r="L392" s="323"/>
      <c r="M392" s="323"/>
      <c r="Q392" s="166"/>
    </row>
    <row r="393" spans="2:17" x14ac:dyDescent="0.2">
      <c r="Q393" s="166"/>
    </row>
    <row r="394" spans="2:17" x14ac:dyDescent="0.2">
      <c r="B394" s="273" t="s">
        <v>139</v>
      </c>
      <c r="F394" s="810">
        <v>2017</v>
      </c>
      <c r="Q394" s="166"/>
    </row>
    <row r="395" spans="2:17" x14ac:dyDescent="0.2">
      <c r="L395" s="206"/>
      <c r="Q395" s="166"/>
    </row>
    <row r="396" spans="2:17" ht="80.099999999999994" customHeight="1" x14ac:dyDescent="0.2">
      <c r="B396" s="1101" t="s">
        <v>140</v>
      </c>
      <c r="C396" s="1102"/>
      <c r="D396" s="1102"/>
      <c r="E396" s="1103"/>
      <c r="F396" s="274"/>
      <c r="G396" s="165" t="str">
        <f>"Nog af te bouwen regulatoir saldo einde "&amp;F394-1</f>
        <v>Nog af te bouwen regulatoir saldo einde 2016</v>
      </c>
      <c r="H396" s="165" t="str">
        <f>"Afbouw oudste openstaande regulatoir saldo vanaf boekjaar "&amp;F394-3&amp;" en vroeger, door aanwending van compensatie met regulatoir saldo ontstaan over boekjaar "&amp;F394-2</f>
        <v>Afbouw oudste openstaande regulatoir saldo vanaf boekjaar 2014 en vroeger, door aanwending van compensatie met regulatoir saldo ontstaan over boekjaar 2015</v>
      </c>
      <c r="I396" s="165" t="str">
        <f>"Nog af te bouwen regulatoir saldo na compensatie einde "&amp;F394-1</f>
        <v>Nog af te bouwen regulatoir saldo na compensatie einde 2016</v>
      </c>
      <c r="J396" s="165" t="str">
        <f>"Aanwending van 60% van het geaccumuleerd regulatoir saldo door te rekenen volgens de tariefmethodologie in het boekjaar "&amp;F394</f>
        <v>Aanwending van 60% van het geaccumuleerd regulatoir saldo door te rekenen volgens de tariefmethodologie in het boekjaar 2017</v>
      </c>
      <c r="K396" s="165" t="str">
        <f>"Nog af te bouwen regulatoir saldo einde "&amp;F394</f>
        <v>Nog af te bouwen regulatoir saldo einde 2017</v>
      </c>
      <c r="L396" s="206"/>
      <c r="Q396" s="166"/>
    </row>
    <row r="397" spans="2:17" x14ac:dyDescent="0.2">
      <c r="B397" s="1104">
        <v>2015</v>
      </c>
      <c r="C397" s="1105"/>
      <c r="D397" s="1105"/>
      <c r="E397" s="1106"/>
      <c r="F397" s="275"/>
      <c r="G397" s="176">
        <f>G187</f>
        <v>0</v>
      </c>
      <c r="H397" s="521">
        <v>0</v>
      </c>
      <c r="I397" s="176">
        <f>+G397+H397</f>
        <v>0</v>
      </c>
      <c r="J397" s="176">
        <f>-I397*0.6</f>
        <v>0</v>
      </c>
      <c r="K397" s="811">
        <f>+J397+G397</f>
        <v>0</v>
      </c>
      <c r="L397" s="206"/>
      <c r="Q397" s="166"/>
    </row>
    <row r="398" spans="2:17" x14ac:dyDescent="0.2">
      <c r="L398" s="206"/>
      <c r="Q398" s="166"/>
    </row>
    <row r="399" spans="2:17" x14ac:dyDescent="0.2">
      <c r="B399" s="273" t="s">
        <v>139</v>
      </c>
      <c r="F399" s="810">
        <v>2018</v>
      </c>
      <c r="Q399" s="166"/>
    </row>
    <row r="400" spans="2:17" x14ac:dyDescent="0.2">
      <c r="Q400" s="166"/>
    </row>
    <row r="401" spans="2:17" ht="80.099999999999994" customHeight="1" x14ac:dyDescent="0.2">
      <c r="B401" s="1101" t="s">
        <v>140</v>
      </c>
      <c r="C401" s="1102"/>
      <c r="D401" s="1102"/>
      <c r="E401" s="1103"/>
      <c r="F401" s="274"/>
      <c r="G401" s="165" t="str">
        <f>"Nog af te bouwen regulatoir saldo einde "&amp;F399-1</f>
        <v>Nog af te bouwen regulatoir saldo einde 2017</v>
      </c>
      <c r="H401" s="165" t="str">
        <f>"Afbouw oudste openstaande regulatoir saldo vanaf boekjaar "&amp;F399-3&amp;" en vroeger, door aanwending van compensatie met regulatoir saldo ontstaan over boekjaar "&amp;F399-2</f>
        <v>Afbouw oudste openstaande regulatoir saldo vanaf boekjaar 2015 en vroeger, door aanwending van compensatie met regulatoir saldo ontstaan over boekjaar 2016</v>
      </c>
      <c r="I401" s="165" t="str">
        <f>"Nog af te bouwen regulatoir saldo na compensatie einde "&amp;F399-1</f>
        <v>Nog af te bouwen regulatoir saldo na compensatie einde 2017</v>
      </c>
      <c r="J401" s="165" t="str">
        <f>"60% van het geaccumuleerd regulatoir saldo door te rekenen volgens de tariefmethodologie in het boekjaar "&amp;F399</f>
        <v>60% van het geaccumuleerd regulatoir saldo door te rekenen volgens de tariefmethodologie in het boekjaar 2018</v>
      </c>
      <c r="K401" s="165" t="str">
        <f>"Aanwending van het 60% van het geaccumuleerd regulatoir saldo door te rekenen volgens de tariefmethodologie in het boekjaar "&amp;F399</f>
        <v>Aanwending van het 60% van het geaccumuleerd regulatoir saldo door te rekenen volgens de tariefmethodologie in het boekjaar 2018</v>
      </c>
      <c r="L401" s="165" t="str">
        <f>"Totale afbouw over "&amp;F399</f>
        <v>Totale afbouw over 2018</v>
      </c>
      <c r="M401" s="165" t="str">
        <f>"Nog af te bouwen regulatoir saldo einde "&amp;F399</f>
        <v>Nog af te bouwen regulatoir saldo einde 2018</v>
      </c>
      <c r="N401" s="206"/>
      <c r="Q401" s="166"/>
    </row>
    <row r="402" spans="2:17" x14ac:dyDescent="0.2">
      <c r="B402" s="1104">
        <v>2015</v>
      </c>
      <c r="C402" s="1105"/>
      <c r="D402" s="1105"/>
      <c r="E402" s="1106"/>
      <c r="F402" s="275"/>
      <c r="G402" s="176">
        <f>K397</f>
        <v>0</v>
      </c>
      <c r="H402" s="521">
        <f>IF(SIGN(G403*K397)&lt;0,IF(G402&lt;&gt;0,-SIGN(G402)*MIN(ABS(G403),ABS(G402)),0),0)</f>
        <v>0</v>
      </c>
      <c r="I402" s="176">
        <f>+G402+H402</f>
        <v>0</v>
      </c>
      <c r="J402" s="806"/>
      <c r="K402" s="521">
        <f>-MIN(ABS(I402),ABS(J404))*SIGN(I402)</f>
        <v>0</v>
      </c>
      <c r="L402" s="813">
        <f>+K402+H402</f>
        <v>0</v>
      </c>
      <c r="M402" s="176">
        <f>+I402+K402</f>
        <v>0</v>
      </c>
      <c r="N402" s="206"/>
      <c r="Q402" s="166"/>
    </row>
    <row r="403" spans="2:17" x14ac:dyDescent="0.2">
      <c r="B403" s="1104">
        <v>2016</v>
      </c>
      <c r="C403" s="1105"/>
      <c r="D403" s="1105"/>
      <c r="E403" s="1106"/>
      <c r="F403" s="275"/>
      <c r="G403" s="176">
        <f>H188</f>
        <v>0</v>
      </c>
      <c r="H403" s="813">
        <f>IF(SIGN(G403*K397)&lt;0,-H402,0)</f>
        <v>0</v>
      </c>
      <c r="I403" s="176">
        <f>+G403+H403</f>
        <v>0</v>
      </c>
      <c r="J403" s="806"/>
      <c r="K403" s="521">
        <f>-MIN(ABS(I403),ABS(J404-K402))*SIGN(I403)</f>
        <v>0</v>
      </c>
      <c r="L403" s="813">
        <f>+K403+H403</f>
        <v>0</v>
      </c>
      <c r="M403" s="176">
        <f>+I403+K403</f>
        <v>0</v>
      </c>
      <c r="N403" s="206"/>
      <c r="Q403" s="166"/>
    </row>
    <row r="404" spans="2:17" s="273" customFormat="1" x14ac:dyDescent="0.2">
      <c r="G404" s="276">
        <f>SUM(G402:G403)</f>
        <v>0</v>
      </c>
      <c r="H404" s="168">
        <f>SUM(H402:H403)</f>
        <v>0</v>
      </c>
      <c r="I404" s="276">
        <f>SUM(I402:I403)</f>
        <v>0</v>
      </c>
      <c r="J404" s="276">
        <f>-I404*0.6</f>
        <v>0</v>
      </c>
      <c r="K404" s="168">
        <f>SUM(K402:K403)</f>
        <v>0</v>
      </c>
      <c r="L404" s="528"/>
      <c r="M404" s="276">
        <f>SUM(M402:M403)</f>
        <v>0</v>
      </c>
    </row>
    <row r="405" spans="2:17" x14ac:dyDescent="0.2">
      <c r="Q405" s="166"/>
    </row>
    <row r="406" spans="2:17" x14ac:dyDescent="0.2">
      <c r="B406" s="273" t="s">
        <v>139</v>
      </c>
      <c r="F406" s="810">
        <v>2019</v>
      </c>
      <c r="Q406" s="166"/>
    </row>
    <row r="407" spans="2:17" x14ac:dyDescent="0.2">
      <c r="Q407" s="166"/>
    </row>
    <row r="408" spans="2:17" ht="80.099999999999994" customHeight="1" x14ac:dyDescent="0.2">
      <c r="B408" s="1101" t="s">
        <v>140</v>
      </c>
      <c r="C408" s="1102"/>
      <c r="D408" s="1102"/>
      <c r="E408" s="1103"/>
      <c r="F408" s="274"/>
      <c r="G408" s="165" t="str">
        <f>"Nog af te bouwen regulatoir saldo einde "&amp;F406-1</f>
        <v>Nog af te bouwen regulatoir saldo einde 2018</v>
      </c>
      <c r="H408" s="165" t="str">
        <f>"Afbouw oudste openstaande regulatoir saldo vanaf boekjaar "&amp;F406-3&amp;" en vroeger, door aanwending van compensatie met regulatoir saldo ontstaan over boekjaar "&amp;F406-2</f>
        <v>Afbouw oudste openstaande regulatoir saldo vanaf boekjaar 2016 en vroeger, door aanwending van compensatie met regulatoir saldo ontstaan over boekjaar 2017</v>
      </c>
      <c r="I408" s="165" t="str">
        <f>"Nog af te bouwen regulatoir saldo na compensatie einde "&amp;F406-1</f>
        <v>Nog af te bouwen regulatoir saldo na compensatie einde 2018</v>
      </c>
      <c r="J408" s="165" t="str">
        <f>"60% van het geaccumuleerd regulatoir saldo door te rekenen volgens de tariefmethodologie in het boekjaar "&amp;F406</f>
        <v>60% van het geaccumuleerd regulatoir saldo door te rekenen volgens de tariefmethodologie in het boekjaar 2019</v>
      </c>
      <c r="K408" s="165" t="str">
        <f>"Aanwending van het 60% van het geaccumuleerd regulatoir saldo door te rekenen volgens de tariefmethodologie in het boekjaar "&amp;F406</f>
        <v>Aanwending van het 60% van het geaccumuleerd regulatoir saldo door te rekenen volgens de tariefmethodologie in het boekjaar 2019</v>
      </c>
      <c r="L408" s="165" t="str">
        <f>"Totale afbouw over "&amp;F406</f>
        <v>Totale afbouw over 2019</v>
      </c>
      <c r="M408" s="165" t="str">
        <f>"Nog af te bouwen regulatoir saldo einde "&amp;F406</f>
        <v>Nog af te bouwen regulatoir saldo einde 2019</v>
      </c>
      <c r="N408" s="206"/>
      <c r="Q408" s="166"/>
    </row>
    <row r="409" spans="2:17" x14ac:dyDescent="0.2">
      <c r="B409" s="1104">
        <v>2015</v>
      </c>
      <c r="C409" s="1105"/>
      <c r="D409" s="1105"/>
      <c r="E409" s="1106"/>
      <c r="F409" s="275"/>
      <c r="G409" s="176">
        <f>+M402</f>
        <v>0</v>
      </c>
      <c r="H409" s="813">
        <f>IF(SIGN(G411*M404)&lt;0,IF(G409&lt;&gt;0,-SIGN(G409)*MIN(ABS(G411),ABS(G409)),0),0)</f>
        <v>0</v>
      </c>
      <c r="I409" s="176">
        <f>+G409+H409</f>
        <v>0</v>
      </c>
      <c r="J409" s="806"/>
      <c r="K409" s="521">
        <f>-MIN(ABS(I409),ABS(J412))*SIGN(I409)</f>
        <v>0</v>
      </c>
      <c r="L409" s="813">
        <f>+K409+H409</f>
        <v>0</v>
      </c>
      <c r="M409" s="176">
        <f>+I409+K409</f>
        <v>0</v>
      </c>
      <c r="N409" s="206"/>
      <c r="Q409" s="166"/>
    </row>
    <row r="410" spans="2:17" x14ac:dyDescent="0.2">
      <c r="B410" s="1104">
        <v>2016</v>
      </c>
      <c r="C410" s="1105"/>
      <c r="D410" s="1105">
        <v>2016</v>
      </c>
      <c r="E410" s="1106"/>
      <c r="F410" s="275"/>
      <c r="G410" s="176">
        <f>+M403</f>
        <v>0</v>
      </c>
      <c r="H410" s="813">
        <f>IF(SIGN(G411*M404)&lt;0,IF(G410&lt;&gt;0,-SIGN(G410)*MIN(ABS(G411-H409),ABS(G410)),0),0)</f>
        <v>0</v>
      </c>
      <c r="I410" s="176">
        <f>+G410+H410</f>
        <v>0</v>
      </c>
      <c r="J410" s="806"/>
      <c r="K410" s="521">
        <f>-MIN(ABS(I410),ABS(J412-K409))*SIGN(I410)</f>
        <v>0</v>
      </c>
      <c r="L410" s="813">
        <f>+K410+H410</f>
        <v>0</v>
      </c>
      <c r="M410" s="176">
        <f>+I410+K410</f>
        <v>0</v>
      </c>
      <c r="N410" s="206"/>
      <c r="Q410" s="166"/>
    </row>
    <row r="411" spans="2:17" x14ac:dyDescent="0.2">
      <c r="B411" s="1104">
        <v>2017</v>
      </c>
      <c r="C411" s="1105"/>
      <c r="D411" s="1105"/>
      <c r="E411" s="1106"/>
      <c r="F411" s="275"/>
      <c r="G411" s="176">
        <f>I189</f>
        <v>0</v>
      </c>
      <c r="H411" s="813">
        <f>IF(SIGN(G411*M404)&lt;0,-SUM(H409:H410),0)</f>
        <v>0</v>
      </c>
      <c r="I411" s="176">
        <f>+G411+H411</f>
        <v>0</v>
      </c>
      <c r="J411" s="806"/>
      <c r="K411" s="521">
        <f>-MIN(ABS(I411),ABS(J412-K409-K410))*SIGN(I411)</f>
        <v>0</v>
      </c>
      <c r="L411" s="813">
        <f>+K411+H411</f>
        <v>0</v>
      </c>
      <c r="M411" s="176">
        <f>+I411+K411</f>
        <v>0</v>
      </c>
      <c r="N411" s="206"/>
      <c r="Q411" s="166"/>
    </row>
    <row r="412" spans="2:17" s="273" customFormat="1" x14ac:dyDescent="0.2">
      <c r="G412" s="276">
        <f>SUM(G409:G411)</f>
        <v>0</v>
      </c>
      <c r="H412" s="168">
        <f>SUM(H409:H411)</f>
        <v>0</v>
      </c>
      <c r="I412" s="276">
        <f>SUM(I409:I411)</f>
        <v>0</v>
      </c>
      <c r="J412" s="276">
        <f>-I412*0.6</f>
        <v>0</v>
      </c>
      <c r="K412" s="168">
        <f>SUM(K409:K411)</f>
        <v>0</v>
      </c>
      <c r="L412" s="528"/>
      <c r="M412" s="276">
        <f>SUM(M409:M411)</f>
        <v>0</v>
      </c>
    </row>
    <row r="413" spans="2:17" x14ac:dyDescent="0.2">
      <c r="H413" s="214"/>
      <c r="Q413" s="166"/>
    </row>
    <row r="414" spans="2:17" x14ac:dyDescent="0.2">
      <c r="B414" s="273" t="s">
        <v>139</v>
      </c>
      <c r="F414" s="810">
        <v>2020</v>
      </c>
      <c r="Q414" s="166"/>
    </row>
    <row r="415" spans="2:17" x14ac:dyDescent="0.2">
      <c r="Q415" s="166"/>
    </row>
    <row r="416" spans="2:17" ht="80.099999999999994" customHeight="1" x14ac:dyDescent="0.2">
      <c r="B416" s="1101" t="s">
        <v>140</v>
      </c>
      <c r="C416" s="1102"/>
      <c r="D416" s="1102"/>
      <c r="E416" s="1103"/>
      <c r="F416" s="274"/>
      <c r="G416" s="165" t="str">
        <f>"Nog af te bouwen regulatoir saldo einde "&amp;F414-1</f>
        <v>Nog af te bouwen regulatoir saldo einde 2019</v>
      </c>
      <c r="H416" s="165" t="str">
        <f>"Afbouw oudste openstaande regulatoir saldo vanaf boekjaar "&amp;F414-3&amp;" en vroeger, door aanwending van compensatie met regulatoir saldo ontstaan over boekjaar "&amp;F414-2</f>
        <v>Afbouw oudste openstaande regulatoir saldo vanaf boekjaar 2017 en vroeger, door aanwending van compensatie met regulatoir saldo ontstaan over boekjaar 2018</v>
      </c>
      <c r="I416" s="165" t="str">
        <f>"Nog af te bouwen regulatoir saldo na compensatie einde "&amp;F414-1</f>
        <v>Nog af te bouwen regulatoir saldo na compensatie einde 2019</v>
      </c>
      <c r="J416" s="165" t="str">
        <f>"60% van het geaccumuleerd regulatoir saldo door te rekenen volgens de tariefmethodologie in het boekjaar "&amp;F414</f>
        <v>60% van het geaccumuleerd regulatoir saldo door te rekenen volgens de tariefmethodologie in het boekjaar 2020</v>
      </c>
      <c r="K416" s="165" t="str">
        <f>"Aanwending van het 60% van het geaccumuleerd regulatoir saldo door te rekenen volgens de tariefmethodologie in het boekjaar "&amp;F414</f>
        <v>Aanwending van het 60% van het geaccumuleerd regulatoir saldo door te rekenen volgens de tariefmethodologie in het boekjaar 2020</v>
      </c>
      <c r="L416" s="165" t="str">
        <f>"Totale afbouw over "&amp;F414</f>
        <v>Totale afbouw over 2020</v>
      </c>
      <c r="M416" s="165" t="str">
        <f>"Nog af te bouwen regulatoir saldo einde "&amp;F414</f>
        <v>Nog af te bouwen regulatoir saldo einde 2020</v>
      </c>
      <c r="N416" s="206"/>
      <c r="Q416" s="166"/>
    </row>
    <row r="417" spans="2:17" x14ac:dyDescent="0.2">
      <c r="B417" s="1104">
        <v>2015</v>
      </c>
      <c r="C417" s="1105"/>
      <c r="D417" s="1105"/>
      <c r="E417" s="1106"/>
      <c r="F417" s="275"/>
      <c r="G417" s="176">
        <f>+M409</f>
        <v>0</v>
      </c>
      <c r="H417" s="813">
        <f>IF(SIGN(G420*M412)&lt;0,IF(G417&lt;&gt;0,-SIGN(G417)*MIN(ABS(G420),ABS(G417)),0),0)</f>
        <v>0</v>
      </c>
      <c r="I417" s="176">
        <f>+G417+H417</f>
        <v>0</v>
      </c>
      <c r="J417" s="806"/>
      <c r="K417" s="521">
        <f>-MIN(ABS(I417),ABS(J421))*SIGN(I417)</f>
        <v>0</v>
      </c>
      <c r="L417" s="813">
        <f>+K417+H417</f>
        <v>0</v>
      </c>
      <c r="M417" s="176">
        <f>+I417+K417</f>
        <v>0</v>
      </c>
      <c r="N417" s="206"/>
      <c r="Q417" s="166"/>
    </row>
    <row r="418" spans="2:17" x14ac:dyDescent="0.2">
      <c r="B418" s="1104">
        <v>2016</v>
      </c>
      <c r="C418" s="1105"/>
      <c r="D418" s="1105"/>
      <c r="E418" s="1106"/>
      <c r="F418" s="275"/>
      <c r="G418" s="176">
        <f>+M410</f>
        <v>0</v>
      </c>
      <c r="H418" s="813">
        <f>IF(SIGN(G420*M412)&lt;0,IF(G418&lt;&gt;0,-SIGN(G418)*MIN(ABS(G420-H417),ABS(G418)),0),0)</f>
        <v>0</v>
      </c>
      <c r="I418" s="176">
        <f>+G418+H418</f>
        <v>0</v>
      </c>
      <c r="J418" s="806"/>
      <c r="K418" s="521">
        <f>-MIN(ABS(I418),ABS(J421-K417))*SIGN(I418)</f>
        <v>0</v>
      </c>
      <c r="L418" s="813">
        <f>+K418+H418</f>
        <v>0</v>
      </c>
      <c r="M418" s="176">
        <f>+I418+K418</f>
        <v>0</v>
      </c>
      <c r="N418" s="206"/>
      <c r="Q418" s="166"/>
    </row>
    <row r="419" spans="2:17" x14ac:dyDescent="0.2">
      <c r="B419" s="1104">
        <v>2017</v>
      </c>
      <c r="C419" s="1105"/>
      <c r="D419" s="1105">
        <v>2016</v>
      </c>
      <c r="E419" s="1106"/>
      <c r="F419" s="275"/>
      <c r="G419" s="176">
        <f>+M411</f>
        <v>0</v>
      </c>
      <c r="H419" s="813">
        <f>IF(SIGN(G420*M412)&lt;0,IF(G419&lt;&gt;0,-SIGN(G419)*MIN(ABS(G420-H417-H418),ABS(G419)),0),0)</f>
        <v>0</v>
      </c>
      <c r="I419" s="176">
        <f>+G419+H419</f>
        <v>0</v>
      </c>
      <c r="J419" s="806"/>
      <c r="K419" s="521">
        <f>-MIN(ABS(I419),ABS(J421-K417-K418))*SIGN(I419)</f>
        <v>0</v>
      </c>
      <c r="L419" s="813">
        <f>+K419+H419</f>
        <v>0</v>
      </c>
      <c r="M419" s="176">
        <f>+I419+K419</f>
        <v>0</v>
      </c>
      <c r="N419" s="206"/>
      <c r="Q419" s="166"/>
    </row>
    <row r="420" spans="2:17" x14ac:dyDescent="0.2">
      <c r="B420" s="1104">
        <v>2018</v>
      </c>
      <c r="C420" s="1105"/>
      <c r="D420" s="1105"/>
      <c r="E420" s="1106"/>
      <c r="F420" s="275"/>
      <c r="G420" s="176">
        <f>J190</f>
        <v>0</v>
      </c>
      <c r="H420" s="813">
        <f>IF(SIGN(G420*M412)&lt;0,-SUM(H417:H419),0)</f>
        <v>0</v>
      </c>
      <c r="I420" s="176">
        <f>+G420+H420</f>
        <v>0</v>
      </c>
      <c r="J420" s="806"/>
      <c r="K420" s="521">
        <f>-MIN(ABS(I420),ABS(J421-K417-K418-K419))*SIGN(I420)</f>
        <v>0</v>
      </c>
      <c r="L420" s="813">
        <f>+K420+H420</f>
        <v>0</v>
      </c>
      <c r="M420" s="176">
        <f>+I420+K420</f>
        <v>0</v>
      </c>
      <c r="N420" s="206"/>
      <c r="Q420" s="166"/>
    </row>
    <row r="421" spans="2:17" s="273" customFormat="1" x14ac:dyDescent="0.2">
      <c r="G421" s="276">
        <f>SUM(G417:G420)</f>
        <v>0</v>
      </c>
      <c r="H421" s="168">
        <f>SUM(H417:H420)</f>
        <v>0</v>
      </c>
      <c r="I421" s="276">
        <f>SUM(I417:I420)</f>
        <v>0</v>
      </c>
      <c r="J421" s="276">
        <f>-I421*0.6</f>
        <v>0</v>
      </c>
      <c r="K421" s="168">
        <f>SUM(K417:K420)</f>
        <v>0</v>
      </c>
      <c r="L421" s="168"/>
      <c r="M421" s="276">
        <f>SUM(M417:M420)</f>
        <v>0</v>
      </c>
    </row>
    <row r="422" spans="2:17" x14ac:dyDescent="0.2">
      <c r="Q422" s="166"/>
    </row>
    <row r="423" spans="2:17" x14ac:dyDescent="0.2">
      <c r="B423" s="273" t="s">
        <v>139</v>
      </c>
      <c r="F423" s="810">
        <v>2021</v>
      </c>
      <c r="Q423" s="166"/>
    </row>
    <row r="424" spans="2:17" x14ac:dyDescent="0.2">
      <c r="Q424" s="166"/>
    </row>
    <row r="425" spans="2:17" ht="78" customHeight="1" x14ac:dyDescent="0.2">
      <c r="B425" s="1101" t="s">
        <v>140</v>
      </c>
      <c r="C425" s="1102"/>
      <c r="D425" s="1102"/>
      <c r="E425" s="1103"/>
      <c r="F425" s="274"/>
      <c r="G425" s="165" t="str">
        <f>"Nog af te bouwen regulatoir saldo einde "&amp;F423-1</f>
        <v>Nog af te bouwen regulatoir saldo einde 2020</v>
      </c>
      <c r="H425" s="165" t="str">
        <f>"50% van het oorspronkelijk regulatoir saldo door te rekenen volgens de tariefmethodologie in het boekjaar "&amp;F423</f>
        <v>50% van het oorspronkelijk regulatoir saldo door te rekenen volgens de tariefmethodologie in het boekjaar 2021</v>
      </c>
      <c r="I425" s="165" t="str">
        <f>"Nog af te bouwen regulatoir saldo einde "&amp;F423</f>
        <v>Nog af te bouwen regulatoir saldo einde 2021</v>
      </c>
      <c r="J425" s="206"/>
      <c r="Q425" s="166"/>
    </row>
    <row r="426" spans="2:17" x14ac:dyDescent="0.2">
      <c r="B426" s="1104">
        <v>2015</v>
      </c>
      <c r="C426" s="1105"/>
      <c r="D426" s="1105"/>
      <c r="E426" s="1106"/>
      <c r="F426" s="275"/>
      <c r="G426" s="176">
        <f>M417</f>
        <v>0</v>
      </c>
      <c r="H426" s="176">
        <f>-G426*0.5</f>
        <v>0</v>
      </c>
      <c r="I426" s="176">
        <f>+G426+H426</f>
        <v>0</v>
      </c>
      <c r="J426" s="206"/>
      <c r="Q426" s="166"/>
    </row>
    <row r="427" spans="2:17" x14ac:dyDescent="0.2">
      <c r="B427" s="1104">
        <v>2016</v>
      </c>
      <c r="C427" s="1105"/>
      <c r="D427" s="1105"/>
      <c r="E427" s="1106"/>
      <c r="F427" s="275"/>
      <c r="G427" s="176">
        <f t="shared" ref="G427:G429" si="69">M418</f>
        <v>0</v>
      </c>
      <c r="H427" s="176">
        <f t="shared" ref="H427:H430" si="70">-G427*0.5</f>
        <v>0</v>
      </c>
      <c r="I427" s="176">
        <f t="shared" ref="I427:I430" si="71">+G427+H427</f>
        <v>0</v>
      </c>
      <c r="J427" s="206"/>
      <c r="Q427" s="166"/>
    </row>
    <row r="428" spans="2:17" x14ac:dyDescent="0.2">
      <c r="B428" s="1104">
        <v>2017</v>
      </c>
      <c r="C428" s="1105"/>
      <c r="D428" s="1105">
        <v>2016</v>
      </c>
      <c r="E428" s="1106"/>
      <c r="F428" s="275"/>
      <c r="G428" s="176">
        <f t="shared" si="69"/>
        <v>0</v>
      </c>
      <c r="H428" s="176">
        <f t="shared" si="70"/>
        <v>0</v>
      </c>
      <c r="I428" s="176">
        <f t="shared" si="71"/>
        <v>0</v>
      </c>
      <c r="J428" s="206"/>
      <c r="Q428" s="166"/>
    </row>
    <row r="429" spans="2:17" x14ac:dyDescent="0.2">
      <c r="B429" s="1104">
        <v>2018</v>
      </c>
      <c r="C429" s="1105"/>
      <c r="D429" s="1105"/>
      <c r="E429" s="1106"/>
      <c r="F429" s="275"/>
      <c r="G429" s="176">
        <f t="shared" si="69"/>
        <v>0</v>
      </c>
      <c r="H429" s="176">
        <f t="shared" si="70"/>
        <v>0</v>
      </c>
      <c r="I429" s="176">
        <f t="shared" si="71"/>
        <v>0</v>
      </c>
      <c r="J429" s="206"/>
      <c r="Q429" s="166"/>
    </row>
    <row r="430" spans="2:17" x14ac:dyDescent="0.2">
      <c r="B430" s="1104">
        <v>2019</v>
      </c>
      <c r="C430" s="1105"/>
      <c r="D430" s="1105"/>
      <c r="E430" s="1106"/>
      <c r="F430" s="275"/>
      <c r="G430" s="176">
        <f>K191</f>
        <v>0</v>
      </c>
      <c r="H430" s="176">
        <f t="shared" si="70"/>
        <v>0</v>
      </c>
      <c r="I430" s="176">
        <f t="shared" si="71"/>
        <v>0</v>
      </c>
      <c r="J430" s="206"/>
      <c r="Q430" s="166"/>
    </row>
    <row r="431" spans="2:17" s="273" customFormat="1" x14ac:dyDescent="0.2">
      <c r="G431" s="276">
        <f>SUM(G426:G430)</f>
        <v>0</v>
      </c>
      <c r="H431" s="276">
        <f>SUM(H426:H430)</f>
        <v>0</v>
      </c>
      <c r="I431" s="276">
        <f>SUM(I426:I430)</f>
        <v>0</v>
      </c>
    </row>
    <row r="432" spans="2:17" x14ac:dyDescent="0.2">
      <c r="Q432" s="166"/>
    </row>
    <row r="433" spans="2:17" x14ac:dyDescent="0.2">
      <c r="B433" s="273" t="s">
        <v>139</v>
      </c>
      <c r="F433" s="810">
        <v>2022</v>
      </c>
      <c r="Q433" s="166"/>
    </row>
    <row r="434" spans="2:17" x14ac:dyDescent="0.2">
      <c r="Q434" s="166"/>
    </row>
    <row r="435" spans="2:17" ht="78" customHeight="1" x14ac:dyDescent="0.2">
      <c r="B435" s="1101" t="s">
        <v>140</v>
      </c>
      <c r="C435" s="1102"/>
      <c r="D435" s="1102"/>
      <c r="E435" s="1103"/>
      <c r="F435" s="274"/>
      <c r="G435" s="165" t="str">
        <f>"Nog af te bouwen regulatoir saldo einde "&amp;F433-1</f>
        <v>Nog af te bouwen regulatoir saldo einde 2021</v>
      </c>
      <c r="H435" s="165" t="str">
        <f>"50% van het oorspronkelijk regulatoir saldo door te rekenen volgens de tariefmethodologie in het boekjaar "&amp;F433</f>
        <v>50% van het oorspronkelijk regulatoir saldo door te rekenen volgens de tariefmethodologie in het boekjaar 2022</v>
      </c>
      <c r="I435" s="165" t="str">
        <f>"Nog af te bouwen regulatoir saldo einde "&amp;F433</f>
        <v>Nog af te bouwen regulatoir saldo einde 2022</v>
      </c>
      <c r="J435" s="206"/>
      <c r="Q435" s="166"/>
    </row>
    <row r="436" spans="2:17" x14ac:dyDescent="0.2">
      <c r="B436" s="1104">
        <v>2015</v>
      </c>
      <c r="C436" s="1105"/>
      <c r="D436" s="1105"/>
      <c r="E436" s="1106"/>
      <c r="F436" s="275"/>
      <c r="G436" s="176">
        <f>+I426</f>
        <v>0</v>
      </c>
      <c r="H436" s="176">
        <f>-G426*0.5</f>
        <v>0</v>
      </c>
      <c r="I436" s="176">
        <f>+G436+H436</f>
        <v>0</v>
      </c>
      <c r="J436" s="206"/>
      <c r="Q436" s="166"/>
    </row>
    <row r="437" spans="2:17" x14ac:dyDescent="0.2">
      <c r="B437" s="1104">
        <v>2016</v>
      </c>
      <c r="C437" s="1105"/>
      <c r="D437" s="1105"/>
      <c r="E437" s="1106"/>
      <c r="F437" s="275"/>
      <c r="G437" s="176">
        <f t="shared" ref="G437:G440" si="72">+I427</f>
        <v>0</v>
      </c>
      <c r="H437" s="176">
        <f t="shared" ref="H437:H440" si="73">-G427*0.5</f>
        <v>0</v>
      </c>
      <c r="I437" s="176">
        <f t="shared" ref="I437:I441" si="74">+G437+H437</f>
        <v>0</v>
      </c>
      <c r="J437" s="206"/>
      <c r="Q437" s="166"/>
    </row>
    <row r="438" spans="2:17" x14ac:dyDescent="0.2">
      <c r="B438" s="1104">
        <v>2017</v>
      </c>
      <c r="C438" s="1105"/>
      <c r="D438" s="1105">
        <v>2016</v>
      </c>
      <c r="E438" s="1106"/>
      <c r="F438" s="275"/>
      <c r="G438" s="176">
        <f t="shared" si="72"/>
        <v>0</v>
      </c>
      <c r="H438" s="176">
        <f t="shared" si="73"/>
        <v>0</v>
      </c>
      <c r="I438" s="176">
        <f t="shared" si="74"/>
        <v>0</v>
      </c>
      <c r="J438" s="206"/>
      <c r="Q438" s="166"/>
    </row>
    <row r="439" spans="2:17" x14ac:dyDescent="0.2">
      <c r="B439" s="1104">
        <v>2018</v>
      </c>
      <c r="C439" s="1105"/>
      <c r="D439" s="1105"/>
      <c r="E439" s="1106"/>
      <c r="F439" s="275"/>
      <c r="G439" s="176">
        <f t="shared" si="72"/>
        <v>0</v>
      </c>
      <c r="H439" s="176">
        <f t="shared" si="73"/>
        <v>0</v>
      </c>
      <c r="I439" s="176">
        <f t="shared" si="74"/>
        <v>0</v>
      </c>
      <c r="J439" s="206"/>
      <c r="Q439" s="166"/>
    </row>
    <row r="440" spans="2:17" x14ac:dyDescent="0.2">
      <c r="B440" s="1104">
        <v>2019</v>
      </c>
      <c r="C440" s="1105"/>
      <c r="D440" s="1105"/>
      <c r="E440" s="1106"/>
      <c r="F440" s="275"/>
      <c r="G440" s="176">
        <f t="shared" si="72"/>
        <v>0</v>
      </c>
      <c r="H440" s="176">
        <f t="shared" si="73"/>
        <v>0</v>
      </c>
      <c r="I440" s="176">
        <f t="shared" si="74"/>
        <v>0</v>
      </c>
      <c r="J440" s="206"/>
      <c r="Q440" s="166"/>
    </row>
    <row r="441" spans="2:17" x14ac:dyDescent="0.2">
      <c r="B441" s="1104">
        <v>2020</v>
      </c>
      <c r="C441" s="1105"/>
      <c r="D441" s="1105"/>
      <c r="E441" s="1106"/>
      <c r="F441" s="275"/>
      <c r="G441" s="176">
        <f>L192</f>
        <v>0</v>
      </c>
      <c r="H441" s="176">
        <f t="shared" ref="H441" si="75">-G441*0.5</f>
        <v>0</v>
      </c>
      <c r="I441" s="176">
        <f t="shared" si="74"/>
        <v>0</v>
      </c>
      <c r="J441" s="206"/>
      <c r="Q441" s="166"/>
    </row>
    <row r="442" spans="2:17" s="273" customFormat="1" x14ac:dyDescent="0.2">
      <c r="G442" s="276">
        <f>SUM(G436:G441)</f>
        <v>0</v>
      </c>
      <c r="H442" s="276">
        <f t="shared" ref="H442" si="76">SUM(H436:H441)</f>
        <v>0</v>
      </c>
      <c r="I442" s="276">
        <f t="shared" ref="I442" si="77">SUM(I436:I441)</f>
        <v>0</v>
      </c>
    </row>
    <row r="443" spans="2:17" x14ac:dyDescent="0.2">
      <c r="Q443" s="166"/>
    </row>
    <row r="444" spans="2:17" x14ac:dyDescent="0.2">
      <c r="B444" s="273" t="s">
        <v>139</v>
      </c>
      <c r="F444" s="810">
        <v>2023</v>
      </c>
      <c r="Q444" s="166"/>
    </row>
    <row r="445" spans="2:17" x14ac:dyDescent="0.2">
      <c r="Q445" s="166"/>
    </row>
    <row r="446" spans="2:17" ht="78" customHeight="1" x14ac:dyDescent="0.2">
      <c r="B446" s="1101" t="s">
        <v>140</v>
      </c>
      <c r="C446" s="1102"/>
      <c r="D446" s="1102"/>
      <c r="E446" s="1103"/>
      <c r="F446" s="274"/>
      <c r="G446" s="165" t="str">
        <f>"Nog af te bouwen regulatoir saldo einde "&amp;F444-1</f>
        <v>Nog af te bouwen regulatoir saldo einde 2022</v>
      </c>
      <c r="H446" s="165" t="str">
        <f>"50% van het oorspronkelijk regulatoir saldo door te rekenen volgens de tariefmethodologie in het boekjaar "&amp;F444</f>
        <v>50% van het oorspronkelijk regulatoir saldo door te rekenen volgens de tariefmethodologie in het boekjaar 2023</v>
      </c>
      <c r="I446" s="165" t="str">
        <f>"Nog af te bouwen regulatoir saldo einde "&amp;F444</f>
        <v>Nog af te bouwen regulatoir saldo einde 2023</v>
      </c>
      <c r="J446" s="206"/>
      <c r="Q446" s="166"/>
    </row>
    <row r="447" spans="2:17" x14ac:dyDescent="0.2">
      <c r="B447" s="1104">
        <v>2020</v>
      </c>
      <c r="C447" s="1105"/>
      <c r="D447" s="1105"/>
      <c r="E447" s="1106"/>
      <c r="F447" s="275"/>
      <c r="G447" s="176">
        <f>+I441</f>
        <v>0</v>
      </c>
      <c r="H447" s="176">
        <f>-G441*0.5</f>
        <v>0</v>
      </c>
      <c r="I447" s="176">
        <f t="shared" ref="I447:I448" si="78">+G447+H447</f>
        <v>0</v>
      </c>
      <c r="J447" s="206"/>
      <c r="Q447" s="166"/>
    </row>
    <row r="448" spans="2:17" x14ac:dyDescent="0.2">
      <c r="B448" s="1104">
        <v>2021</v>
      </c>
      <c r="C448" s="1105"/>
      <c r="D448" s="1105"/>
      <c r="E448" s="1106"/>
      <c r="F448" s="275"/>
      <c r="G448" s="176">
        <f>M193</f>
        <v>0</v>
      </c>
      <c r="H448" s="176">
        <f t="shared" ref="H448" si="79">-G448*0.5</f>
        <v>0</v>
      </c>
      <c r="I448" s="176">
        <f t="shared" si="78"/>
        <v>0</v>
      </c>
      <c r="J448" s="206"/>
      <c r="Q448" s="166"/>
    </row>
    <row r="449" spans="2:17" s="273" customFormat="1" x14ac:dyDescent="0.2">
      <c r="G449" s="276">
        <f>SUM(G447:G448)</f>
        <v>0</v>
      </c>
      <c r="H449" s="276">
        <f>SUM(H447:H448)</f>
        <v>0</v>
      </c>
      <c r="I449" s="276">
        <f>SUM(I447:I448)</f>
        <v>0</v>
      </c>
    </row>
    <row r="450" spans="2:17" x14ac:dyDescent="0.2">
      <c r="Q450" s="166"/>
    </row>
    <row r="451" spans="2:17" x14ac:dyDescent="0.2">
      <c r="B451" s="273" t="s">
        <v>139</v>
      </c>
      <c r="F451" s="810">
        <v>2024</v>
      </c>
      <c r="Q451" s="166"/>
    </row>
    <row r="452" spans="2:17" x14ac:dyDescent="0.2">
      <c r="Q452" s="166"/>
    </row>
    <row r="453" spans="2:17" ht="78" customHeight="1" x14ac:dyDescent="0.2">
      <c r="B453" s="1101" t="s">
        <v>140</v>
      </c>
      <c r="C453" s="1102"/>
      <c r="D453" s="1102"/>
      <c r="E453" s="1103"/>
      <c r="F453" s="274"/>
      <c r="G453" s="165" t="str">
        <f>"Nog af te bouwen regulatoir saldo einde "&amp;F451-1</f>
        <v>Nog af te bouwen regulatoir saldo einde 2023</v>
      </c>
      <c r="H453" s="165" t="str">
        <f>"50% van het oorspronkelijk regulatoir saldo door te rekenen volgens de tariefmethodologie in het boekjaar "&amp;F451</f>
        <v>50% van het oorspronkelijk regulatoir saldo door te rekenen volgens de tariefmethodologie in het boekjaar 2024</v>
      </c>
      <c r="I453" s="165" t="str">
        <f>"Nog af te bouwen regulatoir saldo einde "&amp;F451</f>
        <v>Nog af te bouwen regulatoir saldo einde 2024</v>
      </c>
      <c r="J453" s="206"/>
      <c r="Q453" s="166"/>
    </row>
    <row r="454" spans="2:17" x14ac:dyDescent="0.2">
      <c r="B454" s="1104">
        <v>2021</v>
      </c>
      <c r="C454" s="1105"/>
      <c r="D454" s="1105"/>
      <c r="E454" s="1106"/>
      <c r="F454" s="275"/>
      <c r="G454" s="176">
        <f>+I448</f>
        <v>0</v>
      </c>
      <c r="H454" s="176">
        <f>-G448*0.5</f>
        <v>0</v>
      </c>
      <c r="I454" s="176">
        <f t="shared" ref="I454:I455" si="80">+G454+H454</f>
        <v>0</v>
      </c>
      <c r="J454" s="206"/>
      <c r="Q454" s="166"/>
    </row>
    <row r="455" spans="2:17" x14ac:dyDescent="0.2">
      <c r="B455" s="1104">
        <v>2022</v>
      </c>
      <c r="C455" s="1105"/>
      <c r="D455" s="1105"/>
      <c r="E455" s="1106"/>
      <c r="F455" s="275"/>
      <c r="G455" s="176">
        <f>N194</f>
        <v>0</v>
      </c>
      <c r="H455" s="176">
        <f>-G455*0.5</f>
        <v>0</v>
      </c>
      <c r="I455" s="176">
        <f t="shared" si="80"/>
        <v>0</v>
      </c>
      <c r="J455" s="206"/>
      <c r="Q455" s="166"/>
    </row>
    <row r="456" spans="2:17" s="273" customFormat="1" x14ac:dyDescent="0.2">
      <c r="G456" s="276">
        <f>SUM(G454:G455)</f>
        <v>0</v>
      </c>
      <c r="H456" s="276">
        <f>SUM(H454:H455)</f>
        <v>0</v>
      </c>
      <c r="I456" s="276">
        <f>SUM(I454:I455)</f>
        <v>0</v>
      </c>
    </row>
    <row r="457" spans="2:17" x14ac:dyDescent="0.2">
      <c r="Q457" s="166"/>
    </row>
    <row r="458" spans="2:17" x14ac:dyDescent="0.2">
      <c r="B458" s="273" t="s">
        <v>66</v>
      </c>
      <c r="Q458" s="166"/>
    </row>
    <row r="459" spans="2:17" x14ac:dyDescent="0.2">
      <c r="B459" s="273" t="s">
        <v>141</v>
      </c>
      <c r="C459" s="216"/>
      <c r="D459" s="216"/>
      <c r="E459" s="216"/>
      <c r="Q459" s="166"/>
    </row>
    <row r="460" spans="2:17" x14ac:dyDescent="0.2">
      <c r="B460" s="273"/>
      <c r="C460" s="216"/>
      <c r="D460" s="216"/>
      <c r="E460" s="216"/>
      <c r="Q460" s="166"/>
    </row>
    <row r="461" spans="2:17" x14ac:dyDescent="0.2">
      <c r="B461" s="275">
        <v>2021</v>
      </c>
      <c r="C461" s="279">
        <f>+H431</f>
        <v>0</v>
      </c>
      <c r="D461" s="216"/>
      <c r="E461" s="216"/>
      <c r="Q461" s="166"/>
    </row>
    <row r="462" spans="2:17" x14ac:dyDescent="0.2">
      <c r="B462" s="275">
        <v>2022</v>
      </c>
      <c r="C462" s="279">
        <f>+H442</f>
        <v>0</v>
      </c>
      <c r="D462" s="216"/>
      <c r="E462" s="216"/>
      <c r="Q462" s="166"/>
    </row>
    <row r="463" spans="2:17" x14ac:dyDescent="0.2">
      <c r="B463" s="275">
        <v>2023</v>
      </c>
      <c r="C463" s="279">
        <f>+H449</f>
        <v>0</v>
      </c>
      <c r="D463" s="216"/>
      <c r="E463" s="216"/>
      <c r="Q463" s="166"/>
    </row>
    <row r="464" spans="2:17" x14ac:dyDescent="0.2">
      <c r="B464" s="275">
        <v>2024</v>
      </c>
      <c r="C464" s="279">
        <f>+H456</f>
        <v>0</v>
      </c>
      <c r="D464" s="216"/>
      <c r="E464" s="216"/>
      <c r="Q464" s="166"/>
    </row>
    <row r="465" spans="2:17" x14ac:dyDescent="0.2">
      <c r="Q465" s="166"/>
    </row>
    <row r="466" spans="2:17" x14ac:dyDescent="0.2">
      <c r="Q466" s="166"/>
    </row>
    <row r="467" spans="2:17" x14ac:dyDescent="0.2">
      <c r="B467" s="321" t="s">
        <v>350</v>
      </c>
      <c r="C467" s="322"/>
      <c r="D467" s="322"/>
      <c r="E467" s="322"/>
      <c r="F467" s="323"/>
      <c r="G467" s="323"/>
      <c r="H467" s="323"/>
      <c r="I467" s="323"/>
      <c r="J467" s="323"/>
      <c r="K467" s="323"/>
      <c r="L467" s="323"/>
      <c r="M467" s="323"/>
      <c r="Q467" s="166"/>
    </row>
    <row r="468" spans="2:17" x14ac:dyDescent="0.2">
      <c r="Q468" s="166"/>
    </row>
    <row r="469" spans="2:17" x14ac:dyDescent="0.2">
      <c r="B469" s="273" t="s">
        <v>139</v>
      </c>
      <c r="F469" s="810">
        <v>2017</v>
      </c>
      <c r="Q469" s="166"/>
    </row>
    <row r="470" spans="2:17" x14ac:dyDescent="0.2">
      <c r="L470" s="206"/>
      <c r="Q470" s="166"/>
    </row>
    <row r="471" spans="2:17" ht="82.5" customHeight="1" x14ac:dyDescent="0.2">
      <c r="B471" s="1101" t="s">
        <v>140</v>
      </c>
      <c r="C471" s="1102"/>
      <c r="D471" s="1102"/>
      <c r="E471" s="1103"/>
      <c r="F471" s="274"/>
      <c r="G471" s="165" t="str">
        <f>"Nog af te bouwen regulatoir saldo einde "&amp;F469-1</f>
        <v>Nog af te bouwen regulatoir saldo einde 2016</v>
      </c>
      <c r="H471" s="165" t="str">
        <f>"Afbouw oudste openstaande regulatoir saldo vanaf boekjaar "&amp;F469-3&amp;" en vroeger, door aanwending van compensatie met regulatoir saldo ontstaan over boekjaar "&amp;F469-2</f>
        <v>Afbouw oudste openstaande regulatoir saldo vanaf boekjaar 2014 en vroeger, door aanwending van compensatie met regulatoir saldo ontstaan over boekjaar 2015</v>
      </c>
      <c r="I471" s="165" t="str">
        <f>"Nog af te bouwen regulatoir saldo na compensatie einde "&amp;F469-1</f>
        <v>Nog af te bouwen regulatoir saldo na compensatie einde 2016</v>
      </c>
      <c r="J471" s="165" t="str">
        <f>"Aanwending van 60% van het geaccumuleerd regulatoir saldo door te rekenen volgens de tariefmethodologie in het boekjaar "&amp;F469</f>
        <v>Aanwending van 60% van het geaccumuleerd regulatoir saldo door te rekenen volgens de tariefmethodologie in het boekjaar 2017</v>
      </c>
      <c r="K471" s="165" t="str">
        <f>"Nog af te bouwen regulatoir saldo einde "&amp;F469</f>
        <v>Nog af te bouwen regulatoir saldo einde 2017</v>
      </c>
      <c r="L471" s="206"/>
      <c r="Q471" s="166"/>
    </row>
    <row r="472" spans="2:17" x14ac:dyDescent="0.2">
      <c r="B472" s="1104">
        <v>2015</v>
      </c>
      <c r="C472" s="1105"/>
      <c r="D472" s="1105"/>
      <c r="E472" s="1106"/>
      <c r="F472" s="275"/>
      <c r="G472" s="176">
        <f>G198</f>
        <v>0</v>
      </c>
      <c r="H472" s="521">
        <v>0</v>
      </c>
      <c r="I472" s="176">
        <f>+G472+H472</f>
        <v>0</v>
      </c>
      <c r="J472" s="176">
        <f>-I472*0.6</f>
        <v>0</v>
      </c>
      <c r="K472" s="811">
        <f>+J472+G472</f>
        <v>0</v>
      </c>
      <c r="L472" s="206"/>
      <c r="Q472" s="166"/>
    </row>
    <row r="473" spans="2:17" x14ac:dyDescent="0.2">
      <c r="L473" s="206"/>
      <c r="Q473" s="166"/>
    </row>
    <row r="474" spans="2:17" x14ac:dyDescent="0.2">
      <c r="B474" s="273" t="s">
        <v>139</v>
      </c>
      <c r="F474" s="810">
        <v>2018</v>
      </c>
      <c r="Q474" s="166"/>
    </row>
    <row r="475" spans="2:17" x14ac:dyDescent="0.2">
      <c r="Q475" s="166"/>
    </row>
    <row r="476" spans="2:17" ht="80.099999999999994" customHeight="1" x14ac:dyDescent="0.2">
      <c r="B476" s="1101" t="s">
        <v>140</v>
      </c>
      <c r="C476" s="1102"/>
      <c r="D476" s="1102"/>
      <c r="E476" s="1103"/>
      <c r="F476" s="274"/>
      <c r="G476" s="165" t="str">
        <f>"Nog af te bouwen regulatoir saldo einde "&amp;F474-1</f>
        <v>Nog af te bouwen regulatoir saldo einde 2017</v>
      </c>
      <c r="H476" s="165" t="str">
        <f>"Afbouw oudste openstaande regulatoir saldo vanaf boekjaar "&amp;F474-3&amp;" en vroeger, door aanwending van compensatie met regulatoir saldo ontstaan over boekjaar "&amp;F474-2</f>
        <v>Afbouw oudste openstaande regulatoir saldo vanaf boekjaar 2015 en vroeger, door aanwending van compensatie met regulatoir saldo ontstaan over boekjaar 2016</v>
      </c>
      <c r="I476" s="165" t="str">
        <f>"Nog af te bouwen regulatoir saldo na compensatie einde "&amp;F474-1</f>
        <v>Nog af te bouwen regulatoir saldo na compensatie einde 2017</v>
      </c>
      <c r="J476" s="165" t="str">
        <f>"60% van het geaccumuleerd regulatoir saldo door te rekenen volgens de tariefmethodologie in het boekjaar "&amp;F474</f>
        <v>60% van het geaccumuleerd regulatoir saldo door te rekenen volgens de tariefmethodologie in het boekjaar 2018</v>
      </c>
      <c r="K476" s="165" t="str">
        <f>"Aanwending van 60% van het geaccumuleerd regulatoir saldo door te rekenen volgens de tariefmethodologie in het boekjaar "&amp;F474</f>
        <v>Aanwending van 60% van het geaccumuleerd regulatoir saldo door te rekenen volgens de tariefmethodologie in het boekjaar 2018</v>
      </c>
      <c r="L476" s="165" t="str">
        <f>"Totale afbouw over "&amp;F474</f>
        <v>Totale afbouw over 2018</v>
      </c>
      <c r="M476" s="165" t="str">
        <f>"Nog af te bouwen regulatoir saldo einde "&amp;F474</f>
        <v>Nog af te bouwen regulatoir saldo einde 2018</v>
      </c>
      <c r="N476" s="206"/>
      <c r="Q476" s="166"/>
    </row>
    <row r="477" spans="2:17" x14ac:dyDescent="0.2">
      <c r="B477" s="1104">
        <v>2015</v>
      </c>
      <c r="C477" s="1105"/>
      <c r="D477" s="1105"/>
      <c r="E477" s="1106"/>
      <c r="F477" s="275"/>
      <c r="G477" s="176">
        <f>K472</f>
        <v>0</v>
      </c>
      <c r="H477" s="521">
        <f>IF(SIGN(G478*K472)&lt;0,IF(G477&lt;&gt;0,-SIGN(G477)*MIN(ABS(G478),ABS(G477)),0),0)</f>
        <v>0</v>
      </c>
      <c r="I477" s="176">
        <f>+G477+H477</f>
        <v>0</v>
      </c>
      <c r="J477" s="806"/>
      <c r="K477" s="521">
        <f>-MIN(ABS(I477),ABS(J479))*SIGN(I477)</f>
        <v>0</v>
      </c>
      <c r="L477" s="813">
        <f>+K477+H477</f>
        <v>0</v>
      </c>
      <c r="M477" s="176">
        <f>+I477+K477</f>
        <v>0</v>
      </c>
      <c r="N477" s="206"/>
      <c r="Q477" s="166"/>
    </row>
    <row r="478" spans="2:17" x14ac:dyDescent="0.2">
      <c r="B478" s="1104">
        <v>2016</v>
      </c>
      <c r="C478" s="1105"/>
      <c r="D478" s="1105"/>
      <c r="E478" s="1106"/>
      <c r="F478" s="275"/>
      <c r="G478" s="176">
        <f>H199</f>
        <v>0</v>
      </c>
      <c r="H478" s="813">
        <f>IF(SIGN(G478*K472)&lt;0,-H477,0)</f>
        <v>0</v>
      </c>
      <c r="I478" s="176">
        <f>+G478+H478</f>
        <v>0</v>
      </c>
      <c r="J478" s="806"/>
      <c r="K478" s="521">
        <f>-MIN(ABS(I478),ABS(J479-K477))*SIGN(I478)</f>
        <v>0</v>
      </c>
      <c r="L478" s="813">
        <f>+K478+H478</f>
        <v>0</v>
      </c>
      <c r="M478" s="176">
        <f>+I478+K478</f>
        <v>0</v>
      </c>
      <c r="N478" s="206"/>
      <c r="Q478" s="166"/>
    </row>
    <row r="479" spans="2:17" s="273" customFormat="1" x14ac:dyDescent="0.2">
      <c r="G479" s="276">
        <f>SUM(G477:G478)</f>
        <v>0</v>
      </c>
      <c r="H479" s="168">
        <f>SUM(H477:H478)</f>
        <v>0</v>
      </c>
      <c r="I479" s="276">
        <f>SUM(I477:I478)</f>
        <v>0</v>
      </c>
      <c r="J479" s="276">
        <f>-I479*0.6</f>
        <v>0</v>
      </c>
      <c r="K479" s="168">
        <f>SUM(K477:K478)</f>
        <v>0</v>
      </c>
      <c r="L479" s="528"/>
      <c r="M479" s="276">
        <f>SUM(M477:M478)</f>
        <v>0</v>
      </c>
    </row>
    <row r="480" spans="2:17" x14ac:dyDescent="0.2">
      <c r="K480" s="214"/>
      <c r="L480" s="214"/>
      <c r="Q480" s="166"/>
    </row>
    <row r="481" spans="2:17" x14ac:dyDescent="0.2">
      <c r="B481" s="273" t="s">
        <v>139</v>
      </c>
      <c r="F481" s="810">
        <v>2019</v>
      </c>
      <c r="Q481" s="166"/>
    </row>
    <row r="482" spans="2:17" x14ac:dyDescent="0.2">
      <c r="Q482" s="166"/>
    </row>
    <row r="483" spans="2:17" ht="80.099999999999994" customHeight="1" x14ac:dyDescent="0.2">
      <c r="B483" s="1101" t="s">
        <v>140</v>
      </c>
      <c r="C483" s="1102"/>
      <c r="D483" s="1102"/>
      <c r="E483" s="1103"/>
      <c r="F483" s="274"/>
      <c r="G483" s="165" t="str">
        <f>"Nog af te bouwen regulatoir saldo einde "&amp;F481-1</f>
        <v>Nog af te bouwen regulatoir saldo einde 2018</v>
      </c>
      <c r="H483" s="165" t="str">
        <f>"Afbouw oudste openstaande regulatoir saldo vanaf boekjaar "&amp;F481-3&amp;" en vroeger, door aanwending van compensatie met regulatoir saldo ontstaan over boekjaar "&amp;F481-2</f>
        <v>Afbouw oudste openstaande regulatoir saldo vanaf boekjaar 2016 en vroeger, door aanwending van compensatie met regulatoir saldo ontstaan over boekjaar 2017</v>
      </c>
      <c r="I483" s="165" t="str">
        <f>"Nog af te bouwen regulatoir saldo na compensatie einde "&amp;F481-1</f>
        <v>Nog af te bouwen regulatoir saldo na compensatie einde 2018</v>
      </c>
      <c r="J483" s="165" t="str">
        <f>"60% van het geaccumuleerd regulatoir saldo door te rekenen volgens de tariefmethodologie in het boekjaar "&amp;F481</f>
        <v>60% van het geaccumuleerd regulatoir saldo door te rekenen volgens de tariefmethodologie in het boekjaar 2019</v>
      </c>
      <c r="K483" s="165" t="str">
        <f>"Aanwending van het 60% van het geaccumuleerd regulatoir saldo door te rekenen volgens de tariefmethodologie in het boekjaar "&amp;F481</f>
        <v>Aanwending van het 60% van het geaccumuleerd regulatoir saldo door te rekenen volgens de tariefmethodologie in het boekjaar 2019</v>
      </c>
      <c r="L483" s="165" t="str">
        <f>"Totale afbouw over "&amp;F481</f>
        <v>Totale afbouw over 2019</v>
      </c>
      <c r="M483" s="165" t="str">
        <f>"Nog af te bouwen regulatoir saldo einde "&amp;F481</f>
        <v>Nog af te bouwen regulatoir saldo einde 2019</v>
      </c>
      <c r="N483" s="206"/>
      <c r="Q483" s="166"/>
    </row>
    <row r="484" spans="2:17" x14ac:dyDescent="0.2">
      <c r="B484" s="1104">
        <v>2015</v>
      </c>
      <c r="C484" s="1105"/>
      <c r="D484" s="1105"/>
      <c r="E484" s="1106"/>
      <c r="F484" s="275"/>
      <c r="G484" s="176">
        <f>+M477</f>
        <v>0</v>
      </c>
      <c r="H484" s="813">
        <f>IF(SIGN(G486*M479)&lt;0,IF(G484&lt;&gt;0,-SIGN(G484)*MIN(ABS(G486),ABS(G484)),0),0)</f>
        <v>0</v>
      </c>
      <c r="I484" s="176">
        <f>+G484+H484</f>
        <v>0</v>
      </c>
      <c r="J484" s="806"/>
      <c r="K484" s="521">
        <f>-MIN(ABS(I484),ABS(J487))*SIGN(I484)</f>
        <v>0</v>
      </c>
      <c r="L484" s="813">
        <f>+K484+H484</f>
        <v>0</v>
      </c>
      <c r="M484" s="176">
        <f>+I484+K484</f>
        <v>0</v>
      </c>
      <c r="N484" s="206"/>
      <c r="Q484" s="166"/>
    </row>
    <row r="485" spans="2:17" x14ac:dyDescent="0.2">
      <c r="B485" s="1104">
        <v>2016</v>
      </c>
      <c r="C485" s="1105"/>
      <c r="D485" s="1105">
        <v>2016</v>
      </c>
      <c r="E485" s="1106"/>
      <c r="F485" s="275"/>
      <c r="G485" s="176">
        <f>+M478</f>
        <v>0</v>
      </c>
      <c r="H485" s="813">
        <f>IF(SIGN(G486*M479)&lt;0,IF(G485&lt;&gt;0,-SIGN(G485)*MIN(ABS(G486-H484),ABS(G485)),0),0)</f>
        <v>0</v>
      </c>
      <c r="I485" s="176">
        <f>+G485+H485</f>
        <v>0</v>
      </c>
      <c r="J485" s="806"/>
      <c r="K485" s="521">
        <f>-MIN(ABS(I485),ABS(J487-K484))*SIGN(I485)</f>
        <v>0</v>
      </c>
      <c r="L485" s="813">
        <f>+K485+H485</f>
        <v>0</v>
      </c>
      <c r="M485" s="176">
        <f>+I485+K485</f>
        <v>0</v>
      </c>
      <c r="N485" s="206"/>
      <c r="Q485" s="166"/>
    </row>
    <row r="486" spans="2:17" x14ac:dyDescent="0.2">
      <c r="B486" s="1104">
        <v>2017</v>
      </c>
      <c r="C486" s="1105"/>
      <c r="D486" s="1105"/>
      <c r="E486" s="1106"/>
      <c r="F486" s="275"/>
      <c r="G486" s="176">
        <f>I200</f>
        <v>0</v>
      </c>
      <c r="H486" s="813">
        <f>IF(SIGN(G486*M479)&lt;0,-SUM(H484:H485),0)</f>
        <v>0</v>
      </c>
      <c r="I486" s="176">
        <f>+G486+H486</f>
        <v>0</v>
      </c>
      <c r="J486" s="806"/>
      <c r="K486" s="521">
        <f>-MIN(ABS(I486),ABS(J487-K484-K485))*SIGN(I486)</f>
        <v>0</v>
      </c>
      <c r="L486" s="813">
        <f>+K486+H486</f>
        <v>0</v>
      </c>
      <c r="M486" s="176">
        <f>+I486+K486</f>
        <v>0</v>
      </c>
      <c r="N486" s="206"/>
      <c r="Q486" s="166"/>
    </row>
    <row r="487" spans="2:17" s="273" customFormat="1" x14ac:dyDescent="0.2">
      <c r="G487" s="276">
        <f>SUM(G484:G486)</f>
        <v>0</v>
      </c>
      <c r="H487" s="168">
        <f>SUM(H484:H486)</f>
        <v>0</v>
      </c>
      <c r="I487" s="276">
        <f>SUM(I484:I486)</f>
        <v>0</v>
      </c>
      <c r="J487" s="276">
        <f>-I487*0.6</f>
        <v>0</v>
      </c>
      <c r="K487" s="168">
        <f>SUM(K484:K486)</f>
        <v>0</v>
      </c>
      <c r="L487" s="528"/>
      <c r="M487" s="276">
        <f>SUM(M484:M486)</f>
        <v>0</v>
      </c>
    </row>
    <row r="488" spans="2:17" x14ac:dyDescent="0.2">
      <c r="Q488" s="166"/>
    </row>
    <row r="489" spans="2:17" x14ac:dyDescent="0.2">
      <c r="B489" s="273" t="s">
        <v>139</v>
      </c>
      <c r="F489" s="810">
        <v>2020</v>
      </c>
      <c r="Q489" s="166"/>
    </row>
    <row r="490" spans="2:17" x14ac:dyDescent="0.2">
      <c r="Q490" s="166"/>
    </row>
    <row r="491" spans="2:17" ht="80.099999999999994" customHeight="1" x14ac:dyDescent="0.2">
      <c r="B491" s="1101" t="s">
        <v>140</v>
      </c>
      <c r="C491" s="1102"/>
      <c r="D491" s="1102"/>
      <c r="E491" s="1103"/>
      <c r="F491" s="274"/>
      <c r="G491" s="165" t="str">
        <f>"Nog af te bouwen regulatoir saldo einde "&amp;F489-1</f>
        <v>Nog af te bouwen regulatoir saldo einde 2019</v>
      </c>
      <c r="H491" s="165" t="str">
        <f>"Afbouw oudste openstaande regulatoir saldo vanaf boekjaar "&amp;F489-3&amp;" en vroeger, door aanwending van compensatie met regulatoir saldo ontstaan over boekjaar "&amp;F489-2</f>
        <v>Afbouw oudste openstaande regulatoir saldo vanaf boekjaar 2017 en vroeger, door aanwending van compensatie met regulatoir saldo ontstaan over boekjaar 2018</v>
      </c>
      <c r="I491" s="165" t="str">
        <f>"Nog af te bouwen regulatoir saldo na compensatie einde "&amp;F489-1</f>
        <v>Nog af te bouwen regulatoir saldo na compensatie einde 2019</v>
      </c>
      <c r="J491" s="165" t="str">
        <f>"60% van het geaccumuleerd regulatoir saldo door te rekenen volgens de tariefmethodologie in het boekjaar "&amp;F489</f>
        <v>60% van het geaccumuleerd regulatoir saldo door te rekenen volgens de tariefmethodologie in het boekjaar 2020</v>
      </c>
      <c r="K491" s="165" t="str">
        <f>"Aanwending van het 60% van het geaccumuleerd regulatoir saldo door te rekenen volgens de tariefmethodologie in het boekjaar "&amp;F489</f>
        <v>Aanwending van het 60% van het geaccumuleerd regulatoir saldo door te rekenen volgens de tariefmethodologie in het boekjaar 2020</v>
      </c>
      <c r="L491" s="165" t="str">
        <f>"Totale afbouw over "&amp;F489</f>
        <v>Totale afbouw over 2020</v>
      </c>
      <c r="M491" s="165" t="str">
        <f>"Nog af te bouwen regulatoir saldo einde "&amp;F489</f>
        <v>Nog af te bouwen regulatoir saldo einde 2020</v>
      </c>
      <c r="N491" s="206"/>
      <c r="Q491" s="166"/>
    </row>
    <row r="492" spans="2:17" x14ac:dyDescent="0.2">
      <c r="B492" s="1104">
        <v>2015</v>
      </c>
      <c r="C492" s="1105"/>
      <c r="D492" s="1105"/>
      <c r="E492" s="1106"/>
      <c r="F492" s="275"/>
      <c r="G492" s="176">
        <f>+M484</f>
        <v>0</v>
      </c>
      <c r="H492" s="813">
        <f>IF(SIGN(G495*M487)&lt;0,IF(G492&lt;&gt;0,-SIGN(G492)*MIN(ABS(G495),ABS(G492)),0),0)</f>
        <v>0</v>
      </c>
      <c r="I492" s="176">
        <f>+G492+H492</f>
        <v>0</v>
      </c>
      <c r="J492" s="806"/>
      <c r="K492" s="521">
        <f>-MIN(ABS(I492),ABS(J496))*SIGN(I492)</f>
        <v>0</v>
      </c>
      <c r="L492" s="813">
        <f>+K492+H492</f>
        <v>0</v>
      </c>
      <c r="M492" s="176">
        <f>+I492+K492</f>
        <v>0</v>
      </c>
      <c r="N492" s="206"/>
      <c r="Q492" s="166"/>
    </row>
    <row r="493" spans="2:17" x14ac:dyDescent="0.2">
      <c r="B493" s="1104">
        <v>2016</v>
      </c>
      <c r="C493" s="1105"/>
      <c r="D493" s="1105"/>
      <c r="E493" s="1106"/>
      <c r="F493" s="275"/>
      <c r="G493" s="176">
        <f>+M485</f>
        <v>0</v>
      </c>
      <c r="H493" s="813">
        <f>IF(SIGN(G495*M487)&lt;0,IF(G493&lt;&gt;0,-SIGN(G493)*MIN(ABS(G495-H492),ABS(G493)),0),0)</f>
        <v>0</v>
      </c>
      <c r="I493" s="176">
        <f>+G493+H493</f>
        <v>0</v>
      </c>
      <c r="J493" s="806"/>
      <c r="K493" s="521">
        <f>-MIN(ABS(I493),ABS(J496-K492))*SIGN(I493)</f>
        <v>0</v>
      </c>
      <c r="L493" s="813">
        <f>+K493+H493</f>
        <v>0</v>
      </c>
      <c r="M493" s="176">
        <f>+I493+K493</f>
        <v>0</v>
      </c>
      <c r="N493" s="206"/>
      <c r="Q493" s="166"/>
    </row>
    <row r="494" spans="2:17" x14ac:dyDescent="0.2">
      <c r="B494" s="1104">
        <v>2017</v>
      </c>
      <c r="C494" s="1105"/>
      <c r="D494" s="1105">
        <v>2016</v>
      </c>
      <c r="E494" s="1106"/>
      <c r="F494" s="275"/>
      <c r="G494" s="176">
        <f>+M486</f>
        <v>0</v>
      </c>
      <c r="H494" s="813">
        <f>IF(SIGN(G495*M487)&lt;0,IF(G494&lt;&gt;0,-SIGN(G494)*MIN(ABS(G495-H492-H493),ABS(G494)),0),0)</f>
        <v>0</v>
      </c>
      <c r="I494" s="176">
        <f>+G494+H494</f>
        <v>0</v>
      </c>
      <c r="J494" s="806"/>
      <c r="K494" s="521">
        <f>-MIN(ABS(I494),ABS(J496-K492-K493))*SIGN(I494)</f>
        <v>0</v>
      </c>
      <c r="L494" s="813">
        <f>+K494+H494</f>
        <v>0</v>
      </c>
      <c r="M494" s="176">
        <f>+I494+K494</f>
        <v>0</v>
      </c>
      <c r="N494" s="206"/>
      <c r="Q494" s="166"/>
    </row>
    <row r="495" spans="2:17" x14ac:dyDescent="0.2">
      <c r="B495" s="1104">
        <v>2018</v>
      </c>
      <c r="C495" s="1105"/>
      <c r="D495" s="1105"/>
      <c r="E495" s="1106"/>
      <c r="F495" s="275"/>
      <c r="G495" s="176">
        <f>J201</f>
        <v>0</v>
      </c>
      <c r="H495" s="813">
        <f>IF(SIGN(G495*M487)&lt;0,-SUM(H492:H494),0)</f>
        <v>0</v>
      </c>
      <c r="I495" s="176">
        <f>+G495+H495</f>
        <v>0</v>
      </c>
      <c r="J495" s="806"/>
      <c r="K495" s="521">
        <f>-MIN(ABS(I495),ABS(J496-K492-K493-K494))*SIGN(I495)</f>
        <v>0</v>
      </c>
      <c r="L495" s="813">
        <f>+K495+H495</f>
        <v>0</v>
      </c>
      <c r="M495" s="176">
        <f>+I495+K495</f>
        <v>0</v>
      </c>
      <c r="N495" s="206"/>
      <c r="Q495" s="166"/>
    </row>
    <row r="496" spans="2:17" s="273" customFormat="1" x14ac:dyDescent="0.2">
      <c r="G496" s="276">
        <f>SUM(G492:G495)</f>
        <v>0</v>
      </c>
      <c r="H496" s="168">
        <f>SUM(H492:H495)</f>
        <v>0</v>
      </c>
      <c r="I496" s="276">
        <f>SUM(I492:I495)</f>
        <v>0</v>
      </c>
      <c r="J496" s="276">
        <f>-I496*0.6</f>
        <v>0</v>
      </c>
      <c r="K496" s="168">
        <f>SUM(K492:K495)</f>
        <v>0</v>
      </c>
      <c r="L496" s="168"/>
      <c r="M496" s="276">
        <f>SUM(M492:M495)</f>
        <v>0</v>
      </c>
    </row>
    <row r="497" spans="2:17" x14ac:dyDescent="0.2">
      <c r="H497" s="214"/>
      <c r="Q497" s="166"/>
    </row>
    <row r="498" spans="2:17" x14ac:dyDescent="0.2">
      <c r="B498" s="273" t="s">
        <v>139</v>
      </c>
      <c r="F498" s="810">
        <v>2021</v>
      </c>
      <c r="Q498" s="166"/>
    </row>
    <row r="499" spans="2:17" x14ac:dyDescent="0.2">
      <c r="Q499" s="166"/>
    </row>
    <row r="500" spans="2:17" ht="78" customHeight="1" x14ac:dyDescent="0.2">
      <c r="B500" s="1101" t="s">
        <v>140</v>
      </c>
      <c r="C500" s="1102"/>
      <c r="D500" s="1102"/>
      <c r="E500" s="1103"/>
      <c r="F500" s="274"/>
      <c r="G500" s="165" t="str">
        <f>"Nog af te bouwen regulatoir saldo einde "&amp;F498-1</f>
        <v>Nog af te bouwen regulatoir saldo einde 2020</v>
      </c>
      <c r="H500" s="165" t="str">
        <f>"50% van het oorspronkelijk regulatoir saldo door te rekenen volgens de tariefmethodologie in het boekjaar "&amp;F498</f>
        <v>50% van het oorspronkelijk regulatoir saldo door te rekenen volgens de tariefmethodologie in het boekjaar 2021</v>
      </c>
      <c r="I500" s="165" t="str">
        <f>"Nog af te bouwen regulatoir saldo einde "&amp;F498</f>
        <v>Nog af te bouwen regulatoir saldo einde 2021</v>
      </c>
      <c r="J500" s="206"/>
      <c r="Q500" s="166"/>
    </row>
    <row r="501" spans="2:17" x14ac:dyDescent="0.2">
      <c r="B501" s="1104">
        <v>2015</v>
      </c>
      <c r="C501" s="1105"/>
      <c r="D501" s="1105"/>
      <c r="E501" s="1106"/>
      <c r="F501" s="275"/>
      <c r="G501" s="176">
        <f>M492</f>
        <v>0</v>
      </c>
      <c r="H501" s="176">
        <f>-G501*0.5</f>
        <v>0</v>
      </c>
      <c r="I501" s="176">
        <f>+G501+H501</f>
        <v>0</v>
      </c>
      <c r="J501" s="206"/>
      <c r="Q501" s="166"/>
    </row>
    <row r="502" spans="2:17" x14ac:dyDescent="0.2">
      <c r="B502" s="1104">
        <v>2016</v>
      </c>
      <c r="C502" s="1105"/>
      <c r="D502" s="1105"/>
      <c r="E502" s="1106"/>
      <c r="F502" s="275"/>
      <c r="G502" s="176">
        <f t="shared" ref="G502:G504" si="81">M493</f>
        <v>0</v>
      </c>
      <c r="H502" s="176">
        <f t="shared" ref="H502:H505" si="82">-G502*0.5</f>
        <v>0</v>
      </c>
      <c r="I502" s="176">
        <f t="shared" ref="I502:I505" si="83">+G502+H502</f>
        <v>0</v>
      </c>
      <c r="J502" s="206"/>
      <c r="Q502" s="166"/>
    </row>
    <row r="503" spans="2:17" x14ac:dyDescent="0.2">
      <c r="B503" s="1104">
        <v>2017</v>
      </c>
      <c r="C503" s="1105"/>
      <c r="D503" s="1105">
        <v>2016</v>
      </c>
      <c r="E503" s="1106"/>
      <c r="F503" s="275"/>
      <c r="G503" s="176">
        <f t="shared" si="81"/>
        <v>0</v>
      </c>
      <c r="H503" s="176">
        <f t="shared" si="82"/>
        <v>0</v>
      </c>
      <c r="I503" s="176">
        <f t="shared" si="83"/>
        <v>0</v>
      </c>
      <c r="J503" s="206"/>
      <c r="Q503" s="166"/>
    </row>
    <row r="504" spans="2:17" x14ac:dyDescent="0.2">
      <c r="B504" s="1104">
        <v>2018</v>
      </c>
      <c r="C504" s="1105"/>
      <c r="D504" s="1105"/>
      <c r="E504" s="1106"/>
      <c r="F504" s="275"/>
      <c r="G504" s="176">
        <f t="shared" si="81"/>
        <v>0</v>
      </c>
      <c r="H504" s="176">
        <f t="shared" si="82"/>
        <v>0</v>
      </c>
      <c r="I504" s="176">
        <f t="shared" si="83"/>
        <v>0</v>
      </c>
      <c r="J504" s="206"/>
      <c r="Q504" s="166"/>
    </row>
    <row r="505" spans="2:17" x14ac:dyDescent="0.2">
      <c r="B505" s="1104">
        <v>2019</v>
      </c>
      <c r="C505" s="1105"/>
      <c r="D505" s="1105"/>
      <c r="E505" s="1106"/>
      <c r="F505" s="275"/>
      <c r="G505" s="176">
        <f>K202</f>
        <v>0</v>
      </c>
      <c r="H505" s="176">
        <f t="shared" si="82"/>
        <v>0</v>
      </c>
      <c r="I505" s="176">
        <f t="shared" si="83"/>
        <v>0</v>
      </c>
      <c r="J505" s="206"/>
      <c r="Q505" s="166"/>
    </row>
    <row r="506" spans="2:17" s="273" customFormat="1" x14ac:dyDescent="0.2">
      <c r="G506" s="276">
        <f>SUM(G501:G505)</f>
        <v>0</v>
      </c>
      <c r="H506" s="276">
        <f>SUM(H501:H505)</f>
        <v>0</v>
      </c>
      <c r="I506" s="276">
        <f>SUM(I501:I505)</f>
        <v>0</v>
      </c>
    </row>
    <row r="507" spans="2:17" x14ac:dyDescent="0.2">
      <c r="Q507" s="166"/>
    </row>
    <row r="508" spans="2:17" x14ac:dyDescent="0.2">
      <c r="B508" s="273" t="s">
        <v>139</v>
      </c>
      <c r="F508" s="810">
        <v>2022</v>
      </c>
      <c r="Q508" s="166"/>
    </row>
    <row r="509" spans="2:17" x14ac:dyDescent="0.2">
      <c r="Q509" s="166"/>
    </row>
    <row r="510" spans="2:17" ht="78" customHeight="1" x14ac:dyDescent="0.2">
      <c r="B510" s="1101" t="s">
        <v>140</v>
      </c>
      <c r="C510" s="1102"/>
      <c r="D510" s="1102"/>
      <c r="E510" s="1103"/>
      <c r="F510" s="274"/>
      <c r="G510" s="165" t="str">
        <f>"Nog af te bouwen regulatoir saldo einde "&amp;F508-1</f>
        <v>Nog af te bouwen regulatoir saldo einde 2021</v>
      </c>
      <c r="H510" s="165" t="str">
        <f>"50% van het oorspronkelijk regulatoir saldo door te rekenen volgens de tariefmethodologie in het boekjaar "&amp;F508</f>
        <v>50% van het oorspronkelijk regulatoir saldo door te rekenen volgens de tariefmethodologie in het boekjaar 2022</v>
      </c>
      <c r="I510" s="165" t="str">
        <f>"Nog af te bouwen regulatoir saldo einde "&amp;F508</f>
        <v>Nog af te bouwen regulatoir saldo einde 2022</v>
      </c>
      <c r="J510" s="206"/>
      <c r="Q510" s="166"/>
    </row>
    <row r="511" spans="2:17" x14ac:dyDescent="0.2">
      <c r="B511" s="1104">
        <v>2015</v>
      </c>
      <c r="C511" s="1105"/>
      <c r="D511" s="1105"/>
      <c r="E511" s="1106"/>
      <c r="F511" s="275"/>
      <c r="G511" s="176">
        <f>+I501</f>
        <v>0</v>
      </c>
      <c r="H511" s="176">
        <f>-G501*0.5</f>
        <v>0</v>
      </c>
      <c r="I511" s="176">
        <f>+G511+H511</f>
        <v>0</v>
      </c>
      <c r="J511" s="206"/>
      <c r="Q511" s="166"/>
    </row>
    <row r="512" spans="2:17" x14ac:dyDescent="0.2">
      <c r="B512" s="1104">
        <v>2016</v>
      </c>
      <c r="C512" s="1105"/>
      <c r="D512" s="1105"/>
      <c r="E512" s="1106"/>
      <c r="F512" s="275"/>
      <c r="G512" s="176">
        <f t="shared" ref="G512:G515" si="84">+I502</f>
        <v>0</v>
      </c>
      <c r="H512" s="176">
        <f t="shared" ref="H512:H515" si="85">-G502*0.5</f>
        <v>0</v>
      </c>
      <c r="I512" s="176">
        <f t="shared" ref="I512:I516" si="86">+G512+H512</f>
        <v>0</v>
      </c>
      <c r="J512" s="206"/>
      <c r="Q512" s="166"/>
    </row>
    <row r="513" spans="2:17" x14ac:dyDescent="0.2">
      <c r="B513" s="1104">
        <v>2017</v>
      </c>
      <c r="C513" s="1105"/>
      <c r="D513" s="1105">
        <v>2016</v>
      </c>
      <c r="E513" s="1106"/>
      <c r="F513" s="275"/>
      <c r="G513" s="176">
        <f t="shared" si="84"/>
        <v>0</v>
      </c>
      <c r="H513" s="176">
        <f t="shared" si="85"/>
        <v>0</v>
      </c>
      <c r="I513" s="176">
        <f t="shared" si="86"/>
        <v>0</v>
      </c>
      <c r="J513" s="206"/>
      <c r="Q513" s="166"/>
    </row>
    <row r="514" spans="2:17" x14ac:dyDescent="0.2">
      <c r="B514" s="1104">
        <v>2018</v>
      </c>
      <c r="C514" s="1105"/>
      <c r="D514" s="1105"/>
      <c r="E514" s="1106"/>
      <c r="F514" s="275"/>
      <c r="G514" s="176">
        <f t="shared" si="84"/>
        <v>0</v>
      </c>
      <c r="H514" s="176">
        <f t="shared" si="85"/>
        <v>0</v>
      </c>
      <c r="I514" s="176">
        <f t="shared" si="86"/>
        <v>0</v>
      </c>
      <c r="J514" s="206"/>
      <c r="Q514" s="166"/>
    </row>
    <row r="515" spans="2:17" x14ac:dyDescent="0.2">
      <c r="B515" s="1104">
        <v>2019</v>
      </c>
      <c r="C515" s="1105"/>
      <c r="D515" s="1105"/>
      <c r="E515" s="1106"/>
      <c r="F515" s="275"/>
      <c r="G515" s="176">
        <f t="shared" si="84"/>
        <v>0</v>
      </c>
      <c r="H515" s="176">
        <f t="shared" si="85"/>
        <v>0</v>
      </c>
      <c r="I515" s="176">
        <f t="shared" si="86"/>
        <v>0</v>
      </c>
      <c r="J515" s="206"/>
      <c r="Q515" s="166"/>
    </row>
    <row r="516" spans="2:17" x14ac:dyDescent="0.2">
      <c r="B516" s="1104">
        <v>2020</v>
      </c>
      <c r="C516" s="1105"/>
      <c r="D516" s="1105"/>
      <c r="E516" s="1106"/>
      <c r="F516" s="275"/>
      <c r="G516" s="176">
        <f>L203</f>
        <v>0</v>
      </c>
      <c r="H516" s="176">
        <f t="shared" ref="H516" si="87">-G516*0.5</f>
        <v>0</v>
      </c>
      <c r="I516" s="176">
        <f t="shared" si="86"/>
        <v>0</v>
      </c>
      <c r="J516" s="206"/>
      <c r="Q516" s="166"/>
    </row>
    <row r="517" spans="2:17" s="273" customFormat="1" x14ac:dyDescent="0.2">
      <c r="G517" s="276">
        <f>SUM(G511:G516)</f>
        <v>0</v>
      </c>
      <c r="H517" s="276">
        <f t="shared" ref="H517" si="88">SUM(H511:H516)</f>
        <v>0</v>
      </c>
      <c r="I517" s="276">
        <f t="shared" ref="I517" si="89">SUM(I511:I516)</f>
        <v>0</v>
      </c>
    </row>
    <row r="518" spans="2:17" x14ac:dyDescent="0.2">
      <c r="Q518" s="166"/>
    </row>
    <row r="519" spans="2:17" x14ac:dyDescent="0.2">
      <c r="B519" s="273" t="s">
        <v>139</v>
      </c>
      <c r="F519" s="810">
        <v>2023</v>
      </c>
      <c r="Q519" s="166"/>
    </row>
    <row r="520" spans="2:17" x14ac:dyDescent="0.2">
      <c r="Q520" s="166"/>
    </row>
    <row r="521" spans="2:17" ht="78" customHeight="1" x14ac:dyDescent="0.2">
      <c r="B521" s="1101" t="s">
        <v>140</v>
      </c>
      <c r="C521" s="1102"/>
      <c r="D521" s="1102"/>
      <c r="E521" s="1103"/>
      <c r="F521" s="274"/>
      <c r="G521" s="165" t="str">
        <f>"Nog af te bouwen regulatoir saldo einde "&amp;F519-1</f>
        <v>Nog af te bouwen regulatoir saldo einde 2022</v>
      </c>
      <c r="H521" s="165" t="str">
        <f>"50% van het oorspronkelijk regulatoir saldo door te rekenen volgens de tariefmethodologie in het boekjaar "&amp;F519</f>
        <v>50% van het oorspronkelijk regulatoir saldo door te rekenen volgens de tariefmethodologie in het boekjaar 2023</v>
      </c>
      <c r="I521" s="165" t="str">
        <f>"Nog af te bouwen regulatoir saldo einde "&amp;F519</f>
        <v>Nog af te bouwen regulatoir saldo einde 2023</v>
      </c>
      <c r="J521" s="206"/>
      <c r="Q521" s="166"/>
    </row>
    <row r="522" spans="2:17" x14ac:dyDescent="0.2">
      <c r="B522" s="1104">
        <v>2020</v>
      </c>
      <c r="C522" s="1105"/>
      <c r="D522" s="1105"/>
      <c r="E522" s="1106"/>
      <c r="F522" s="275"/>
      <c r="G522" s="176">
        <f>+I516</f>
        <v>0</v>
      </c>
      <c r="H522" s="176">
        <f>-G516*0.5</f>
        <v>0</v>
      </c>
      <c r="I522" s="176">
        <f t="shared" ref="I522" si="90">+G522+H522</f>
        <v>0</v>
      </c>
      <c r="J522" s="206"/>
      <c r="Q522" s="166"/>
    </row>
    <row r="523" spans="2:17" s="273" customFormat="1" x14ac:dyDescent="0.2">
      <c r="G523" s="276">
        <f>SUM(G522:G522)</f>
        <v>0</v>
      </c>
      <c r="H523" s="276">
        <f>SUM(H522:H522)</f>
        <v>0</v>
      </c>
      <c r="I523" s="276">
        <f>SUM(I522:I522)</f>
        <v>0</v>
      </c>
    </row>
    <row r="524" spans="2:17" x14ac:dyDescent="0.2">
      <c r="B524" s="273" t="s">
        <v>350</v>
      </c>
      <c r="C524" s="216"/>
      <c r="D524" s="216"/>
      <c r="E524" s="216"/>
      <c r="Q524" s="166"/>
    </row>
    <row r="525" spans="2:17" x14ac:dyDescent="0.2">
      <c r="B525" s="273" t="s">
        <v>141</v>
      </c>
      <c r="C525" s="216"/>
      <c r="D525" s="216"/>
      <c r="E525" s="216"/>
      <c r="Q525" s="166"/>
    </row>
    <row r="526" spans="2:17" x14ac:dyDescent="0.2">
      <c r="B526" s="273"/>
      <c r="C526" s="216"/>
      <c r="D526" s="216"/>
      <c r="E526" s="216"/>
      <c r="Q526" s="166"/>
    </row>
    <row r="527" spans="2:17" x14ac:dyDescent="0.2">
      <c r="B527" s="275">
        <v>2021</v>
      </c>
      <c r="C527" s="279">
        <f>+H506</f>
        <v>0</v>
      </c>
      <c r="D527" s="216"/>
      <c r="E527" s="216"/>
      <c r="Q527" s="166"/>
    </row>
    <row r="528" spans="2:17" x14ac:dyDescent="0.2">
      <c r="B528" s="275">
        <v>2022</v>
      </c>
      <c r="C528" s="279">
        <f>+H517</f>
        <v>0</v>
      </c>
      <c r="D528" s="216"/>
      <c r="E528" s="216"/>
      <c r="Q528" s="166"/>
    </row>
    <row r="529" spans="2:17" x14ac:dyDescent="0.2">
      <c r="B529" s="275">
        <v>2023</v>
      </c>
      <c r="C529" s="279">
        <f>+H523</f>
        <v>0</v>
      </c>
      <c r="D529" s="216"/>
      <c r="E529" s="216"/>
      <c r="Q529" s="166"/>
    </row>
    <row r="530" spans="2:17" x14ac:dyDescent="0.2">
      <c r="B530" s="336">
        <v>2024</v>
      </c>
      <c r="C530" s="337">
        <v>0</v>
      </c>
      <c r="D530" s="216"/>
      <c r="E530" s="216"/>
      <c r="Q530" s="166"/>
    </row>
    <row r="531" spans="2:17" x14ac:dyDescent="0.2">
      <c r="Q531" s="166"/>
    </row>
    <row r="532" spans="2:17" x14ac:dyDescent="0.2">
      <c r="Q532" s="166"/>
    </row>
    <row r="533" spans="2:17" x14ac:dyDescent="0.2">
      <c r="B533" s="321" t="s">
        <v>169</v>
      </c>
      <c r="C533" s="322"/>
      <c r="D533" s="322"/>
      <c r="E533" s="322"/>
      <c r="F533" s="323"/>
      <c r="G533" s="323"/>
      <c r="H533" s="323"/>
      <c r="I533" s="323"/>
      <c r="J533" s="323"/>
      <c r="K533" s="323"/>
      <c r="L533" s="323"/>
      <c r="M533" s="323"/>
      <c r="Q533" s="166"/>
    </row>
    <row r="534" spans="2:17" x14ac:dyDescent="0.2">
      <c r="Q534" s="166"/>
    </row>
    <row r="535" spans="2:17" x14ac:dyDescent="0.2">
      <c r="B535" s="273" t="s">
        <v>139</v>
      </c>
      <c r="F535" s="810">
        <v>2017</v>
      </c>
      <c r="Q535" s="166"/>
    </row>
    <row r="536" spans="2:17" x14ac:dyDescent="0.2">
      <c r="L536" s="206"/>
      <c r="Q536" s="166"/>
    </row>
    <row r="537" spans="2:17" ht="82.5" customHeight="1" x14ac:dyDescent="0.2">
      <c r="B537" s="1101" t="s">
        <v>140</v>
      </c>
      <c r="C537" s="1102"/>
      <c r="D537" s="1102"/>
      <c r="E537" s="1103"/>
      <c r="F537" s="274"/>
      <c r="G537" s="165" t="str">
        <f>"Nog af te bouwen regulatoir saldo einde "&amp;F535-1</f>
        <v>Nog af te bouwen regulatoir saldo einde 2016</v>
      </c>
      <c r="H537" s="165" t="str">
        <f>"Afbouw oudste openstaande regulatoir saldo vanaf boekjaar "&amp;F535-3&amp;" en vroeger, door aanwending van compensatie met regulatoir saldo ontstaan over boekjaar "&amp;F535-2</f>
        <v>Afbouw oudste openstaande regulatoir saldo vanaf boekjaar 2014 en vroeger, door aanwending van compensatie met regulatoir saldo ontstaan over boekjaar 2015</v>
      </c>
      <c r="I537" s="165" t="str">
        <f>"Nog af te bouwen regulatoir saldo na compensatie einde "&amp;F535-1</f>
        <v>Nog af te bouwen regulatoir saldo na compensatie einde 2016</v>
      </c>
      <c r="J537" s="165" t="str">
        <f>"Aanwending van 60% van het geaccumuleerd regulatoir saldo door te rekenen volgens de tariefmethodologie in het boekjaar "&amp;F535</f>
        <v>Aanwending van 60% van het geaccumuleerd regulatoir saldo door te rekenen volgens de tariefmethodologie in het boekjaar 2017</v>
      </c>
      <c r="K537" s="165" t="str">
        <f>"Nog af te bouwen regulatoir saldo einde "&amp;F535</f>
        <v>Nog af te bouwen regulatoir saldo einde 2017</v>
      </c>
      <c r="L537" s="206"/>
      <c r="Q537" s="166"/>
    </row>
    <row r="538" spans="2:17" x14ac:dyDescent="0.2">
      <c r="B538" s="1104">
        <v>2015</v>
      </c>
      <c r="C538" s="1105"/>
      <c r="D538" s="1105"/>
      <c r="E538" s="1106"/>
      <c r="F538" s="275"/>
      <c r="G538" s="176">
        <f>G209</f>
        <v>0</v>
      </c>
      <c r="H538" s="521">
        <v>0</v>
      </c>
      <c r="I538" s="176">
        <f>+G538+H538</f>
        <v>0</v>
      </c>
      <c r="J538" s="176">
        <f>-I538*0.6</f>
        <v>0</v>
      </c>
      <c r="K538" s="811">
        <f>+J538+G538</f>
        <v>0</v>
      </c>
      <c r="L538" s="206"/>
      <c r="Q538" s="166"/>
    </row>
    <row r="539" spans="2:17" x14ac:dyDescent="0.2">
      <c r="L539" s="206"/>
      <c r="Q539" s="166"/>
    </row>
    <row r="540" spans="2:17" x14ac:dyDescent="0.2">
      <c r="B540" s="273" t="s">
        <v>139</v>
      </c>
      <c r="F540" s="810">
        <v>2018</v>
      </c>
      <c r="Q540" s="166"/>
    </row>
    <row r="541" spans="2:17" x14ac:dyDescent="0.2">
      <c r="Q541" s="166"/>
    </row>
    <row r="542" spans="2:17" ht="80.099999999999994" customHeight="1" x14ac:dyDescent="0.2">
      <c r="B542" s="1101" t="s">
        <v>140</v>
      </c>
      <c r="C542" s="1102"/>
      <c r="D542" s="1102"/>
      <c r="E542" s="1103"/>
      <c r="F542" s="274"/>
      <c r="G542" s="165" t="str">
        <f>"Nog af te bouwen regulatoir saldo einde "&amp;F540-1</f>
        <v>Nog af te bouwen regulatoir saldo einde 2017</v>
      </c>
      <c r="H542" s="165" t="str">
        <f>"Afbouw oudste openstaande regulatoir saldo vanaf boekjaar "&amp;F540-3&amp;" en vroeger, door aanwending van compensatie met regulatoir saldo ontstaan over boekjaar "&amp;F540-2</f>
        <v>Afbouw oudste openstaande regulatoir saldo vanaf boekjaar 2015 en vroeger, door aanwending van compensatie met regulatoir saldo ontstaan over boekjaar 2016</v>
      </c>
      <c r="I542" s="165" t="str">
        <f>"Nog af te bouwen regulatoir saldo na compensatie einde "&amp;F540-1</f>
        <v>Nog af te bouwen regulatoir saldo na compensatie einde 2017</v>
      </c>
      <c r="J542" s="165" t="str">
        <f>"60% van het geaccumuleerd regulatoir saldo door te rekenen volgens de tariefmethodologie in het boekjaar "&amp;F540</f>
        <v>60% van het geaccumuleerd regulatoir saldo door te rekenen volgens de tariefmethodologie in het boekjaar 2018</v>
      </c>
      <c r="K542" s="165" t="str">
        <f>"Aanwending van 60% van het geaccumuleerd regulatoir saldo door te rekenen volgens de tariefmethodologie in het boekjaar "&amp;F540</f>
        <v>Aanwending van 60% van het geaccumuleerd regulatoir saldo door te rekenen volgens de tariefmethodologie in het boekjaar 2018</v>
      </c>
      <c r="L542" s="165" t="str">
        <f>"Totale afbouw over "&amp;F540</f>
        <v>Totale afbouw over 2018</v>
      </c>
      <c r="M542" s="165" t="str">
        <f>"Nog af te bouwen regulatoir saldo einde "&amp;F540</f>
        <v>Nog af te bouwen regulatoir saldo einde 2018</v>
      </c>
      <c r="N542" s="206"/>
      <c r="Q542" s="166"/>
    </row>
    <row r="543" spans="2:17" x14ac:dyDescent="0.2">
      <c r="B543" s="1104">
        <v>2015</v>
      </c>
      <c r="C543" s="1105"/>
      <c r="D543" s="1105"/>
      <c r="E543" s="1106"/>
      <c r="F543" s="275"/>
      <c r="G543" s="176">
        <f>K538</f>
        <v>0</v>
      </c>
      <c r="H543" s="521">
        <f>IF(SIGN(G544*K538)&lt;0,IF(G543&lt;&gt;0,-SIGN(G543)*MIN(ABS(G544),ABS(G543)),0),0)</f>
        <v>0</v>
      </c>
      <c r="I543" s="176">
        <f>+G543+H543</f>
        <v>0</v>
      </c>
      <c r="J543" s="806"/>
      <c r="K543" s="521">
        <f>-MIN(ABS(I543),ABS(J545))*SIGN(I543)</f>
        <v>0</v>
      </c>
      <c r="L543" s="813">
        <f>+K543+H543</f>
        <v>0</v>
      </c>
      <c r="M543" s="176">
        <f>+I543+K543</f>
        <v>0</v>
      </c>
      <c r="N543" s="206"/>
      <c r="Q543" s="166"/>
    </row>
    <row r="544" spans="2:17" x14ac:dyDescent="0.2">
      <c r="B544" s="1104">
        <v>2016</v>
      </c>
      <c r="C544" s="1105"/>
      <c r="D544" s="1105"/>
      <c r="E544" s="1106"/>
      <c r="F544" s="275"/>
      <c r="G544" s="176">
        <f>H210</f>
        <v>0</v>
      </c>
      <c r="H544" s="813">
        <f>IF(SIGN(G544*K538)&lt;0,-H543,0)</f>
        <v>0</v>
      </c>
      <c r="I544" s="176">
        <f>+G544+H544</f>
        <v>0</v>
      </c>
      <c r="J544" s="806"/>
      <c r="K544" s="521">
        <f>-MIN(ABS(I544),ABS(J545-K543))*SIGN(I544)</f>
        <v>0</v>
      </c>
      <c r="L544" s="813">
        <f>+K544+H544</f>
        <v>0</v>
      </c>
      <c r="M544" s="176">
        <f>+I544+K544</f>
        <v>0</v>
      </c>
      <c r="N544" s="206"/>
      <c r="Q544" s="166"/>
    </row>
    <row r="545" spans="2:17" s="273" customFormat="1" x14ac:dyDescent="0.2">
      <c r="G545" s="276">
        <f>SUM(G543:G544)</f>
        <v>0</v>
      </c>
      <c r="H545" s="168">
        <f>SUM(H543:H544)</f>
        <v>0</v>
      </c>
      <c r="I545" s="276">
        <f>SUM(I543:I544)</f>
        <v>0</v>
      </c>
      <c r="J545" s="276">
        <f>-I545*0.6</f>
        <v>0</v>
      </c>
      <c r="K545" s="168">
        <f>SUM(K543:K544)</f>
        <v>0</v>
      </c>
      <c r="L545" s="528"/>
      <c r="M545" s="276">
        <f>SUM(M543:M544)</f>
        <v>0</v>
      </c>
    </row>
    <row r="546" spans="2:17" x14ac:dyDescent="0.2">
      <c r="H546" s="214"/>
      <c r="Q546" s="166"/>
    </row>
    <row r="547" spans="2:17" x14ac:dyDescent="0.2">
      <c r="B547" s="273" t="s">
        <v>139</v>
      </c>
      <c r="F547" s="810">
        <v>2019</v>
      </c>
      <c r="Q547" s="166"/>
    </row>
    <row r="548" spans="2:17" x14ac:dyDescent="0.2">
      <c r="Q548" s="166"/>
    </row>
    <row r="549" spans="2:17" ht="80.099999999999994" customHeight="1" x14ac:dyDescent="0.2">
      <c r="B549" s="1101" t="s">
        <v>140</v>
      </c>
      <c r="C549" s="1102"/>
      <c r="D549" s="1102"/>
      <c r="E549" s="1103"/>
      <c r="F549" s="274"/>
      <c r="G549" s="165" t="str">
        <f>"Nog af te bouwen regulatoir saldo einde "&amp;F547-1</f>
        <v>Nog af te bouwen regulatoir saldo einde 2018</v>
      </c>
      <c r="H549" s="165" t="str">
        <f>"Afbouw oudste openstaande regulatoir saldo vanaf boekjaar "&amp;F547-3&amp;" en vroeger, door aanwending van compensatie met regulatoir saldo ontstaan over boekjaar "&amp;F547-2</f>
        <v>Afbouw oudste openstaande regulatoir saldo vanaf boekjaar 2016 en vroeger, door aanwending van compensatie met regulatoir saldo ontstaan over boekjaar 2017</v>
      </c>
      <c r="I549" s="165" t="str">
        <f>"Nog af te bouwen regulatoir saldo na compensatie einde "&amp;F547-1</f>
        <v>Nog af te bouwen regulatoir saldo na compensatie einde 2018</v>
      </c>
      <c r="J549" s="165" t="str">
        <f>"60% van het geaccumuleerd regulatoir saldo door te rekenen volgens de tariefmethodologie in het boekjaar "&amp;F547</f>
        <v>60% van het geaccumuleerd regulatoir saldo door te rekenen volgens de tariefmethodologie in het boekjaar 2019</v>
      </c>
      <c r="K549" s="165" t="str">
        <f>"Aanwending van het 60% van het geaccumuleerd regulatoir saldo door te rekenen volgens de tariefmethodologie in het boekjaar "&amp;F547</f>
        <v>Aanwending van het 60% van het geaccumuleerd regulatoir saldo door te rekenen volgens de tariefmethodologie in het boekjaar 2019</v>
      </c>
      <c r="L549" s="165" t="str">
        <f>"Totale afbouw over "&amp;F547</f>
        <v>Totale afbouw over 2019</v>
      </c>
      <c r="M549" s="165" t="str">
        <f>"Nog af te bouwen regulatoir saldo einde "&amp;F547</f>
        <v>Nog af te bouwen regulatoir saldo einde 2019</v>
      </c>
      <c r="N549" s="206"/>
      <c r="Q549" s="166"/>
    </row>
    <row r="550" spans="2:17" x14ac:dyDescent="0.2">
      <c r="B550" s="1104">
        <v>2015</v>
      </c>
      <c r="C550" s="1105"/>
      <c r="D550" s="1105"/>
      <c r="E550" s="1106"/>
      <c r="F550" s="275"/>
      <c r="G550" s="176">
        <f>+M543</f>
        <v>0</v>
      </c>
      <c r="H550" s="813">
        <f>IF(SIGN(G552*M545)&lt;0,IF(G550&lt;&gt;0,-SIGN(G550)*MIN(ABS(G552),ABS(G550)),0),0)</f>
        <v>0</v>
      </c>
      <c r="I550" s="176">
        <f>+G550+H550</f>
        <v>0</v>
      </c>
      <c r="J550" s="806"/>
      <c r="K550" s="521">
        <f>-MIN(ABS(I550),ABS(J553))*SIGN(I550)</f>
        <v>0</v>
      </c>
      <c r="L550" s="813">
        <f>+K550+H550</f>
        <v>0</v>
      </c>
      <c r="M550" s="176">
        <f>+I550+K550</f>
        <v>0</v>
      </c>
      <c r="N550" s="206"/>
      <c r="Q550" s="166"/>
    </row>
    <row r="551" spans="2:17" x14ac:dyDescent="0.2">
      <c r="B551" s="1104">
        <v>2016</v>
      </c>
      <c r="C551" s="1105"/>
      <c r="D551" s="1105">
        <v>2016</v>
      </c>
      <c r="E551" s="1106"/>
      <c r="F551" s="275"/>
      <c r="G551" s="176">
        <f>+M544</f>
        <v>0</v>
      </c>
      <c r="H551" s="813">
        <f>IF(SIGN(G552*M545)&lt;0,IF(G551&lt;&gt;0,-SIGN(G551)*MIN(ABS(G552-H550),ABS(G551)),0),0)</f>
        <v>0</v>
      </c>
      <c r="I551" s="176">
        <f>+G551+H551</f>
        <v>0</v>
      </c>
      <c r="J551" s="806"/>
      <c r="K551" s="521">
        <f>-MIN(ABS(I551),ABS(J553-K550))*SIGN(I551)</f>
        <v>0</v>
      </c>
      <c r="L551" s="813">
        <f>+K551+H551</f>
        <v>0</v>
      </c>
      <c r="M551" s="176">
        <f>+I551+K551</f>
        <v>0</v>
      </c>
      <c r="N551" s="206"/>
      <c r="Q551" s="166"/>
    </row>
    <row r="552" spans="2:17" x14ac:dyDescent="0.2">
      <c r="B552" s="1104">
        <v>2017</v>
      </c>
      <c r="C552" s="1105"/>
      <c r="D552" s="1105"/>
      <c r="E552" s="1106"/>
      <c r="F552" s="275"/>
      <c r="G552" s="176">
        <f>I211</f>
        <v>0</v>
      </c>
      <c r="H552" s="813">
        <f>IF(SIGN(G552*M545)&lt;0,-SUM(H550:H551),0)</f>
        <v>0</v>
      </c>
      <c r="I552" s="176">
        <f>+G552+H552</f>
        <v>0</v>
      </c>
      <c r="J552" s="806"/>
      <c r="K552" s="521">
        <f>-MIN(ABS(I552),ABS(J553-K550-K551))*SIGN(I552)</f>
        <v>0</v>
      </c>
      <c r="L552" s="813">
        <f>+K552+H552</f>
        <v>0</v>
      </c>
      <c r="M552" s="176">
        <f>+I552+K552</f>
        <v>0</v>
      </c>
      <c r="N552" s="206"/>
      <c r="Q552" s="166"/>
    </row>
    <row r="553" spans="2:17" s="273" customFormat="1" x14ac:dyDescent="0.2">
      <c r="G553" s="276">
        <f>SUM(G550:G552)</f>
        <v>0</v>
      </c>
      <c r="H553" s="168">
        <f>SUM(H550:H552)</f>
        <v>0</v>
      </c>
      <c r="I553" s="276">
        <f>SUM(I550:I552)</f>
        <v>0</v>
      </c>
      <c r="J553" s="276">
        <f>-I553*0.6</f>
        <v>0</v>
      </c>
      <c r="K553" s="168">
        <f>SUM(K550:K552)</f>
        <v>0</v>
      </c>
      <c r="L553" s="528"/>
      <c r="M553" s="276">
        <f>SUM(M550:M552)</f>
        <v>0</v>
      </c>
    </row>
    <row r="554" spans="2:17" x14ac:dyDescent="0.2">
      <c r="H554" s="214"/>
      <c r="Q554" s="166"/>
    </row>
    <row r="555" spans="2:17" x14ac:dyDescent="0.2">
      <c r="B555" s="273" t="s">
        <v>139</v>
      </c>
      <c r="F555" s="810">
        <v>2020</v>
      </c>
      <c r="Q555" s="166"/>
    </row>
    <row r="556" spans="2:17" x14ac:dyDescent="0.2">
      <c r="Q556" s="166"/>
    </row>
    <row r="557" spans="2:17" ht="80.099999999999994" customHeight="1" x14ac:dyDescent="0.2">
      <c r="B557" s="1101" t="s">
        <v>140</v>
      </c>
      <c r="C557" s="1102"/>
      <c r="D557" s="1102"/>
      <c r="E557" s="1103"/>
      <c r="F557" s="274"/>
      <c r="G557" s="165" t="str">
        <f>"Nog af te bouwen regulatoir saldo einde "&amp;F555-1</f>
        <v>Nog af te bouwen regulatoir saldo einde 2019</v>
      </c>
      <c r="H557" s="165" t="str">
        <f>"Afbouw oudste openstaande regulatoir saldo vanaf boekjaar "&amp;F555-3&amp;" en vroeger, door aanwending van compensatie met regulatoir saldo ontstaan over boekjaar "&amp;F555-2</f>
        <v>Afbouw oudste openstaande regulatoir saldo vanaf boekjaar 2017 en vroeger, door aanwending van compensatie met regulatoir saldo ontstaan over boekjaar 2018</v>
      </c>
      <c r="I557" s="165" t="str">
        <f>"Nog af te bouwen regulatoir saldo na compensatie einde "&amp;F555-1</f>
        <v>Nog af te bouwen regulatoir saldo na compensatie einde 2019</v>
      </c>
      <c r="J557" s="165" t="str">
        <f>"60% van het geaccumuleerd regulatoir saldo door te rekenen volgens de tariefmethodologie in het boekjaar "&amp;F555</f>
        <v>60% van het geaccumuleerd regulatoir saldo door te rekenen volgens de tariefmethodologie in het boekjaar 2020</v>
      </c>
      <c r="K557" s="165" t="str">
        <f>"Aanwending van het 60% van het geaccumuleerd regulatoir saldo door te rekenen volgens de tariefmethodologie in het boekjaar "&amp;F555</f>
        <v>Aanwending van het 60% van het geaccumuleerd regulatoir saldo door te rekenen volgens de tariefmethodologie in het boekjaar 2020</v>
      </c>
      <c r="L557" s="165" t="str">
        <f>"Totale afbouw over "&amp;F555</f>
        <v>Totale afbouw over 2020</v>
      </c>
      <c r="M557" s="165" t="str">
        <f>"Nog af te bouwen regulatoir saldo einde "&amp;F555</f>
        <v>Nog af te bouwen regulatoir saldo einde 2020</v>
      </c>
      <c r="N557" s="206"/>
      <c r="Q557" s="166"/>
    </row>
    <row r="558" spans="2:17" x14ac:dyDescent="0.2">
      <c r="B558" s="1104">
        <v>2015</v>
      </c>
      <c r="C558" s="1105"/>
      <c r="D558" s="1105"/>
      <c r="E558" s="1106"/>
      <c r="F558" s="275"/>
      <c r="G558" s="176">
        <f>+M550</f>
        <v>0</v>
      </c>
      <c r="H558" s="813">
        <f>IF(SIGN(G561*M553)&lt;0,IF(G558&lt;&gt;0,-SIGN(G558)*MIN(ABS(G561),ABS(G558)),0),0)</f>
        <v>0</v>
      </c>
      <c r="I558" s="176">
        <f>+G558+H558</f>
        <v>0</v>
      </c>
      <c r="J558" s="806"/>
      <c r="K558" s="521">
        <f>-MIN(ABS(I558),ABS(J562))*SIGN(I558)</f>
        <v>0</v>
      </c>
      <c r="L558" s="813">
        <f>+K558+H558</f>
        <v>0</v>
      </c>
      <c r="M558" s="176">
        <f>+I558+K558</f>
        <v>0</v>
      </c>
      <c r="N558" s="206"/>
      <c r="Q558" s="166"/>
    </row>
    <row r="559" spans="2:17" x14ac:dyDescent="0.2">
      <c r="B559" s="1104">
        <v>2016</v>
      </c>
      <c r="C559" s="1105"/>
      <c r="D559" s="1105"/>
      <c r="E559" s="1106"/>
      <c r="F559" s="275"/>
      <c r="G559" s="176">
        <f>+M551</f>
        <v>0</v>
      </c>
      <c r="H559" s="813">
        <f>IF(SIGN(G561*M553)&lt;0,IF(G559&lt;&gt;0,-SIGN(G559)*MIN(ABS(G561-H558),ABS(G559)),0),0)</f>
        <v>0</v>
      </c>
      <c r="I559" s="176">
        <f>+G559+H559</f>
        <v>0</v>
      </c>
      <c r="J559" s="806"/>
      <c r="K559" s="521">
        <f>-MIN(ABS(I559),ABS(J562-K558))*SIGN(I559)</f>
        <v>0</v>
      </c>
      <c r="L559" s="813">
        <f>+K559+H559</f>
        <v>0</v>
      </c>
      <c r="M559" s="176">
        <f>+I559+K559</f>
        <v>0</v>
      </c>
      <c r="N559" s="206"/>
      <c r="Q559" s="166"/>
    </row>
    <row r="560" spans="2:17" x14ac:dyDescent="0.2">
      <c r="B560" s="1104">
        <v>2017</v>
      </c>
      <c r="C560" s="1105"/>
      <c r="D560" s="1105">
        <v>2016</v>
      </c>
      <c r="E560" s="1106"/>
      <c r="F560" s="275"/>
      <c r="G560" s="176">
        <f>+M552</f>
        <v>0</v>
      </c>
      <c r="H560" s="813">
        <f>IF(SIGN(G561*M553)&lt;0,IF(G560&lt;&gt;0,-SIGN(G560)*MIN(ABS(G561-H558-H559),ABS(G560)),0),0)</f>
        <v>0</v>
      </c>
      <c r="I560" s="176">
        <f>+G560+H560</f>
        <v>0</v>
      </c>
      <c r="J560" s="806"/>
      <c r="K560" s="521">
        <f>-MIN(ABS(I560),ABS(J562-K558-K559))*SIGN(I560)</f>
        <v>0</v>
      </c>
      <c r="L560" s="813">
        <f>+K560+H560</f>
        <v>0</v>
      </c>
      <c r="M560" s="176">
        <f>+I560+K560</f>
        <v>0</v>
      </c>
      <c r="N560" s="206"/>
      <c r="Q560" s="166"/>
    </row>
    <row r="561" spans="2:17" x14ac:dyDescent="0.2">
      <c r="B561" s="1104">
        <v>2018</v>
      </c>
      <c r="C561" s="1105"/>
      <c r="D561" s="1105"/>
      <c r="E561" s="1106"/>
      <c r="F561" s="275"/>
      <c r="G561" s="176">
        <f>J212</f>
        <v>0</v>
      </c>
      <c r="H561" s="813">
        <f>IF(SIGN(G561*M553)&lt;0,-SUM(H558:H560),0)</f>
        <v>0</v>
      </c>
      <c r="I561" s="176">
        <f>+G561+H561</f>
        <v>0</v>
      </c>
      <c r="J561" s="806"/>
      <c r="K561" s="521">
        <f>-MIN(ABS(I561),ABS(J562-K558-K559-K560))*SIGN(I561)</f>
        <v>0</v>
      </c>
      <c r="L561" s="813">
        <f>+K561+H561</f>
        <v>0</v>
      </c>
      <c r="M561" s="176">
        <f>+I561+K561</f>
        <v>0</v>
      </c>
      <c r="N561" s="206"/>
      <c r="Q561" s="166"/>
    </row>
    <row r="562" spans="2:17" s="273" customFormat="1" x14ac:dyDescent="0.2">
      <c r="G562" s="276">
        <f>SUM(G558:G561)</f>
        <v>0</v>
      </c>
      <c r="H562" s="168">
        <f>SUM(H558:H561)</f>
        <v>0</v>
      </c>
      <c r="I562" s="276">
        <f>SUM(I558:I561)</f>
        <v>0</v>
      </c>
      <c r="J562" s="276">
        <f>-I562*0.6</f>
        <v>0</v>
      </c>
      <c r="K562" s="168">
        <f>SUM(K558:K561)</f>
        <v>0</v>
      </c>
      <c r="L562" s="168"/>
      <c r="M562" s="276">
        <f>SUM(M558:M561)</f>
        <v>0</v>
      </c>
    </row>
    <row r="563" spans="2:17" x14ac:dyDescent="0.2">
      <c r="Q563" s="166"/>
    </row>
    <row r="564" spans="2:17" x14ac:dyDescent="0.2">
      <c r="B564" s="273" t="s">
        <v>139</v>
      </c>
      <c r="F564" s="810">
        <v>2021</v>
      </c>
      <c r="Q564" s="166"/>
    </row>
    <row r="565" spans="2:17" x14ac:dyDescent="0.2">
      <c r="Q565" s="166"/>
    </row>
    <row r="566" spans="2:17" ht="78" customHeight="1" x14ac:dyDescent="0.2">
      <c r="B566" s="1101" t="s">
        <v>140</v>
      </c>
      <c r="C566" s="1102"/>
      <c r="D566" s="1102"/>
      <c r="E566" s="1103"/>
      <c r="F566" s="274"/>
      <c r="G566" s="165" t="str">
        <f>"Nog af te bouwen regulatoir saldo einde "&amp;F564-1</f>
        <v>Nog af te bouwen regulatoir saldo einde 2020</v>
      </c>
      <c r="H566" s="165" t="str">
        <f>"50% van het oorspronkelijk regulatoir saldo door te rekenen volgens de tariefmethodologie in het boekjaar "&amp;F564</f>
        <v>50% van het oorspronkelijk regulatoir saldo door te rekenen volgens de tariefmethodologie in het boekjaar 2021</v>
      </c>
      <c r="I566" s="165" t="str">
        <f>"Nog af te bouwen regulatoir saldo einde "&amp;F564</f>
        <v>Nog af te bouwen regulatoir saldo einde 2021</v>
      </c>
      <c r="J566" s="206"/>
      <c r="Q566" s="166"/>
    </row>
    <row r="567" spans="2:17" x14ac:dyDescent="0.2">
      <c r="B567" s="1104">
        <v>2015</v>
      </c>
      <c r="C567" s="1105"/>
      <c r="D567" s="1105"/>
      <c r="E567" s="1106"/>
      <c r="F567" s="275"/>
      <c r="G567" s="176">
        <f>M558</f>
        <v>0</v>
      </c>
      <c r="H567" s="176">
        <f>-G567*0.5</f>
        <v>0</v>
      </c>
      <c r="I567" s="176">
        <f>+G567+H567</f>
        <v>0</v>
      </c>
      <c r="J567" s="206"/>
      <c r="Q567" s="166"/>
    </row>
    <row r="568" spans="2:17" x14ac:dyDescent="0.2">
      <c r="B568" s="1104">
        <v>2016</v>
      </c>
      <c r="C568" s="1105"/>
      <c r="D568" s="1105"/>
      <c r="E568" s="1106"/>
      <c r="F568" s="275"/>
      <c r="G568" s="176">
        <f t="shared" ref="G568:G570" si="91">M559</f>
        <v>0</v>
      </c>
      <c r="H568" s="176">
        <f t="shared" ref="H568:H571" si="92">-G568*0.5</f>
        <v>0</v>
      </c>
      <c r="I568" s="176">
        <f t="shared" ref="I568:I571" si="93">+G568+H568</f>
        <v>0</v>
      </c>
      <c r="J568" s="206"/>
      <c r="Q568" s="166"/>
    </row>
    <row r="569" spans="2:17" x14ac:dyDescent="0.2">
      <c r="B569" s="1104">
        <v>2017</v>
      </c>
      <c r="C569" s="1105"/>
      <c r="D569" s="1105">
        <v>2016</v>
      </c>
      <c r="E569" s="1106"/>
      <c r="F569" s="275"/>
      <c r="G569" s="176">
        <f t="shared" si="91"/>
        <v>0</v>
      </c>
      <c r="H569" s="176">
        <f t="shared" si="92"/>
        <v>0</v>
      </c>
      <c r="I569" s="176">
        <f t="shared" si="93"/>
        <v>0</v>
      </c>
      <c r="J569" s="206"/>
      <c r="Q569" s="166"/>
    </row>
    <row r="570" spans="2:17" x14ac:dyDescent="0.2">
      <c r="B570" s="1104">
        <v>2018</v>
      </c>
      <c r="C570" s="1105"/>
      <c r="D570" s="1105"/>
      <c r="E570" s="1106"/>
      <c r="F570" s="275"/>
      <c r="G570" s="176">
        <f t="shared" si="91"/>
        <v>0</v>
      </c>
      <c r="H570" s="176">
        <f t="shared" si="92"/>
        <v>0</v>
      </c>
      <c r="I570" s="176">
        <f t="shared" si="93"/>
        <v>0</v>
      </c>
      <c r="J570" s="206"/>
      <c r="Q570" s="166"/>
    </row>
    <row r="571" spans="2:17" x14ac:dyDescent="0.2">
      <c r="B571" s="1104">
        <v>2019</v>
      </c>
      <c r="C571" s="1105"/>
      <c r="D571" s="1105"/>
      <c r="E571" s="1106"/>
      <c r="F571" s="275"/>
      <c r="G571" s="176">
        <f>K213</f>
        <v>0</v>
      </c>
      <c r="H571" s="176">
        <f t="shared" si="92"/>
        <v>0</v>
      </c>
      <c r="I571" s="176">
        <f t="shared" si="93"/>
        <v>0</v>
      </c>
      <c r="J571" s="206"/>
      <c r="Q571" s="166"/>
    </row>
    <row r="572" spans="2:17" s="273" customFormat="1" x14ac:dyDescent="0.2">
      <c r="G572" s="276">
        <f>SUM(G567:G571)</f>
        <v>0</v>
      </c>
      <c r="H572" s="276">
        <f>SUM(H567:H571)</f>
        <v>0</v>
      </c>
      <c r="I572" s="276">
        <f>SUM(I567:I571)</f>
        <v>0</v>
      </c>
    </row>
    <row r="573" spans="2:17" x14ac:dyDescent="0.2">
      <c r="Q573" s="166"/>
    </row>
    <row r="574" spans="2:17" x14ac:dyDescent="0.2">
      <c r="B574" s="273" t="s">
        <v>139</v>
      </c>
      <c r="F574" s="810">
        <v>2022</v>
      </c>
      <c r="Q574" s="166"/>
    </row>
    <row r="575" spans="2:17" x14ac:dyDescent="0.2">
      <c r="Q575" s="166"/>
    </row>
    <row r="576" spans="2:17" ht="78" customHeight="1" x14ac:dyDescent="0.2">
      <c r="B576" s="1101" t="s">
        <v>140</v>
      </c>
      <c r="C576" s="1102"/>
      <c r="D576" s="1102"/>
      <c r="E576" s="1103"/>
      <c r="F576" s="274"/>
      <c r="G576" s="165" t="str">
        <f>"Nog af te bouwen regulatoir saldo einde "&amp;F574-1</f>
        <v>Nog af te bouwen regulatoir saldo einde 2021</v>
      </c>
      <c r="H576" s="165" t="str">
        <f>"50% van het oorspronkelijk regulatoir saldo door te rekenen volgens de tariefmethodologie in het boekjaar "&amp;F574</f>
        <v>50% van het oorspronkelijk regulatoir saldo door te rekenen volgens de tariefmethodologie in het boekjaar 2022</v>
      </c>
      <c r="I576" s="165" t="str">
        <f>"Nog af te bouwen regulatoir saldo einde "&amp;F574</f>
        <v>Nog af te bouwen regulatoir saldo einde 2022</v>
      </c>
      <c r="J576" s="206"/>
      <c r="Q576" s="166"/>
    </row>
    <row r="577" spans="2:17" x14ac:dyDescent="0.2">
      <c r="B577" s="1104">
        <v>2015</v>
      </c>
      <c r="C577" s="1105"/>
      <c r="D577" s="1105"/>
      <c r="E577" s="1106"/>
      <c r="F577" s="275"/>
      <c r="G577" s="176">
        <f>+I567</f>
        <v>0</v>
      </c>
      <c r="H577" s="176">
        <f>-G567*0.5</f>
        <v>0</v>
      </c>
      <c r="I577" s="176">
        <f>+G577+H577</f>
        <v>0</v>
      </c>
      <c r="J577" s="206"/>
      <c r="Q577" s="166"/>
    </row>
    <row r="578" spans="2:17" x14ac:dyDescent="0.2">
      <c r="B578" s="1104">
        <v>2016</v>
      </c>
      <c r="C578" s="1105"/>
      <c r="D578" s="1105"/>
      <c r="E578" s="1106"/>
      <c r="F578" s="275"/>
      <c r="G578" s="176">
        <f t="shared" ref="G578:G581" si="94">+I568</f>
        <v>0</v>
      </c>
      <c r="H578" s="176">
        <f t="shared" ref="H578:H581" si="95">-G568*0.5</f>
        <v>0</v>
      </c>
      <c r="I578" s="176">
        <f t="shared" ref="I578:I582" si="96">+G578+H578</f>
        <v>0</v>
      </c>
      <c r="J578" s="206"/>
      <c r="Q578" s="166"/>
    </row>
    <row r="579" spans="2:17" x14ac:dyDescent="0.2">
      <c r="B579" s="1104">
        <v>2017</v>
      </c>
      <c r="C579" s="1105"/>
      <c r="D579" s="1105">
        <v>2016</v>
      </c>
      <c r="E579" s="1106"/>
      <c r="F579" s="275"/>
      <c r="G579" s="176">
        <f t="shared" si="94"/>
        <v>0</v>
      </c>
      <c r="H579" s="176">
        <f t="shared" si="95"/>
        <v>0</v>
      </c>
      <c r="I579" s="176">
        <f t="shared" si="96"/>
        <v>0</v>
      </c>
      <c r="J579" s="206"/>
      <c r="Q579" s="166"/>
    </row>
    <row r="580" spans="2:17" x14ac:dyDescent="0.2">
      <c r="B580" s="1104">
        <v>2018</v>
      </c>
      <c r="C580" s="1105"/>
      <c r="D580" s="1105"/>
      <c r="E580" s="1106"/>
      <c r="F580" s="275"/>
      <c r="G580" s="176">
        <f t="shared" si="94"/>
        <v>0</v>
      </c>
      <c r="H580" s="176">
        <f t="shared" si="95"/>
        <v>0</v>
      </c>
      <c r="I580" s="176">
        <f t="shared" si="96"/>
        <v>0</v>
      </c>
      <c r="J580" s="206"/>
      <c r="Q580" s="166"/>
    </row>
    <row r="581" spans="2:17" x14ac:dyDescent="0.2">
      <c r="B581" s="1104">
        <v>2019</v>
      </c>
      <c r="C581" s="1105"/>
      <c r="D581" s="1105"/>
      <c r="E581" s="1106"/>
      <c r="F581" s="275"/>
      <c r="G581" s="176">
        <f t="shared" si="94"/>
        <v>0</v>
      </c>
      <c r="H581" s="176">
        <f t="shared" si="95"/>
        <v>0</v>
      </c>
      <c r="I581" s="176">
        <f t="shared" si="96"/>
        <v>0</v>
      </c>
      <c r="J581" s="206"/>
      <c r="Q581" s="166"/>
    </row>
    <row r="582" spans="2:17" x14ac:dyDescent="0.2">
      <c r="B582" s="1104">
        <v>2020</v>
      </c>
      <c r="C582" s="1105"/>
      <c r="D582" s="1105"/>
      <c r="E582" s="1106"/>
      <c r="F582" s="275"/>
      <c r="G582" s="176">
        <f>L214</f>
        <v>0</v>
      </c>
      <c r="H582" s="176">
        <f t="shared" ref="H582" si="97">-G582*0.5</f>
        <v>0</v>
      </c>
      <c r="I582" s="176">
        <f t="shared" si="96"/>
        <v>0</v>
      </c>
      <c r="J582" s="206"/>
      <c r="Q582" s="166"/>
    </row>
    <row r="583" spans="2:17" s="273" customFormat="1" x14ac:dyDescent="0.2">
      <c r="G583" s="276">
        <f>SUM(G577:G582)</f>
        <v>0</v>
      </c>
      <c r="H583" s="276">
        <f t="shared" ref="H583" si="98">SUM(H577:H582)</f>
        <v>0</v>
      </c>
      <c r="I583" s="276">
        <f t="shared" ref="I583" si="99">SUM(I577:I582)</f>
        <v>0</v>
      </c>
    </row>
    <row r="584" spans="2:17" x14ac:dyDescent="0.2">
      <c r="Q584" s="166"/>
    </row>
    <row r="585" spans="2:17" x14ac:dyDescent="0.2">
      <c r="B585" s="273" t="s">
        <v>139</v>
      </c>
      <c r="F585" s="810">
        <v>2023</v>
      </c>
      <c r="Q585" s="166"/>
    </row>
    <row r="586" spans="2:17" x14ac:dyDescent="0.2">
      <c r="Q586" s="166"/>
    </row>
    <row r="587" spans="2:17" ht="78" customHeight="1" x14ac:dyDescent="0.2">
      <c r="B587" s="1101" t="s">
        <v>140</v>
      </c>
      <c r="C587" s="1102"/>
      <c r="D587" s="1102"/>
      <c r="E587" s="1103"/>
      <c r="F587" s="274"/>
      <c r="G587" s="165" t="str">
        <f>"Nog af te bouwen regulatoir saldo einde "&amp;F585-1</f>
        <v>Nog af te bouwen regulatoir saldo einde 2022</v>
      </c>
      <c r="H587" s="165" t="str">
        <f>"50% van het oorspronkelijk regulatoir saldo door te rekenen volgens de tariefmethodologie in het boekjaar "&amp;F585</f>
        <v>50% van het oorspronkelijk regulatoir saldo door te rekenen volgens de tariefmethodologie in het boekjaar 2023</v>
      </c>
      <c r="I587" s="165" t="str">
        <f>"Nog af te bouwen regulatoir saldo einde "&amp;F585</f>
        <v>Nog af te bouwen regulatoir saldo einde 2023</v>
      </c>
      <c r="J587" s="206"/>
      <c r="Q587" s="166"/>
    </row>
    <row r="588" spans="2:17" x14ac:dyDescent="0.2">
      <c r="B588" s="1104">
        <v>2020</v>
      </c>
      <c r="C588" s="1105"/>
      <c r="D588" s="1105"/>
      <c r="E588" s="1106"/>
      <c r="F588" s="275"/>
      <c r="G588" s="176">
        <f>+I582</f>
        <v>0</v>
      </c>
      <c r="H588" s="176">
        <f>-G582*0.5</f>
        <v>0</v>
      </c>
      <c r="I588" s="176">
        <f t="shared" ref="I588" si="100">+G588+H588</f>
        <v>0</v>
      </c>
      <c r="J588" s="206"/>
      <c r="Q588" s="166"/>
    </row>
    <row r="589" spans="2:17" s="273" customFormat="1" x14ac:dyDescent="0.2">
      <c r="G589" s="276">
        <f>SUM(G588:G588)</f>
        <v>0</v>
      </c>
      <c r="H589" s="276">
        <f>SUM(H588:H588)</f>
        <v>0</v>
      </c>
      <c r="I589" s="276">
        <f>SUM(I588:I588)</f>
        <v>0</v>
      </c>
    </row>
    <row r="590" spans="2:17" x14ac:dyDescent="0.2">
      <c r="Q590" s="166"/>
    </row>
    <row r="591" spans="2:17" x14ac:dyDescent="0.2">
      <c r="B591" s="273" t="s">
        <v>169</v>
      </c>
      <c r="Q591" s="166"/>
    </row>
    <row r="592" spans="2:17" x14ac:dyDescent="0.2">
      <c r="B592" s="273" t="s">
        <v>141</v>
      </c>
      <c r="C592" s="216"/>
      <c r="D592" s="216"/>
      <c r="E592" s="216"/>
      <c r="Q592" s="166"/>
    </row>
    <row r="593" spans="2:17" x14ac:dyDescent="0.2">
      <c r="B593" s="273"/>
      <c r="C593" s="216"/>
      <c r="D593" s="216"/>
      <c r="E593" s="216"/>
      <c r="Q593" s="166"/>
    </row>
    <row r="594" spans="2:17" x14ac:dyDescent="0.2">
      <c r="B594" s="275">
        <v>2021</v>
      </c>
      <c r="C594" s="279">
        <f>+H572</f>
        <v>0</v>
      </c>
      <c r="D594" s="216"/>
      <c r="E594" s="216"/>
      <c r="Q594" s="166"/>
    </row>
    <row r="595" spans="2:17" x14ac:dyDescent="0.2">
      <c r="B595" s="275">
        <v>2022</v>
      </c>
      <c r="C595" s="279">
        <f>+H583</f>
        <v>0</v>
      </c>
      <c r="D595" s="216"/>
      <c r="E595" s="216"/>
      <c r="Q595" s="166"/>
    </row>
    <row r="596" spans="2:17" x14ac:dyDescent="0.2">
      <c r="B596" s="275">
        <v>2023</v>
      </c>
      <c r="C596" s="279">
        <f>+H589</f>
        <v>0</v>
      </c>
      <c r="D596" s="216"/>
      <c r="E596" s="216"/>
      <c r="Q596" s="166"/>
    </row>
    <row r="597" spans="2:17" x14ac:dyDescent="0.2">
      <c r="B597" s="336">
        <v>2024</v>
      </c>
      <c r="C597" s="337">
        <v>0</v>
      </c>
      <c r="D597" s="216"/>
      <c r="E597" s="216"/>
      <c r="Q597" s="166"/>
    </row>
    <row r="598" spans="2:17" x14ac:dyDescent="0.2">
      <c r="Q598" s="166"/>
    </row>
    <row r="599" spans="2:17" x14ac:dyDescent="0.2">
      <c r="Q599" s="166"/>
    </row>
    <row r="600" spans="2:17" x14ac:dyDescent="0.2">
      <c r="B600" s="321" t="s">
        <v>67</v>
      </c>
      <c r="C600" s="322"/>
      <c r="D600" s="322"/>
      <c r="E600" s="322"/>
      <c r="F600" s="323"/>
      <c r="G600" s="323"/>
      <c r="H600" s="323"/>
      <c r="I600" s="323"/>
      <c r="J600" s="323"/>
      <c r="K600" s="323"/>
      <c r="L600" s="323"/>
      <c r="M600" s="323"/>
      <c r="Q600" s="166"/>
    </row>
    <row r="601" spans="2:17" x14ac:dyDescent="0.2">
      <c r="Q601" s="166"/>
    </row>
    <row r="602" spans="2:17" x14ac:dyDescent="0.2">
      <c r="B602" s="273" t="s">
        <v>139</v>
      </c>
      <c r="F602" s="810">
        <v>2017</v>
      </c>
      <c r="Q602" s="166"/>
    </row>
    <row r="603" spans="2:17" x14ac:dyDescent="0.2">
      <c r="L603" s="206"/>
      <c r="Q603" s="166"/>
    </row>
    <row r="604" spans="2:17" ht="82.5" customHeight="1" x14ac:dyDescent="0.2">
      <c r="B604" s="1101" t="s">
        <v>140</v>
      </c>
      <c r="C604" s="1102"/>
      <c r="D604" s="1102"/>
      <c r="E604" s="1103"/>
      <c r="F604" s="274"/>
      <c r="G604" s="165" t="str">
        <f>"Nog af te bouwen regulatoir saldo einde "&amp;F602-1</f>
        <v>Nog af te bouwen regulatoir saldo einde 2016</v>
      </c>
      <c r="H604" s="165" t="str">
        <f>"Afbouw oudste openstaande regulatoir saldo vanaf boekjaar "&amp;F602-3&amp;" en vroeger, door aanwending van compensatie met regulatoir saldo ontstaan over boekjaar "&amp;F602-2</f>
        <v>Afbouw oudste openstaande regulatoir saldo vanaf boekjaar 2014 en vroeger, door aanwending van compensatie met regulatoir saldo ontstaan over boekjaar 2015</v>
      </c>
      <c r="I604" s="165" t="str">
        <f>"Nog af te bouwen regulatoir saldo na compensatie einde "&amp;F602-1</f>
        <v>Nog af te bouwen regulatoir saldo na compensatie einde 2016</v>
      </c>
      <c r="J604" s="165" t="str">
        <f>"Aanwending van 60% van het geaccumuleerd regulatoir saldo door te rekenen volgens de tariefmethodologie in het boekjaar "&amp;F602</f>
        <v>Aanwending van 60% van het geaccumuleerd regulatoir saldo door te rekenen volgens de tariefmethodologie in het boekjaar 2017</v>
      </c>
      <c r="K604" s="165" t="str">
        <f>"Nog af te bouwen regulatoir saldo einde "&amp;F602</f>
        <v>Nog af te bouwen regulatoir saldo einde 2017</v>
      </c>
      <c r="L604" s="206"/>
      <c r="Q604" s="166"/>
    </row>
    <row r="605" spans="2:17" x14ac:dyDescent="0.2">
      <c r="B605" s="1104">
        <v>2015</v>
      </c>
      <c r="C605" s="1105"/>
      <c r="D605" s="1105"/>
      <c r="E605" s="1106"/>
      <c r="F605" s="275"/>
      <c r="G605" s="176">
        <f>G220</f>
        <v>0</v>
      </c>
      <c r="H605" s="521">
        <v>0</v>
      </c>
      <c r="I605" s="176">
        <f>+G605+H605</f>
        <v>0</v>
      </c>
      <c r="J605" s="176">
        <f>-I605*0.6</f>
        <v>0</v>
      </c>
      <c r="K605" s="811">
        <f>+J605+G605</f>
        <v>0</v>
      </c>
      <c r="L605" s="206"/>
      <c r="Q605" s="166"/>
    </row>
    <row r="606" spans="2:17" x14ac:dyDescent="0.2">
      <c r="L606" s="206"/>
      <c r="Q606" s="166"/>
    </row>
    <row r="607" spans="2:17" x14ac:dyDescent="0.2">
      <c r="B607" s="273" t="s">
        <v>139</v>
      </c>
      <c r="F607" s="810">
        <v>2018</v>
      </c>
      <c r="Q607" s="166"/>
    </row>
    <row r="608" spans="2:17" x14ac:dyDescent="0.2">
      <c r="Q608" s="166"/>
    </row>
    <row r="609" spans="2:17" ht="80.099999999999994" customHeight="1" x14ac:dyDescent="0.2">
      <c r="B609" s="1101" t="s">
        <v>140</v>
      </c>
      <c r="C609" s="1102"/>
      <c r="D609" s="1102"/>
      <c r="E609" s="1103"/>
      <c r="F609" s="274"/>
      <c r="G609" s="165" t="str">
        <f>"Nog af te bouwen regulatoir saldo einde "&amp;F607-1</f>
        <v>Nog af te bouwen regulatoir saldo einde 2017</v>
      </c>
      <c r="H609" s="165" t="str">
        <f>"Afbouw oudste openstaande regulatoir saldo vanaf boekjaar "&amp;F607-3&amp;" en vroeger, door aanwending van compensatie met regulatoir saldo ontstaan over boekjaar "&amp;F607-2</f>
        <v>Afbouw oudste openstaande regulatoir saldo vanaf boekjaar 2015 en vroeger, door aanwending van compensatie met regulatoir saldo ontstaan over boekjaar 2016</v>
      </c>
      <c r="I609" s="165" t="str">
        <f>"Nog af te bouwen regulatoir saldo na compensatie einde "&amp;F607-1</f>
        <v>Nog af te bouwen regulatoir saldo na compensatie einde 2017</v>
      </c>
      <c r="J609" s="165" t="str">
        <f>"60% van het geaccumuleerd regulatoir saldo door te rekenen volgens de tariefmethodologie in het boekjaar "&amp;F607</f>
        <v>60% van het geaccumuleerd regulatoir saldo door te rekenen volgens de tariefmethodologie in het boekjaar 2018</v>
      </c>
      <c r="K609" s="165" t="str">
        <f>"Aanwending van 60% van het geaccumuleerd regulatoir saldo door te rekenen volgens de tariefmethodologie in het boekjaar "&amp;F607</f>
        <v>Aanwending van 60% van het geaccumuleerd regulatoir saldo door te rekenen volgens de tariefmethodologie in het boekjaar 2018</v>
      </c>
      <c r="L609" s="165" t="str">
        <f>"Totale afbouw over "&amp;F607</f>
        <v>Totale afbouw over 2018</v>
      </c>
      <c r="M609" s="165" t="str">
        <f>"Nog af te bouwen regulatoir saldo einde "&amp;F607</f>
        <v>Nog af te bouwen regulatoir saldo einde 2018</v>
      </c>
      <c r="N609" s="206"/>
      <c r="Q609" s="166"/>
    </row>
    <row r="610" spans="2:17" x14ac:dyDescent="0.2">
      <c r="B610" s="1104">
        <v>2015</v>
      </c>
      <c r="C610" s="1105"/>
      <c r="D610" s="1105"/>
      <c r="E610" s="1106"/>
      <c r="F610" s="275"/>
      <c r="G610" s="176">
        <f>K605</f>
        <v>0</v>
      </c>
      <c r="H610" s="521">
        <f>IF(SIGN(G611*K605)&lt;0,IF(G610&lt;&gt;0,-SIGN(G610)*MIN(ABS(G611),ABS(G610)),0),0)</f>
        <v>0</v>
      </c>
      <c r="I610" s="176">
        <f>+G610+H610</f>
        <v>0</v>
      </c>
      <c r="J610" s="806"/>
      <c r="K610" s="521">
        <f>-MIN(ABS(I610),ABS(J612))*SIGN(I610)</f>
        <v>0</v>
      </c>
      <c r="L610" s="813">
        <f>+K610+H610</f>
        <v>0</v>
      </c>
      <c r="M610" s="176">
        <f>+I610+K610</f>
        <v>0</v>
      </c>
      <c r="N610" s="206"/>
      <c r="Q610" s="166"/>
    </row>
    <row r="611" spans="2:17" x14ac:dyDescent="0.2">
      <c r="B611" s="1104">
        <v>2016</v>
      </c>
      <c r="C611" s="1105"/>
      <c r="D611" s="1105"/>
      <c r="E611" s="1106"/>
      <c r="F611" s="275"/>
      <c r="G611" s="176">
        <f>H221</f>
        <v>0</v>
      </c>
      <c r="H611" s="813">
        <f>IF(SIGN(G611*K605)&lt;0,-H610,0)</f>
        <v>0</v>
      </c>
      <c r="I611" s="176">
        <f>+G611+H611</f>
        <v>0</v>
      </c>
      <c r="J611" s="806"/>
      <c r="K611" s="521">
        <f>-MIN(ABS(I611),ABS(J612-K610))*SIGN(I611)</f>
        <v>0</v>
      </c>
      <c r="L611" s="813">
        <f>+K611+H611</f>
        <v>0</v>
      </c>
      <c r="M611" s="176">
        <f>+I611+K611</f>
        <v>0</v>
      </c>
      <c r="N611" s="206"/>
      <c r="Q611" s="166"/>
    </row>
    <row r="612" spans="2:17" s="273" customFormat="1" x14ac:dyDescent="0.2">
      <c r="G612" s="276">
        <f>SUM(G610:G611)</f>
        <v>0</v>
      </c>
      <c r="H612" s="168">
        <f>SUM(H610:H611)</f>
        <v>0</v>
      </c>
      <c r="I612" s="276">
        <f>SUM(I610:I611)</f>
        <v>0</v>
      </c>
      <c r="J612" s="276">
        <f>-I612*0.6</f>
        <v>0</v>
      </c>
      <c r="K612" s="168">
        <f>SUM(K610:K611)</f>
        <v>0</v>
      </c>
      <c r="L612" s="528"/>
      <c r="M612" s="276">
        <f>SUM(M610:M611)</f>
        <v>0</v>
      </c>
    </row>
    <row r="613" spans="2:17" x14ac:dyDescent="0.2">
      <c r="K613" s="214"/>
      <c r="L613" s="214"/>
      <c r="Q613" s="166"/>
    </row>
    <row r="614" spans="2:17" x14ac:dyDescent="0.2">
      <c r="B614" s="273" t="s">
        <v>139</v>
      </c>
      <c r="F614" s="810">
        <v>2019</v>
      </c>
      <c r="Q614" s="166"/>
    </row>
    <row r="615" spans="2:17" x14ac:dyDescent="0.2">
      <c r="Q615" s="166"/>
    </row>
    <row r="616" spans="2:17" ht="80.099999999999994" customHeight="1" x14ac:dyDescent="0.2">
      <c r="B616" s="1101" t="s">
        <v>140</v>
      </c>
      <c r="C616" s="1102"/>
      <c r="D616" s="1102"/>
      <c r="E616" s="1103"/>
      <c r="F616" s="274"/>
      <c r="G616" s="165" t="str">
        <f>"Nog af te bouwen regulatoir saldo einde "&amp;F614-1</f>
        <v>Nog af te bouwen regulatoir saldo einde 2018</v>
      </c>
      <c r="H616" s="165" t="str">
        <f>"Afbouw oudste openstaande regulatoir saldo vanaf boekjaar "&amp;F614-3&amp;" en vroeger, door aanwending van compensatie met regulatoir saldo ontstaan over boekjaar "&amp;F614-2</f>
        <v>Afbouw oudste openstaande regulatoir saldo vanaf boekjaar 2016 en vroeger, door aanwending van compensatie met regulatoir saldo ontstaan over boekjaar 2017</v>
      </c>
      <c r="I616" s="165" t="str">
        <f>"Nog af te bouwen regulatoir saldo na compensatie einde "&amp;F614-1</f>
        <v>Nog af te bouwen regulatoir saldo na compensatie einde 2018</v>
      </c>
      <c r="J616" s="165" t="str">
        <f>"60% van het geaccumuleerd regulatoir saldo door te rekenen volgens de tariefmethodologie in het boekjaar "&amp;F614</f>
        <v>60% van het geaccumuleerd regulatoir saldo door te rekenen volgens de tariefmethodologie in het boekjaar 2019</v>
      </c>
      <c r="K616" s="165" t="str">
        <f>"Aanwending van het 60% van het geaccumuleerd regulatoir saldo door te rekenen volgens de tariefmethodologie in het boekjaar "&amp;F614</f>
        <v>Aanwending van het 60% van het geaccumuleerd regulatoir saldo door te rekenen volgens de tariefmethodologie in het boekjaar 2019</v>
      </c>
      <c r="L616" s="165" t="str">
        <f>"Totale afbouw over "&amp;F614</f>
        <v>Totale afbouw over 2019</v>
      </c>
      <c r="M616" s="165" t="str">
        <f>"Nog af te bouwen regulatoir saldo einde "&amp;F614</f>
        <v>Nog af te bouwen regulatoir saldo einde 2019</v>
      </c>
      <c r="N616" s="206"/>
      <c r="Q616" s="166"/>
    </row>
    <row r="617" spans="2:17" x14ac:dyDescent="0.2">
      <c r="B617" s="1104">
        <v>2015</v>
      </c>
      <c r="C617" s="1105"/>
      <c r="D617" s="1105"/>
      <c r="E617" s="1106"/>
      <c r="F617" s="275"/>
      <c r="G617" s="176">
        <f>+M610</f>
        <v>0</v>
      </c>
      <c r="H617" s="813">
        <f>IF(SIGN(G619*M612)&lt;0,IF(G617&lt;&gt;0,-SIGN(G617)*MIN(ABS(G619),ABS(G617)),0),0)</f>
        <v>0</v>
      </c>
      <c r="I617" s="176">
        <f>+G617+H617</f>
        <v>0</v>
      </c>
      <c r="J617" s="806"/>
      <c r="K617" s="521">
        <f>-MIN(ABS(I617),ABS(J620))*SIGN(I617)</f>
        <v>0</v>
      </c>
      <c r="L617" s="813">
        <f>+K617+H617</f>
        <v>0</v>
      </c>
      <c r="M617" s="176">
        <f>+I617+K617</f>
        <v>0</v>
      </c>
      <c r="N617" s="206"/>
      <c r="Q617" s="166"/>
    </row>
    <row r="618" spans="2:17" x14ac:dyDescent="0.2">
      <c r="B618" s="1104">
        <v>2016</v>
      </c>
      <c r="C618" s="1105"/>
      <c r="D618" s="1105">
        <v>2016</v>
      </c>
      <c r="E618" s="1106"/>
      <c r="F618" s="275"/>
      <c r="G618" s="176">
        <f>+M611</f>
        <v>0</v>
      </c>
      <c r="H618" s="813">
        <f>IF(SIGN(G619*M612)&lt;0,IF(G618&lt;&gt;0,-SIGN(G618)*MIN(ABS(G619-H617),ABS(G618)),0),0)</f>
        <v>0</v>
      </c>
      <c r="I618" s="176">
        <f>+G618+H618</f>
        <v>0</v>
      </c>
      <c r="J618" s="806"/>
      <c r="K618" s="521">
        <f>-MIN(ABS(I618),ABS(J620-K617))*SIGN(I618)</f>
        <v>0</v>
      </c>
      <c r="L618" s="813">
        <f>+K618+H618</f>
        <v>0</v>
      </c>
      <c r="M618" s="176">
        <f>+I618+K618</f>
        <v>0</v>
      </c>
      <c r="N618" s="206"/>
      <c r="Q618" s="166"/>
    </row>
    <row r="619" spans="2:17" x14ac:dyDescent="0.2">
      <c r="B619" s="1104">
        <v>2017</v>
      </c>
      <c r="C619" s="1105"/>
      <c r="D619" s="1105"/>
      <c r="E619" s="1106"/>
      <c r="F619" s="275"/>
      <c r="G619" s="176">
        <f>I222</f>
        <v>0</v>
      </c>
      <c r="H619" s="813">
        <f>IF(SIGN(G619*M612)&lt;0,-SUM(H617:H618),0)</f>
        <v>0</v>
      </c>
      <c r="I619" s="176">
        <f>+G619+H619</f>
        <v>0</v>
      </c>
      <c r="J619" s="806"/>
      <c r="K619" s="521">
        <f>-MIN(ABS(I619),ABS(J620-K617-K618))*SIGN(I619)</f>
        <v>0</v>
      </c>
      <c r="L619" s="813">
        <f>+K619+H619</f>
        <v>0</v>
      </c>
      <c r="M619" s="176">
        <f>+I619+K619</f>
        <v>0</v>
      </c>
      <c r="N619" s="206"/>
      <c r="Q619" s="166"/>
    </row>
    <row r="620" spans="2:17" s="273" customFormat="1" x14ac:dyDescent="0.2">
      <c r="G620" s="276">
        <f>SUM(G617:G619)</f>
        <v>0</v>
      </c>
      <c r="H620" s="168">
        <f>SUM(H617:H619)</f>
        <v>0</v>
      </c>
      <c r="I620" s="276">
        <f>SUM(I617:I619)</f>
        <v>0</v>
      </c>
      <c r="J620" s="276">
        <f>-I620*0.6</f>
        <v>0</v>
      </c>
      <c r="K620" s="168">
        <f>SUM(K617:K619)</f>
        <v>0</v>
      </c>
      <c r="L620" s="528"/>
      <c r="M620" s="276">
        <f>SUM(M617:M619)</f>
        <v>0</v>
      </c>
    </row>
    <row r="621" spans="2:17" x14ac:dyDescent="0.2">
      <c r="H621" s="214"/>
      <c r="Q621" s="166"/>
    </row>
    <row r="622" spans="2:17" x14ac:dyDescent="0.2">
      <c r="B622" s="273" t="s">
        <v>139</v>
      </c>
      <c r="F622" s="810">
        <v>2020</v>
      </c>
      <c r="Q622" s="166"/>
    </row>
    <row r="623" spans="2:17" x14ac:dyDescent="0.2">
      <c r="Q623" s="166"/>
    </row>
    <row r="624" spans="2:17" ht="80.099999999999994" customHeight="1" x14ac:dyDescent="0.2">
      <c r="B624" s="1101" t="s">
        <v>140</v>
      </c>
      <c r="C624" s="1102"/>
      <c r="D624" s="1102"/>
      <c r="E624" s="1103"/>
      <c r="F624" s="274"/>
      <c r="G624" s="165" t="str">
        <f>"Nog af te bouwen regulatoir saldo einde "&amp;F622-1</f>
        <v>Nog af te bouwen regulatoir saldo einde 2019</v>
      </c>
      <c r="H624" s="165" t="str">
        <f>"Afbouw oudste openstaande regulatoir saldo vanaf boekjaar "&amp;F622-3&amp;" en vroeger, door aanwending van compensatie met regulatoir saldo ontstaan over boekjaar "&amp;F622-2</f>
        <v>Afbouw oudste openstaande regulatoir saldo vanaf boekjaar 2017 en vroeger, door aanwending van compensatie met regulatoir saldo ontstaan over boekjaar 2018</v>
      </c>
      <c r="I624" s="165" t="str">
        <f>"Nog af te bouwen regulatoir saldo na compensatie einde "&amp;F622-1</f>
        <v>Nog af te bouwen regulatoir saldo na compensatie einde 2019</v>
      </c>
      <c r="J624" s="165" t="str">
        <f>"60% van het geaccumuleerd regulatoir saldo door te rekenen volgens de tariefmethodologie in het boekjaar "&amp;F622</f>
        <v>60% van het geaccumuleerd regulatoir saldo door te rekenen volgens de tariefmethodologie in het boekjaar 2020</v>
      </c>
      <c r="K624" s="165" t="str">
        <f>"Aanwending van het 60% van het geaccumuleerd regulatoir saldo door te rekenen volgens de tariefmethodologie in het boekjaar "&amp;F622</f>
        <v>Aanwending van het 60% van het geaccumuleerd regulatoir saldo door te rekenen volgens de tariefmethodologie in het boekjaar 2020</v>
      </c>
      <c r="L624" s="165" t="str">
        <f>"Totale afbouw over "&amp;F622</f>
        <v>Totale afbouw over 2020</v>
      </c>
      <c r="M624" s="165" t="str">
        <f>"Nog af te bouwen regulatoir saldo einde "&amp;F622</f>
        <v>Nog af te bouwen regulatoir saldo einde 2020</v>
      </c>
      <c r="N624" s="206"/>
      <c r="Q624" s="166"/>
    </row>
    <row r="625" spans="2:17" x14ac:dyDescent="0.2">
      <c r="B625" s="1104">
        <v>2015</v>
      </c>
      <c r="C625" s="1105"/>
      <c r="D625" s="1105"/>
      <c r="E625" s="1106"/>
      <c r="F625" s="275"/>
      <c r="G625" s="176">
        <f>+M617</f>
        <v>0</v>
      </c>
      <c r="H625" s="813">
        <f>IF(SIGN(G628*M620)&lt;0,IF(G625&lt;&gt;0,-SIGN(G625)*MIN(ABS(G628),ABS(G625)),0),0)</f>
        <v>0</v>
      </c>
      <c r="I625" s="176">
        <f>+G625+H625</f>
        <v>0</v>
      </c>
      <c r="J625" s="806"/>
      <c r="K625" s="521">
        <f>-MIN(ABS(I625),ABS(J629))*SIGN(I625)</f>
        <v>0</v>
      </c>
      <c r="L625" s="813">
        <f>+K625+H625</f>
        <v>0</v>
      </c>
      <c r="M625" s="176">
        <f>+I625+K625</f>
        <v>0</v>
      </c>
      <c r="N625" s="206"/>
      <c r="Q625" s="166"/>
    </row>
    <row r="626" spans="2:17" x14ac:dyDescent="0.2">
      <c r="B626" s="1104">
        <v>2016</v>
      </c>
      <c r="C626" s="1105"/>
      <c r="D626" s="1105"/>
      <c r="E626" s="1106"/>
      <c r="F626" s="275"/>
      <c r="G626" s="176">
        <f>+M618</f>
        <v>0</v>
      </c>
      <c r="H626" s="813">
        <f>IF(SIGN(G628*M620)&lt;0,IF(G626&lt;&gt;0,-SIGN(G626)*MIN(ABS(G628-H625),ABS(G626)),0),0)</f>
        <v>0</v>
      </c>
      <c r="I626" s="176">
        <f>+G626+H626</f>
        <v>0</v>
      </c>
      <c r="J626" s="806"/>
      <c r="K626" s="521">
        <f>-MIN(ABS(I626),ABS(J629-K625))*SIGN(I626)</f>
        <v>0</v>
      </c>
      <c r="L626" s="813">
        <f>+K626+H626</f>
        <v>0</v>
      </c>
      <c r="M626" s="176">
        <f>+I626+K626</f>
        <v>0</v>
      </c>
      <c r="N626" s="206"/>
      <c r="Q626" s="166"/>
    </row>
    <row r="627" spans="2:17" x14ac:dyDescent="0.2">
      <c r="B627" s="1104">
        <v>2017</v>
      </c>
      <c r="C627" s="1105"/>
      <c r="D627" s="1105">
        <v>2016</v>
      </c>
      <c r="E627" s="1106"/>
      <c r="F627" s="275"/>
      <c r="G627" s="176">
        <f>+M619</f>
        <v>0</v>
      </c>
      <c r="H627" s="813">
        <f>IF(SIGN(G628*M620)&lt;0,IF(G627&lt;&gt;0,-SIGN(G627)*MIN(ABS(G628-H625-H626),ABS(G627)),0),0)</f>
        <v>0</v>
      </c>
      <c r="I627" s="176">
        <f>+G627+H627</f>
        <v>0</v>
      </c>
      <c r="J627" s="806"/>
      <c r="K627" s="521">
        <f>-MIN(ABS(I627),ABS(J629-K625-K626))*SIGN(I627)</f>
        <v>0</v>
      </c>
      <c r="L627" s="813">
        <f>+K627+H627</f>
        <v>0</v>
      </c>
      <c r="M627" s="176">
        <f>+I627+K627</f>
        <v>0</v>
      </c>
      <c r="N627" s="206"/>
      <c r="Q627" s="166"/>
    </row>
    <row r="628" spans="2:17" x14ac:dyDescent="0.2">
      <c r="B628" s="1104">
        <v>2018</v>
      </c>
      <c r="C628" s="1105"/>
      <c r="D628" s="1105"/>
      <c r="E628" s="1106"/>
      <c r="F628" s="275"/>
      <c r="G628" s="176">
        <f>J223</f>
        <v>0</v>
      </c>
      <c r="H628" s="813">
        <f>IF(SIGN(G628*M620)&lt;0,-SUM(H625:H627),0)</f>
        <v>0</v>
      </c>
      <c r="I628" s="176">
        <f>+G628+H628</f>
        <v>0</v>
      </c>
      <c r="J628" s="806"/>
      <c r="K628" s="521">
        <f>-MIN(ABS(I628),ABS(J629-K625-K626-K627))*SIGN(I628)</f>
        <v>0</v>
      </c>
      <c r="L628" s="813">
        <f>+K628+H628</f>
        <v>0</v>
      </c>
      <c r="M628" s="176">
        <f>+I628+K628</f>
        <v>0</v>
      </c>
      <c r="N628" s="206"/>
      <c r="Q628" s="166"/>
    </row>
    <row r="629" spans="2:17" s="273" customFormat="1" x14ac:dyDescent="0.2">
      <c r="G629" s="276">
        <f>SUM(G625:G628)</f>
        <v>0</v>
      </c>
      <c r="H629" s="168">
        <f>SUM(H625:H628)</f>
        <v>0</v>
      </c>
      <c r="I629" s="276">
        <f>SUM(I625:I628)</f>
        <v>0</v>
      </c>
      <c r="J629" s="276">
        <f>-I629*0.6</f>
        <v>0</v>
      </c>
      <c r="K629" s="168">
        <f>SUM(K625:K628)</f>
        <v>0</v>
      </c>
      <c r="L629" s="168"/>
      <c r="M629" s="276">
        <f>SUM(M625:M628)</f>
        <v>0</v>
      </c>
    </row>
    <row r="630" spans="2:17" x14ac:dyDescent="0.2">
      <c r="Q630" s="166"/>
    </row>
    <row r="631" spans="2:17" x14ac:dyDescent="0.2">
      <c r="B631" s="273" t="s">
        <v>139</v>
      </c>
      <c r="F631" s="810">
        <v>2021</v>
      </c>
      <c r="Q631" s="166"/>
    </row>
    <row r="632" spans="2:17" x14ac:dyDescent="0.2">
      <c r="Q632" s="166"/>
    </row>
    <row r="633" spans="2:17" ht="78" customHeight="1" x14ac:dyDescent="0.2">
      <c r="B633" s="1101" t="s">
        <v>140</v>
      </c>
      <c r="C633" s="1102"/>
      <c r="D633" s="1102"/>
      <c r="E633" s="1103"/>
      <c r="F633" s="274"/>
      <c r="G633" s="165" t="str">
        <f>"Nog af te bouwen regulatoir saldo einde "&amp;F631-1</f>
        <v>Nog af te bouwen regulatoir saldo einde 2020</v>
      </c>
      <c r="H633" s="165" t="str">
        <f>"50% van het oorspronkelijk regulatoir saldo door te rekenen volgens de tariefmethodologie in het boekjaar "&amp;F631</f>
        <v>50% van het oorspronkelijk regulatoir saldo door te rekenen volgens de tariefmethodologie in het boekjaar 2021</v>
      </c>
      <c r="I633" s="165" t="str">
        <f>"Nog af te bouwen regulatoir saldo einde "&amp;F631</f>
        <v>Nog af te bouwen regulatoir saldo einde 2021</v>
      </c>
      <c r="J633" s="206"/>
      <c r="Q633" s="166"/>
    </row>
    <row r="634" spans="2:17" x14ac:dyDescent="0.2">
      <c r="B634" s="1104">
        <v>2015</v>
      </c>
      <c r="C634" s="1105"/>
      <c r="D634" s="1105"/>
      <c r="E634" s="1106"/>
      <c r="F634" s="275"/>
      <c r="G634" s="176">
        <f>M625</f>
        <v>0</v>
      </c>
      <c r="H634" s="176">
        <f>-G634*0.5</f>
        <v>0</v>
      </c>
      <c r="I634" s="176">
        <f>+G634+H634</f>
        <v>0</v>
      </c>
      <c r="J634" s="206"/>
      <c r="Q634" s="166"/>
    </row>
    <row r="635" spans="2:17" x14ac:dyDescent="0.2">
      <c r="B635" s="1104">
        <v>2016</v>
      </c>
      <c r="C635" s="1105"/>
      <c r="D635" s="1105"/>
      <c r="E635" s="1106"/>
      <c r="F635" s="275"/>
      <c r="G635" s="176">
        <f t="shared" ref="G635:G637" si="101">M626</f>
        <v>0</v>
      </c>
      <c r="H635" s="176">
        <f t="shared" ref="H635:H638" si="102">-G635*0.5</f>
        <v>0</v>
      </c>
      <c r="I635" s="176">
        <f t="shared" ref="I635:I638" si="103">+G635+H635</f>
        <v>0</v>
      </c>
      <c r="J635" s="206"/>
      <c r="Q635" s="166"/>
    </row>
    <row r="636" spans="2:17" x14ac:dyDescent="0.2">
      <c r="B636" s="1104">
        <v>2017</v>
      </c>
      <c r="C636" s="1105"/>
      <c r="D636" s="1105">
        <v>2016</v>
      </c>
      <c r="E636" s="1106"/>
      <c r="F636" s="275"/>
      <c r="G636" s="176">
        <f t="shared" si="101"/>
        <v>0</v>
      </c>
      <c r="H636" s="176">
        <f t="shared" si="102"/>
        <v>0</v>
      </c>
      <c r="I636" s="176">
        <f t="shared" si="103"/>
        <v>0</v>
      </c>
      <c r="J636" s="206"/>
      <c r="Q636" s="166"/>
    </row>
    <row r="637" spans="2:17" x14ac:dyDescent="0.2">
      <c r="B637" s="1104">
        <v>2018</v>
      </c>
      <c r="C637" s="1105"/>
      <c r="D637" s="1105"/>
      <c r="E637" s="1106"/>
      <c r="F637" s="275"/>
      <c r="G637" s="176">
        <f t="shared" si="101"/>
        <v>0</v>
      </c>
      <c r="H637" s="176">
        <f t="shared" si="102"/>
        <v>0</v>
      </c>
      <c r="I637" s="176">
        <f t="shared" si="103"/>
        <v>0</v>
      </c>
      <c r="J637" s="206"/>
      <c r="Q637" s="166"/>
    </row>
    <row r="638" spans="2:17" x14ac:dyDescent="0.2">
      <c r="B638" s="1104">
        <v>2019</v>
      </c>
      <c r="C638" s="1105"/>
      <c r="D638" s="1105"/>
      <c r="E638" s="1106"/>
      <c r="F638" s="275"/>
      <c r="G638" s="176">
        <f>K224</f>
        <v>0</v>
      </c>
      <c r="H638" s="176">
        <f t="shared" si="102"/>
        <v>0</v>
      </c>
      <c r="I638" s="176">
        <f t="shared" si="103"/>
        <v>0</v>
      </c>
      <c r="J638" s="206"/>
      <c r="Q638" s="166"/>
    </row>
    <row r="639" spans="2:17" s="273" customFormat="1" x14ac:dyDescent="0.2">
      <c r="G639" s="276">
        <f>SUM(G634:G638)</f>
        <v>0</v>
      </c>
      <c r="H639" s="276">
        <f>SUM(H634:H638)</f>
        <v>0</v>
      </c>
      <c r="I639" s="276">
        <f>SUM(I634:I638)</f>
        <v>0</v>
      </c>
    </row>
    <row r="640" spans="2:17" x14ac:dyDescent="0.2">
      <c r="Q640" s="166"/>
    </row>
    <row r="641" spans="2:17" x14ac:dyDescent="0.2">
      <c r="B641" s="273" t="s">
        <v>139</v>
      </c>
      <c r="F641" s="810">
        <v>2022</v>
      </c>
      <c r="Q641" s="166"/>
    </row>
    <row r="642" spans="2:17" x14ac:dyDescent="0.2">
      <c r="Q642" s="166"/>
    </row>
    <row r="643" spans="2:17" ht="78" customHeight="1" x14ac:dyDescent="0.2">
      <c r="B643" s="1101" t="s">
        <v>140</v>
      </c>
      <c r="C643" s="1102"/>
      <c r="D643" s="1102"/>
      <c r="E643" s="1103"/>
      <c r="F643" s="274"/>
      <c r="G643" s="165" t="str">
        <f>"Nog af te bouwen regulatoir saldo einde "&amp;F641-1</f>
        <v>Nog af te bouwen regulatoir saldo einde 2021</v>
      </c>
      <c r="H643" s="165" t="str">
        <f>"50% van het oorspronkelijk regulatoir saldo door te rekenen volgens de tariefmethodologie in het boekjaar "&amp;F641</f>
        <v>50% van het oorspronkelijk regulatoir saldo door te rekenen volgens de tariefmethodologie in het boekjaar 2022</v>
      </c>
      <c r="I643" s="165" t="str">
        <f>"Nog af te bouwen regulatoir saldo einde "&amp;F641</f>
        <v>Nog af te bouwen regulatoir saldo einde 2022</v>
      </c>
      <c r="J643" s="206"/>
      <c r="Q643" s="166"/>
    </row>
    <row r="644" spans="2:17" x14ac:dyDescent="0.2">
      <c r="B644" s="1104">
        <v>2015</v>
      </c>
      <c r="C644" s="1105"/>
      <c r="D644" s="1105"/>
      <c r="E644" s="1106"/>
      <c r="F644" s="275"/>
      <c r="G644" s="176">
        <f>+I634</f>
        <v>0</v>
      </c>
      <c r="H644" s="176">
        <f>-G634*0.5</f>
        <v>0</v>
      </c>
      <c r="I644" s="176">
        <f>+G644+H644</f>
        <v>0</v>
      </c>
      <c r="J644" s="206"/>
      <c r="Q644" s="166"/>
    </row>
    <row r="645" spans="2:17" x14ac:dyDescent="0.2">
      <c r="B645" s="1104">
        <v>2016</v>
      </c>
      <c r="C645" s="1105"/>
      <c r="D645" s="1105"/>
      <c r="E645" s="1106"/>
      <c r="F645" s="275"/>
      <c r="G645" s="176">
        <f t="shared" ref="G645:G648" si="104">+I635</f>
        <v>0</v>
      </c>
      <c r="H645" s="176">
        <f t="shared" ref="H645:H648" si="105">-G635*0.5</f>
        <v>0</v>
      </c>
      <c r="I645" s="176">
        <f t="shared" ref="I645:I649" si="106">+G645+H645</f>
        <v>0</v>
      </c>
      <c r="J645" s="206"/>
      <c r="Q645" s="166"/>
    </row>
    <row r="646" spans="2:17" x14ac:dyDescent="0.2">
      <c r="B646" s="1104">
        <v>2017</v>
      </c>
      <c r="C646" s="1105"/>
      <c r="D646" s="1105">
        <v>2016</v>
      </c>
      <c r="E646" s="1106"/>
      <c r="F646" s="275"/>
      <c r="G646" s="176">
        <f t="shared" si="104"/>
        <v>0</v>
      </c>
      <c r="H646" s="176">
        <f t="shared" si="105"/>
        <v>0</v>
      </c>
      <c r="I646" s="176">
        <f t="shared" si="106"/>
        <v>0</v>
      </c>
      <c r="J646" s="206"/>
      <c r="Q646" s="166"/>
    </row>
    <row r="647" spans="2:17" x14ac:dyDescent="0.2">
      <c r="B647" s="1104">
        <v>2018</v>
      </c>
      <c r="C647" s="1105"/>
      <c r="D647" s="1105"/>
      <c r="E647" s="1106"/>
      <c r="F647" s="275"/>
      <c r="G647" s="176">
        <f t="shared" si="104"/>
        <v>0</v>
      </c>
      <c r="H647" s="176">
        <f t="shared" si="105"/>
        <v>0</v>
      </c>
      <c r="I647" s="176">
        <f t="shared" si="106"/>
        <v>0</v>
      </c>
      <c r="J647" s="206"/>
      <c r="Q647" s="166"/>
    </row>
    <row r="648" spans="2:17" x14ac:dyDescent="0.2">
      <c r="B648" s="1104">
        <v>2019</v>
      </c>
      <c r="C648" s="1105"/>
      <c r="D648" s="1105"/>
      <c r="E648" s="1106"/>
      <c r="F648" s="275"/>
      <c r="G648" s="176">
        <f t="shared" si="104"/>
        <v>0</v>
      </c>
      <c r="H648" s="176">
        <f t="shared" si="105"/>
        <v>0</v>
      </c>
      <c r="I648" s="176">
        <f t="shared" si="106"/>
        <v>0</v>
      </c>
      <c r="J648" s="206"/>
      <c r="Q648" s="166"/>
    </row>
    <row r="649" spans="2:17" x14ac:dyDescent="0.2">
      <c r="B649" s="1104">
        <v>2020</v>
      </c>
      <c r="C649" s="1105"/>
      <c r="D649" s="1105"/>
      <c r="E649" s="1106"/>
      <c r="F649" s="275"/>
      <c r="G649" s="176">
        <f>L225</f>
        <v>0</v>
      </c>
      <c r="H649" s="176">
        <f t="shared" ref="H649" si="107">-G649*0.5</f>
        <v>0</v>
      </c>
      <c r="I649" s="176">
        <f t="shared" si="106"/>
        <v>0</v>
      </c>
      <c r="J649" s="206"/>
      <c r="Q649" s="166"/>
    </row>
    <row r="650" spans="2:17" s="273" customFormat="1" x14ac:dyDescent="0.2">
      <c r="G650" s="276">
        <f>SUM(G644:G649)</f>
        <v>0</v>
      </c>
      <c r="H650" s="276">
        <f t="shared" ref="H650" si="108">SUM(H644:H649)</f>
        <v>0</v>
      </c>
      <c r="I650" s="276">
        <f t="shared" ref="I650" si="109">SUM(I644:I649)</f>
        <v>0</v>
      </c>
    </row>
    <row r="651" spans="2:17" x14ac:dyDescent="0.2">
      <c r="Q651" s="166"/>
    </row>
    <row r="652" spans="2:17" x14ac:dyDescent="0.2">
      <c r="B652" s="273" t="s">
        <v>139</v>
      </c>
      <c r="F652" s="810">
        <v>2023</v>
      </c>
      <c r="Q652" s="166"/>
    </row>
    <row r="653" spans="2:17" x14ac:dyDescent="0.2">
      <c r="Q653" s="166"/>
    </row>
    <row r="654" spans="2:17" ht="78" customHeight="1" x14ac:dyDescent="0.2">
      <c r="B654" s="1101" t="s">
        <v>140</v>
      </c>
      <c r="C654" s="1102"/>
      <c r="D654" s="1102"/>
      <c r="E654" s="1103"/>
      <c r="F654" s="274"/>
      <c r="G654" s="165" t="str">
        <f>"Nog af te bouwen regulatoir saldo einde "&amp;F652-1</f>
        <v>Nog af te bouwen regulatoir saldo einde 2022</v>
      </c>
      <c r="H654" s="165" t="str">
        <f>"50% van het oorspronkelijk regulatoir saldo door te rekenen volgens de tariefmethodologie in het boekjaar "&amp;F652</f>
        <v>50% van het oorspronkelijk regulatoir saldo door te rekenen volgens de tariefmethodologie in het boekjaar 2023</v>
      </c>
      <c r="I654" s="165" t="str">
        <f>"Nog af te bouwen regulatoir saldo einde "&amp;F652</f>
        <v>Nog af te bouwen regulatoir saldo einde 2023</v>
      </c>
      <c r="J654" s="206"/>
      <c r="Q654" s="166"/>
    </row>
    <row r="655" spans="2:17" x14ac:dyDescent="0.2">
      <c r="B655" s="1104">
        <v>2020</v>
      </c>
      <c r="C655" s="1105"/>
      <c r="D655" s="1105"/>
      <c r="E655" s="1106"/>
      <c r="F655" s="275"/>
      <c r="G655" s="176">
        <f>+I649</f>
        <v>0</v>
      </c>
      <c r="H655" s="176">
        <f>-G649*0.5</f>
        <v>0</v>
      </c>
      <c r="I655" s="176">
        <f t="shared" ref="I655:I656" si="110">+G655+H655</f>
        <v>0</v>
      </c>
      <c r="J655" s="206"/>
      <c r="Q655" s="166"/>
    </row>
    <row r="656" spans="2:17" x14ac:dyDescent="0.2">
      <c r="B656" s="1104">
        <v>2021</v>
      </c>
      <c r="C656" s="1105"/>
      <c r="D656" s="1105"/>
      <c r="E656" s="1106"/>
      <c r="F656" s="275"/>
      <c r="G656" s="176">
        <f>M226</f>
        <v>0</v>
      </c>
      <c r="H656" s="176">
        <f t="shared" ref="H656" si="111">-G656*0.5</f>
        <v>0</v>
      </c>
      <c r="I656" s="176">
        <f t="shared" si="110"/>
        <v>0</v>
      </c>
      <c r="J656" s="206"/>
      <c r="Q656" s="166"/>
    </row>
    <row r="657" spans="2:17" s="273" customFormat="1" x14ac:dyDescent="0.2">
      <c r="G657" s="276">
        <f>SUM(G655:G656)</f>
        <v>0</v>
      </c>
      <c r="H657" s="276">
        <f>SUM(H655:H656)</f>
        <v>0</v>
      </c>
      <c r="I657" s="276">
        <f>SUM(I655:I656)</f>
        <v>0</v>
      </c>
    </row>
    <row r="658" spans="2:17" x14ac:dyDescent="0.2">
      <c r="Q658" s="166"/>
    </row>
    <row r="659" spans="2:17" x14ac:dyDescent="0.2">
      <c r="B659" s="273" t="s">
        <v>139</v>
      </c>
      <c r="F659" s="810">
        <v>2024</v>
      </c>
      <c r="Q659" s="166"/>
    </row>
    <row r="660" spans="2:17" x14ac:dyDescent="0.2">
      <c r="Q660" s="166"/>
    </row>
    <row r="661" spans="2:17" ht="78" customHeight="1" x14ac:dyDescent="0.2">
      <c r="B661" s="1101" t="s">
        <v>140</v>
      </c>
      <c r="C661" s="1102"/>
      <c r="D661" s="1102"/>
      <c r="E661" s="1103"/>
      <c r="F661" s="274"/>
      <c r="G661" s="165" t="str">
        <f>"Nog af te bouwen regulatoir saldo einde "&amp;F659-1</f>
        <v>Nog af te bouwen regulatoir saldo einde 2023</v>
      </c>
      <c r="H661" s="165" t="str">
        <f>"50% van het oorspronkelijk regulatoir saldo door te rekenen volgens de tariefmethodologie in het boekjaar "&amp;F659</f>
        <v>50% van het oorspronkelijk regulatoir saldo door te rekenen volgens de tariefmethodologie in het boekjaar 2024</v>
      </c>
      <c r="I661" s="165" t="str">
        <f>"Nog af te bouwen regulatoir saldo einde "&amp;F659</f>
        <v>Nog af te bouwen regulatoir saldo einde 2024</v>
      </c>
      <c r="J661" s="206"/>
      <c r="Q661" s="166"/>
    </row>
    <row r="662" spans="2:17" x14ac:dyDescent="0.2">
      <c r="B662" s="1104">
        <v>2021</v>
      </c>
      <c r="C662" s="1105"/>
      <c r="D662" s="1105"/>
      <c r="E662" s="1106"/>
      <c r="F662" s="275"/>
      <c r="G662" s="176">
        <f>+I656</f>
        <v>0</v>
      </c>
      <c r="H662" s="176">
        <f>-G656*0.5</f>
        <v>0</v>
      </c>
      <c r="I662" s="176">
        <f t="shared" ref="I662:I663" si="112">+G662+H662</f>
        <v>0</v>
      </c>
      <c r="J662" s="206"/>
      <c r="Q662" s="166"/>
    </row>
    <row r="663" spans="2:17" x14ac:dyDescent="0.2">
      <c r="B663" s="1104">
        <v>2022</v>
      </c>
      <c r="C663" s="1105"/>
      <c r="D663" s="1105"/>
      <c r="E663" s="1106"/>
      <c r="F663" s="275"/>
      <c r="G663" s="176">
        <f>N227</f>
        <v>0</v>
      </c>
      <c r="H663" s="176">
        <f t="shared" ref="H663" si="113">-G663*0.5</f>
        <v>0</v>
      </c>
      <c r="I663" s="176">
        <f t="shared" si="112"/>
        <v>0</v>
      </c>
      <c r="J663" s="206"/>
      <c r="Q663" s="166"/>
    </row>
    <row r="664" spans="2:17" s="273" customFormat="1" x14ac:dyDescent="0.2">
      <c r="G664" s="276">
        <f>SUM(G662:G663)</f>
        <v>0</v>
      </c>
      <c r="H664" s="276">
        <f>SUM(H662:H663)</f>
        <v>0</v>
      </c>
      <c r="I664" s="276">
        <f>SUM(I662:I663)</f>
        <v>0</v>
      </c>
    </row>
    <row r="665" spans="2:17" x14ac:dyDescent="0.2">
      <c r="Q665" s="166"/>
    </row>
    <row r="666" spans="2:17" x14ac:dyDescent="0.2">
      <c r="B666" s="273" t="s">
        <v>67</v>
      </c>
      <c r="Q666" s="166"/>
    </row>
    <row r="667" spans="2:17" x14ac:dyDescent="0.2">
      <c r="B667" s="273" t="s">
        <v>141</v>
      </c>
      <c r="C667" s="216"/>
      <c r="D667" s="216"/>
      <c r="E667" s="216"/>
      <c r="Q667" s="166"/>
    </row>
    <row r="668" spans="2:17" x14ac:dyDescent="0.2">
      <c r="B668" s="273"/>
      <c r="C668" s="216"/>
      <c r="D668" s="216"/>
      <c r="E668" s="216"/>
      <c r="Q668" s="166"/>
    </row>
    <row r="669" spans="2:17" x14ac:dyDescent="0.2">
      <c r="B669" s="275">
        <v>2021</v>
      </c>
      <c r="C669" s="279">
        <f>+H639</f>
        <v>0</v>
      </c>
      <c r="D669" s="216"/>
      <c r="E669" s="216"/>
      <c r="Q669" s="166"/>
    </row>
    <row r="670" spans="2:17" x14ac:dyDescent="0.2">
      <c r="B670" s="275">
        <v>2022</v>
      </c>
      <c r="C670" s="279">
        <f>+H650</f>
        <v>0</v>
      </c>
      <c r="D670" s="216"/>
      <c r="E670" s="216"/>
      <c r="Q670" s="166"/>
    </row>
    <row r="671" spans="2:17" x14ac:dyDescent="0.2">
      <c r="B671" s="275">
        <v>2023</v>
      </c>
      <c r="C671" s="279">
        <f>+H657</f>
        <v>0</v>
      </c>
      <c r="D671" s="216"/>
      <c r="E671" s="216"/>
      <c r="Q671" s="166"/>
    </row>
    <row r="672" spans="2:17" x14ac:dyDescent="0.2">
      <c r="B672" s="275">
        <v>2024</v>
      </c>
      <c r="C672" s="279">
        <f>+H664</f>
        <v>0</v>
      </c>
      <c r="D672" s="216"/>
      <c r="E672" s="216"/>
      <c r="Q672" s="166"/>
    </row>
    <row r="673" spans="2:17" x14ac:dyDescent="0.2">
      <c r="Q673" s="166"/>
    </row>
    <row r="674" spans="2:17" x14ac:dyDescent="0.2">
      <c r="Q674" s="166"/>
    </row>
    <row r="675" spans="2:17" x14ac:dyDescent="0.2">
      <c r="B675" s="321" t="s">
        <v>96</v>
      </c>
      <c r="C675" s="322"/>
      <c r="D675" s="322"/>
      <c r="E675" s="322"/>
      <c r="F675" s="323"/>
      <c r="G675" s="323"/>
      <c r="H675" s="323"/>
      <c r="I675" s="323"/>
      <c r="J675" s="323"/>
      <c r="K675" s="323"/>
      <c r="L675" s="323"/>
      <c r="M675" s="323"/>
      <c r="Q675" s="166"/>
    </row>
    <row r="676" spans="2:17" x14ac:dyDescent="0.2">
      <c r="Q676" s="166"/>
    </row>
    <row r="677" spans="2:17" x14ac:dyDescent="0.2">
      <c r="B677" s="273" t="s">
        <v>139</v>
      </c>
      <c r="F677" s="810">
        <v>2017</v>
      </c>
      <c r="Q677" s="166"/>
    </row>
    <row r="678" spans="2:17" x14ac:dyDescent="0.2">
      <c r="L678" s="206"/>
      <c r="Q678" s="166"/>
    </row>
    <row r="679" spans="2:17" ht="82.5" customHeight="1" x14ac:dyDescent="0.2">
      <c r="B679" s="1101" t="s">
        <v>140</v>
      </c>
      <c r="C679" s="1102"/>
      <c r="D679" s="1102"/>
      <c r="E679" s="1103"/>
      <c r="F679" s="274"/>
      <c r="G679" s="165" t="str">
        <f>"Nog af te bouwen regulatoir saldo einde "&amp;F677-1</f>
        <v>Nog af te bouwen regulatoir saldo einde 2016</v>
      </c>
      <c r="H679" s="165" t="str">
        <f>"Afbouw oudste openstaande regulatoir saldo vanaf boekjaar "&amp;F677-3&amp;" en vroeger, door aanwending van compensatie met regulatoir saldo ontstaan over boekjaar "&amp;F677-2</f>
        <v>Afbouw oudste openstaande regulatoir saldo vanaf boekjaar 2014 en vroeger, door aanwending van compensatie met regulatoir saldo ontstaan over boekjaar 2015</v>
      </c>
      <c r="I679" s="165" t="str">
        <f>"Nog af te bouwen regulatoir saldo na compensatie einde "&amp;F677-1</f>
        <v>Nog af te bouwen regulatoir saldo na compensatie einde 2016</v>
      </c>
      <c r="J679" s="165" t="str">
        <f>"Aanwending van 60% van het geaccumuleerd regulatoir saldo door te rekenen volgens de tariefmethodologie in het boekjaar "&amp;F677</f>
        <v>Aanwending van 60% van het geaccumuleerd regulatoir saldo door te rekenen volgens de tariefmethodologie in het boekjaar 2017</v>
      </c>
      <c r="K679" s="165" t="str">
        <f>"Nog af te bouwen regulatoir saldo einde "&amp;F677</f>
        <v>Nog af te bouwen regulatoir saldo einde 2017</v>
      </c>
      <c r="L679" s="206"/>
      <c r="Q679" s="166"/>
    </row>
    <row r="680" spans="2:17" x14ac:dyDescent="0.2">
      <c r="B680" s="1104">
        <v>2015</v>
      </c>
      <c r="C680" s="1105"/>
      <c r="D680" s="1105"/>
      <c r="E680" s="1106"/>
      <c r="F680" s="275"/>
      <c r="G680" s="176">
        <f>G231</f>
        <v>0</v>
      </c>
      <c r="H680" s="521">
        <v>0</v>
      </c>
      <c r="I680" s="176">
        <f>+G680+H680</f>
        <v>0</v>
      </c>
      <c r="J680" s="176">
        <f>-I680*0.6</f>
        <v>0</v>
      </c>
      <c r="K680" s="811">
        <f>+J680+G680</f>
        <v>0</v>
      </c>
      <c r="L680" s="206"/>
      <c r="Q680" s="166"/>
    </row>
    <row r="681" spans="2:17" x14ac:dyDescent="0.2">
      <c r="L681" s="206"/>
      <c r="Q681" s="166"/>
    </row>
    <row r="682" spans="2:17" x14ac:dyDescent="0.2">
      <c r="B682" s="273" t="s">
        <v>139</v>
      </c>
      <c r="F682" s="810">
        <v>2018</v>
      </c>
      <c r="Q682" s="166"/>
    </row>
    <row r="683" spans="2:17" x14ac:dyDescent="0.2">
      <c r="Q683" s="166"/>
    </row>
    <row r="684" spans="2:17" ht="80.099999999999994" customHeight="1" x14ac:dyDescent="0.2">
      <c r="B684" s="1101" t="s">
        <v>140</v>
      </c>
      <c r="C684" s="1102"/>
      <c r="D684" s="1102"/>
      <c r="E684" s="1103"/>
      <c r="F684" s="274"/>
      <c r="G684" s="165" t="str">
        <f>"Nog af te bouwen regulatoir saldo einde "&amp;F682-1</f>
        <v>Nog af te bouwen regulatoir saldo einde 2017</v>
      </c>
      <c r="H684" s="165" t="str">
        <f>"Afbouw oudste openstaande regulatoir saldo vanaf boekjaar "&amp;F682-3&amp;" en vroeger, door aanwending van compensatie met regulatoir saldo ontstaan over boekjaar "&amp;F682-2</f>
        <v>Afbouw oudste openstaande regulatoir saldo vanaf boekjaar 2015 en vroeger, door aanwending van compensatie met regulatoir saldo ontstaan over boekjaar 2016</v>
      </c>
      <c r="I684" s="165" t="str">
        <f>"Nog af te bouwen regulatoir saldo na compensatie einde "&amp;F682-1</f>
        <v>Nog af te bouwen regulatoir saldo na compensatie einde 2017</v>
      </c>
      <c r="J684" s="165" t="str">
        <f>"60% van het geaccumuleerd regulatoir saldo door te rekenen volgens de tariefmethodologie in het boekjaar "&amp;F682</f>
        <v>60% van het geaccumuleerd regulatoir saldo door te rekenen volgens de tariefmethodologie in het boekjaar 2018</v>
      </c>
      <c r="K684" s="165" t="str">
        <f>"Aanwending van 60% van het geaccumuleerd regulatoir saldo door te rekenen volgens de tariefmethodologie in het boekjaar "&amp;F682</f>
        <v>Aanwending van 60% van het geaccumuleerd regulatoir saldo door te rekenen volgens de tariefmethodologie in het boekjaar 2018</v>
      </c>
      <c r="L684" s="165" t="str">
        <f>"Totale afbouw over "&amp;F682</f>
        <v>Totale afbouw over 2018</v>
      </c>
      <c r="M684" s="165" t="str">
        <f>"Nog af te bouwen regulatoir saldo einde "&amp;F682</f>
        <v>Nog af te bouwen regulatoir saldo einde 2018</v>
      </c>
      <c r="N684" s="206"/>
      <c r="Q684" s="166"/>
    </row>
    <row r="685" spans="2:17" x14ac:dyDescent="0.2">
      <c r="B685" s="1104">
        <v>2015</v>
      </c>
      <c r="C685" s="1105"/>
      <c r="D685" s="1105"/>
      <c r="E685" s="1106"/>
      <c r="F685" s="275"/>
      <c r="G685" s="176">
        <f>K680</f>
        <v>0</v>
      </c>
      <c r="H685" s="521">
        <f>IF(SIGN(G686*K680)&lt;0,IF(G685&lt;&gt;0,-SIGN(G685)*MIN(ABS(G686),ABS(G685)),0),0)</f>
        <v>0</v>
      </c>
      <c r="I685" s="176">
        <f>+G685+H685</f>
        <v>0</v>
      </c>
      <c r="J685" s="806"/>
      <c r="K685" s="521">
        <f>-MIN(ABS(I685),ABS(J687))*SIGN(I685)</f>
        <v>0</v>
      </c>
      <c r="L685" s="813">
        <f>+K685+H685</f>
        <v>0</v>
      </c>
      <c r="M685" s="176">
        <f>+I685+K685</f>
        <v>0</v>
      </c>
      <c r="N685" s="206"/>
      <c r="Q685" s="166"/>
    </row>
    <row r="686" spans="2:17" x14ac:dyDescent="0.2">
      <c r="B686" s="1104">
        <v>2016</v>
      </c>
      <c r="C686" s="1105"/>
      <c r="D686" s="1105"/>
      <c r="E686" s="1106"/>
      <c r="F686" s="275"/>
      <c r="G686" s="176">
        <f>H232</f>
        <v>0</v>
      </c>
      <c r="H686" s="813">
        <f>IF(SIGN(G686*K680)&lt;0,-H685,0)</f>
        <v>0</v>
      </c>
      <c r="I686" s="176">
        <f>+G686+H686</f>
        <v>0</v>
      </c>
      <c r="J686" s="806"/>
      <c r="K686" s="521">
        <f>-MIN(ABS(I686),ABS(J687-K685))*SIGN(I686)</f>
        <v>0</v>
      </c>
      <c r="L686" s="813">
        <f>+K686+H686</f>
        <v>0</v>
      </c>
      <c r="M686" s="176">
        <f>+I686+K686</f>
        <v>0</v>
      </c>
      <c r="N686" s="206"/>
      <c r="Q686" s="166"/>
    </row>
    <row r="687" spans="2:17" s="273" customFormat="1" x14ac:dyDescent="0.2">
      <c r="G687" s="276">
        <f>SUM(G685:G686)</f>
        <v>0</v>
      </c>
      <c r="H687" s="168">
        <f>SUM(H685:H686)</f>
        <v>0</v>
      </c>
      <c r="I687" s="276">
        <f>SUM(I685:I686)</f>
        <v>0</v>
      </c>
      <c r="J687" s="276">
        <f>-I687*0.6</f>
        <v>0</v>
      </c>
      <c r="K687" s="168">
        <f>SUM(K685:K686)</f>
        <v>0</v>
      </c>
      <c r="L687" s="528"/>
      <c r="M687" s="276">
        <f>SUM(M685:M686)</f>
        <v>0</v>
      </c>
    </row>
    <row r="688" spans="2:17" x14ac:dyDescent="0.2">
      <c r="Q688" s="166"/>
    </row>
    <row r="689" spans="2:17" x14ac:dyDescent="0.2">
      <c r="B689" s="273" t="s">
        <v>139</v>
      </c>
      <c r="F689" s="810">
        <v>2019</v>
      </c>
      <c r="Q689" s="166"/>
    </row>
    <row r="690" spans="2:17" x14ac:dyDescent="0.2">
      <c r="Q690" s="166"/>
    </row>
    <row r="691" spans="2:17" ht="80.099999999999994" customHeight="1" x14ac:dyDescent="0.2">
      <c r="B691" s="1101" t="s">
        <v>140</v>
      </c>
      <c r="C691" s="1102"/>
      <c r="D691" s="1102"/>
      <c r="E691" s="1103"/>
      <c r="F691" s="274"/>
      <c r="G691" s="165" t="str">
        <f>"Nog af te bouwen regulatoir saldo einde "&amp;F689-1</f>
        <v>Nog af te bouwen regulatoir saldo einde 2018</v>
      </c>
      <c r="H691" s="165" t="str">
        <f>"Afbouw oudste openstaande regulatoir saldo vanaf boekjaar "&amp;F689-3&amp;" en vroeger, door aanwending van compensatie met regulatoir saldo ontstaan over boekjaar "&amp;F689-2</f>
        <v>Afbouw oudste openstaande regulatoir saldo vanaf boekjaar 2016 en vroeger, door aanwending van compensatie met regulatoir saldo ontstaan over boekjaar 2017</v>
      </c>
      <c r="I691" s="165" t="str">
        <f>"Nog af te bouwen regulatoir saldo na compensatie einde "&amp;F689-1</f>
        <v>Nog af te bouwen regulatoir saldo na compensatie einde 2018</v>
      </c>
      <c r="J691" s="165" t="str">
        <f>"60% van het geaccumuleerd regulatoir saldo door te rekenen volgens de tariefmethodologie in het boekjaar "&amp;F689</f>
        <v>60% van het geaccumuleerd regulatoir saldo door te rekenen volgens de tariefmethodologie in het boekjaar 2019</v>
      </c>
      <c r="K691" s="165" t="str">
        <f>"Aanwending van het 60% van het geaccumuleerd regulatoir saldo door te rekenen volgens de tariefmethodologie in het boekjaar "&amp;F689</f>
        <v>Aanwending van het 60% van het geaccumuleerd regulatoir saldo door te rekenen volgens de tariefmethodologie in het boekjaar 2019</v>
      </c>
      <c r="L691" s="165" t="str">
        <f>"Totale afbouw over "&amp;F689</f>
        <v>Totale afbouw over 2019</v>
      </c>
      <c r="M691" s="165" t="str">
        <f>"Nog af te bouwen regulatoir saldo einde "&amp;F689</f>
        <v>Nog af te bouwen regulatoir saldo einde 2019</v>
      </c>
      <c r="N691" s="206"/>
      <c r="Q691" s="166"/>
    </row>
    <row r="692" spans="2:17" x14ac:dyDescent="0.2">
      <c r="B692" s="1104">
        <v>2015</v>
      </c>
      <c r="C692" s="1105"/>
      <c r="D692" s="1105"/>
      <c r="E692" s="1106"/>
      <c r="F692" s="275"/>
      <c r="G692" s="176">
        <f>+M685</f>
        <v>0</v>
      </c>
      <c r="H692" s="813">
        <f>IF(SIGN(G694*M687)&lt;0,IF(G692&lt;&gt;0,-SIGN(G692)*MIN(ABS(G694),ABS(G692)),0),0)</f>
        <v>0</v>
      </c>
      <c r="I692" s="176">
        <f>+G692+H692</f>
        <v>0</v>
      </c>
      <c r="J692" s="806"/>
      <c r="K692" s="521">
        <f>-MIN(ABS(I692),ABS(J695))*SIGN(I692)</f>
        <v>0</v>
      </c>
      <c r="L692" s="813">
        <f>+K692+H692</f>
        <v>0</v>
      </c>
      <c r="M692" s="176">
        <f>+I692+K692</f>
        <v>0</v>
      </c>
      <c r="N692" s="206"/>
      <c r="Q692" s="166"/>
    </row>
    <row r="693" spans="2:17" x14ac:dyDescent="0.2">
      <c r="B693" s="1104">
        <v>2016</v>
      </c>
      <c r="C693" s="1105"/>
      <c r="D693" s="1105">
        <v>2016</v>
      </c>
      <c r="E693" s="1106"/>
      <c r="F693" s="275"/>
      <c r="G693" s="176">
        <f>+M686</f>
        <v>0</v>
      </c>
      <c r="H693" s="813">
        <f>IF(SIGN(G694*M687)&lt;0,IF(G693&lt;&gt;0,-SIGN(G693)*MIN(ABS(G694-H692),ABS(G693)),0),0)</f>
        <v>0</v>
      </c>
      <c r="I693" s="176">
        <f>+G693+H693</f>
        <v>0</v>
      </c>
      <c r="J693" s="806"/>
      <c r="K693" s="521">
        <f>-MIN(ABS(I693),ABS(J695-K692))*SIGN(I693)</f>
        <v>0</v>
      </c>
      <c r="L693" s="813">
        <f>+K693+H693</f>
        <v>0</v>
      </c>
      <c r="M693" s="176">
        <f>+I693+K693</f>
        <v>0</v>
      </c>
      <c r="N693" s="206"/>
      <c r="Q693" s="166"/>
    </row>
    <row r="694" spans="2:17" x14ac:dyDescent="0.2">
      <c r="B694" s="1104">
        <v>2017</v>
      </c>
      <c r="C694" s="1105"/>
      <c r="D694" s="1105"/>
      <c r="E694" s="1106"/>
      <c r="F694" s="275"/>
      <c r="G694" s="176">
        <f>I233</f>
        <v>0</v>
      </c>
      <c r="H694" s="813">
        <f>IF(SIGN(G694*M687)&lt;0,-SUM(H692:H693),0)</f>
        <v>0</v>
      </c>
      <c r="I694" s="176">
        <f>+G694+H694</f>
        <v>0</v>
      </c>
      <c r="J694" s="806"/>
      <c r="K694" s="521">
        <f>-MIN(ABS(I694),ABS(J695-K692-K693))*SIGN(I694)</f>
        <v>0</v>
      </c>
      <c r="L694" s="813">
        <f>+K694+H694</f>
        <v>0</v>
      </c>
      <c r="M694" s="176">
        <f>+I694+K694</f>
        <v>0</v>
      </c>
      <c r="N694" s="206"/>
      <c r="Q694" s="166"/>
    </row>
    <row r="695" spans="2:17" s="273" customFormat="1" x14ac:dyDescent="0.2">
      <c r="G695" s="276">
        <f>SUM(G692:G694)</f>
        <v>0</v>
      </c>
      <c r="H695" s="168">
        <f>SUM(H692:H694)</f>
        <v>0</v>
      </c>
      <c r="I695" s="276">
        <f>SUM(I692:I694)</f>
        <v>0</v>
      </c>
      <c r="J695" s="276">
        <f>-I695*0.6</f>
        <v>0</v>
      </c>
      <c r="K695" s="168">
        <f>SUM(K692:K694)</f>
        <v>0</v>
      </c>
      <c r="L695" s="528"/>
      <c r="M695" s="276">
        <f>SUM(M692:M694)</f>
        <v>0</v>
      </c>
    </row>
    <row r="696" spans="2:17" x14ac:dyDescent="0.2">
      <c r="Q696" s="166"/>
    </row>
    <row r="697" spans="2:17" x14ac:dyDescent="0.2">
      <c r="B697" s="273" t="s">
        <v>139</v>
      </c>
      <c r="F697" s="810">
        <v>2020</v>
      </c>
      <c r="Q697" s="166"/>
    </row>
    <row r="698" spans="2:17" x14ac:dyDescent="0.2">
      <c r="Q698" s="166"/>
    </row>
    <row r="699" spans="2:17" ht="80.099999999999994" customHeight="1" x14ac:dyDescent="0.2">
      <c r="B699" s="1101" t="s">
        <v>140</v>
      </c>
      <c r="C699" s="1102"/>
      <c r="D699" s="1102"/>
      <c r="E699" s="1103"/>
      <c r="F699" s="274"/>
      <c r="G699" s="165" t="str">
        <f>"Nog af te bouwen regulatoir saldo einde "&amp;F697-1</f>
        <v>Nog af te bouwen regulatoir saldo einde 2019</v>
      </c>
      <c r="H699" s="165" t="str">
        <f>"Afbouw oudste openstaande regulatoir saldo vanaf boekjaar "&amp;F697-3&amp;" en vroeger, door aanwending van compensatie met regulatoir saldo ontstaan over boekjaar "&amp;F697-2</f>
        <v>Afbouw oudste openstaande regulatoir saldo vanaf boekjaar 2017 en vroeger, door aanwending van compensatie met regulatoir saldo ontstaan over boekjaar 2018</v>
      </c>
      <c r="I699" s="165" t="str">
        <f>"Nog af te bouwen regulatoir saldo na compensatie einde "&amp;F697-1</f>
        <v>Nog af te bouwen regulatoir saldo na compensatie einde 2019</v>
      </c>
      <c r="J699" s="165" t="str">
        <f>"60% van het geaccumuleerd regulatoir saldo door te rekenen volgens de tariefmethodologie in het boekjaar "&amp;F697</f>
        <v>60% van het geaccumuleerd regulatoir saldo door te rekenen volgens de tariefmethodologie in het boekjaar 2020</v>
      </c>
      <c r="K699" s="165" t="str">
        <f>"Aanwending van het 60% van het geaccumuleerd regulatoir saldo door te rekenen volgens de tariefmethodologie in het boekjaar "&amp;F697</f>
        <v>Aanwending van het 60% van het geaccumuleerd regulatoir saldo door te rekenen volgens de tariefmethodologie in het boekjaar 2020</v>
      </c>
      <c r="L699" s="165" t="str">
        <f>"Totale afbouw over "&amp;F697</f>
        <v>Totale afbouw over 2020</v>
      </c>
      <c r="M699" s="165" t="str">
        <f>"Nog af te bouwen regulatoir saldo einde "&amp;F697</f>
        <v>Nog af te bouwen regulatoir saldo einde 2020</v>
      </c>
      <c r="N699" s="206"/>
      <c r="Q699" s="166"/>
    </row>
    <row r="700" spans="2:17" x14ac:dyDescent="0.2">
      <c r="B700" s="1104">
        <v>2015</v>
      </c>
      <c r="C700" s="1105"/>
      <c r="D700" s="1105"/>
      <c r="E700" s="1106"/>
      <c r="F700" s="275"/>
      <c r="G700" s="176">
        <f>+M692</f>
        <v>0</v>
      </c>
      <c r="H700" s="813">
        <f>IF(SIGN(G703*M695)&lt;0,IF(G700&lt;&gt;0,-SIGN(G700)*MIN(ABS(G703),ABS(G700)),0),0)</f>
        <v>0</v>
      </c>
      <c r="I700" s="176">
        <f>+G700+H700</f>
        <v>0</v>
      </c>
      <c r="J700" s="806"/>
      <c r="K700" s="521">
        <f>-MIN(ABS(I700),ABS(J704))*SIGN(I700)</f>
        <v>0</v>
      </c>
      <c r="L700" s="813">
        <f>+K700+H700</f>
        <v>0</v>
      </c>
      <c r="M700" s="176">
        <f>+I700+K700</f>
        <v>0</v>
      </c>
      <c r="N700" s="206"/>
      <c r="Q700" s="166"/>
    </row>
    <row r="701" spans="2:17" x14ac:dyDescent="0.2">
      <c r="B701" s="1104">
        <v>2016</v>
      </c>
      <c r="C701" s="1105"/>
      <c r="D701" s="1105"/>
      <c r="E701" s="1106"/>
      <c r="F701" s="275"/>
      <c r="G701" s="176">
        <f>+M693</f>
        <v>0</v>
      </c>
      <c r="H701" s="813">
        <f>IF(SIGN(G703*M695)&lt;0,IF(G701&lt;&gt;0,-SIGN(G701)*MIN(ABS(G703-H700),ABS(G701)),0),0)</f>
        <v>0</v>
      </c>
      <c r="I701" s="176">
        <f>+G701+H701</f>
        <v>0</v>
      </c>
      <c r="J701" s="806"/>
      <c r="K701" s="521">
        <f>-MIN(ABS(I701),ABS(J704-K700))*SIGN(I701)</f>
        <v>0</v>
      </c>
      <c r="L701" s="813">
        <f>+K701+H701</f>
        <v>0</v>
      </c>
      <c r="M701" s="176">
        <f>+I701+K701</f>
        <v>0</v>
      </c>
      <c r="N701" s="206"/>
      <c r="Q701" s="166"/>
    </row>
    <row r="702" spans="2:17" x14ac:dyDescent="0.2">
      <c r="B702" s="1104">
        <v>2017</v>
      </c>
      <c r="C702" s="1105"/>
      <c r="D702" s="1105">
        <v>2016</v>
      </c>
      <c r="E702" s="1106"/>
      <c r="F702" s="275"/>
      <c r="G702" s="176">
        <f>+M694</f>
        <v>0</v>
      </c>
      <c r="H702" s="813">
        <f>IF(SIGN(G703*M695)&lt;0,IF(G702&lt;&gt;0,-SIGN(G702)*MIN(ABS(G703-H700-H701),ABS(G702)),0),0)</f>
        <v>0</v>
      </c>
      <c r="I702" s="176">
        <f>+G702+H702</f>
        <v>0</v>
      </c>
      <c r="J702" s="806"/>
      <c r="K702" s="521">
        <f>-MIN(ABS(I702),ABS(J704-K700-K701))*SIGN(I702)</f>
        <v>0</v>
      </c>
      <c r="L702" s="813">
        <f>+K702+H702</f>
        <v>0</v>
      </c>
      <c r="M702" s="176">
        <f>+I702+K702</f>
        <v>0</v>
      </c>
      <c r="N702" s="206"/>
      <c r="Q702" s="166"/>
    </row>
    <row r="703" spans="2:17" x14ac:dyDescent="0.2">
      <c r="B703" s="1104">
        <v>2018</v>
      </c>
      <c r="C703" s="1105"/>
      <c r="D703" s="1105"/>
      <c r="E703" s="1106"/>
      <c r="F703" s="275"/>
      <c r="G703" s="176">
        <f>J234</f>
        <v>0</v>
      </c>
      <c r="H703" s="813">
        <f>IF(SIGN(G703*M695)&lt;0,-SUM(H700:H702),0)</f>
        <v>0</v>
      </c>
      <c r="I703" s="176">
        <f>+G703+H703</f>
        <v>0</v>
      </c>
      <c r="J703" s="806"/>
      <c r="K703" s="521">
        <f>-MIN(ABS(I703),ABS(J704-K700-K701-K702))*SIGN(I703)</f>
        <v>0</v>
      </c>
      <c r="L703" s="813">
        <f>+K703+H703</f>
        <v>0</v>
      </c>
      <c r="M703" s="176">
        <f>+I703+K703</f>
        <v>0</v>
      </c>
      <c r="N703" s="206"/>
      <c r="Q703" s="166"/>
    </row>
    <row r="704" spans="2:17" s="273" customFormat="1" x14ac:dyDescent="0.2">
      <c r="G704" s="276">
        <f>SUM(G700:G703)</f>
        <v>0</v>
      </c>
      <c r="H704" s="168">
        <f>SUM(H700:H703)</f>
        <v>0</v>
      </c>
      <c r="I704" s="276">
        <f>SUM(I700:I703)</f>
        <v>0</v>
      </c>
      <c r="J704" s="276">
        <f>-I704*0.6</f>
        <v>0</v>
      </c>
      <c r="K704" s="168">
        <f>SUM(K700:K703)</f>
        <v>0</v>
      </c>
      <c r="L704" s="168"/>
      <c r="M704" s="276">
        <f>SUM(M700:M703)</f>
        <v>0</v>
      </c>
    </row>
    <row r="705" spans="2:17" x14ac:dyDescent="0.2">
      <c r="Q705" s="166"/>
    </row>
    <row r="706" spans="2:17" x14ac:dyDescent="0.2">
      <c r="B706" s="273" t="s">
        <v>139</v>
      </c>
      <c r="F706" s="810">
        <v>2021</v>
      </c>
      <c r="Q706" s="166"/>
    </row>
    <row r="707" spans="2:17" x14ac:dyDescent="0.2">
      <c r="Q707" s="166"/>
    </row>
    <row r="708" spans="2:17" ht="78" customHeight="1" x14ac:dyDescent="0.2">
      <c r="B708" s="1101" t="s">
        <v>140</v>
      </c>
      <c r="C708" s="1102"/>
      <c r="D708" s="1102"/>
      <c r="E708" s="1103"/>
      <c r="F708" s="274"/>
      <c r="G708" s="165" t="str">
        <f>"Nog af te bouwen regulatoir saldo einde "&amp;F706-1</f>
        <v>Nog af te bouwen regulatoir saldo einde 2020</v>
      </c>
      <c r="H708" s="165" t="str">
        <f>"50% van het oorspronkelijk regulatoir saldo door te rekenen volgens de tariefmethodologie in het boekjaar "&amp;F706</f>
        <v>50% van het oorspronkelijk regulatoir saldo door te rekenen volgens de tariefmethodologie in het boekjaar 2021</v>
      </c>
      <c r="I708" s="165" t="str">
        <f>"Nog af te bouwen regulatoir saldo einde "&amp;F706</f>
        <v>Nog af te bouwen regulatoir saldo einde 2021</v>
      </c>
      <c r="J708" s="206"/>
      <c r="Q708" s="166"/>
    </row>
    <row r="709" spans="2:17" x14ac:dyDescent="0.2">
      <c r="B709" s="1104">
        <v>2015</v>
      </c>
      <c r="C709" s="1105"/>
      <c r="D709" s="1105"/>
      <c r="E709" s="1106"/>
      <c r="F709" s="275"/>
      <c r="G709" s="176">
        <f>M700</f>
        <v>0</v>
      </c>
      <c r="H709" s="176">
        <f>-G709*0.5</f>
        <v>0</v>
      </c>
      <c r="I709" s="176">
        <f>+G709+H709</f>
        <v>0</v>
      </c>
      <c r="J709" s="206"/>
      <c r="Q709" s="166"/>
    </row>
    <row r="710" spans="2:17" x14ac:dyDescent="0.2">
      <c r="B710" s="1104">
        <v>2016</v>
      </c>
      <c r="C710" s="1105"/>
      <c r="D710" s="1105"/>
      <c r="E710" s="1106"/>
      <c r="F710" s="275"/>
      <c r="G710" s="176">
        <f t="shared" ref="G710:G712" si="114">M701</f>
        <v>0</v>
      </c>
      <c r="H710" s="176">
        <f t="shared" ref="H710:H713" si="115">-G710*0.5</f>
        <v>0</v>
      </c>
      <c r="I710" s="176">
        <f t="shared" ref="I710:I713" si="116">+G710+H710</f>
        <v>0</v>
      </c>
      <c r="J710" s="206"/>
      <c r="Q710" s="166"/>
    </row>
    <row r="711" spans="2:17" x14ac:dyDescent="0.2">
      <c r="B711" s="1104">
        <v>2017</v>
      </c>
      <c r="C711" s="1105"/>
      <c r="D711" s="1105">
        <v>2016</v>
      </c>
      <c r="E711" s="1106"/>
      <c r="F711" s="275"/>
      <c r="G711" s="176">
        <f t="shared" si="114"/>
        <v>0</v>
      </c>
      <c r="H711" s="176">
        <f t="shared" si="115"/>
        <v>0</v>
      </c>
      <c r="I711" s="176">
        <f t="shared" si="116"/>
        <v>0</v>
      </c>
      <c r="J711" s="206"/>
      <c r="Q711" s="166"/>
    </row>
    <row r="712" spans="2:17" x14ac:dyDescent="0.2">
      <c r="B712" s="1104">
        <v>2018</v>
      </c>
      <c r="C712" s="1105"/>
      <c r="D712" s="1105"/>
      <c r="E712" s="1106"/>
      <c r="F712" s="275"/>
      <c r="G712" s="176">
        <f t="shared" si="114"/>
        <v>0</v>
      </c>
      <c r="H712" s="176">
        <f t="shared" si="115"/>
        <v>0</v>
      </c>
      <c r="I712" s="176">
        <f t="shared" si="116"/>
        <v>0</v>
      </c>
      <c r="J712" s="206"/>
      <c r="Q712" s="166"/>
    </row>
    <row r="713" spans="2:17" x14ac:dyDescent="0.2">
      <c r="B713" s="1104">
        <v>2019</v>
      </c>
      <c r="C713" s="1105"/>
      <c r="D713" s="1105"/>
      <c r="E713" s="1106"/>
      <c r="F713" s="275"/>
      <c r="G713" s="176">
        <f>K235</f>
        <v>0</v>
      </c>
      <c r="H713" s="176">
        <f t="shared" si="115"/>
        <v>0</v>
      </c>
      <c r="I713" s="176">
        <f t="shared" si="116"/>
        <v>0</v>
      </c>
      <c r="J713" s="206"/>
      <c r="Q713" s="166"/>
    </row>
    <row r="714" spans="2:17" s="273" customFormat="1" x14ac:dyDescent="0.2">
      <c r="G714" s="276">
        <f>SUM(G709:G713)</f>
        <v>0</v>
      </c>
      <c r="H714" s="276">
        <f>SUM(H709:H713)</f>
        <v>0</v>
      </c>
      <c r="I714" s="276">
        <f>SUM(I709:I713)</f>
        <v>0</v>
      </c>
    </row>
    <row r="715" spans="2:17" x14ac:dyDescent="0.2">
      <c r="Q715" s="166"/>
    </row>
    <row r="716" spans="2:17" x14ac:dyDescent="0.2">
      <c r="B716" s="273" t="s">
        <v>139</v>
      </c>
      <c r="F716" s="810">
        <v>2022</v>
      </c>
      <c r="Q716" s="166"/>
    </row>
    <row r="717" spans="2:17" x14ac:dyDescent="0.2">
      <c r="Q717" s="166"/>
    </row>
    <row r="718" spans="2:17" ht="78" customHeight="1" x14ac:dyDescent="0.2">
      <c r="B718" s="1101" t="s">
        <v>140</v>
      </c>
      <c r="C718" s="1102"/>
      <c r="D718" s="1102"/>
      <c r="E718" s="1103"/>
      <c r="F718" s="274"/>
      <c r="G718" s="165" t="str">
        <f>"Nog af te bouwen regulatoir saldo einde "&amp;F716-1</f>
        <v>Nog af te bouwen regulatoir saldo einde 2021</v>
      </c>
      <c r="H718" s="165" t="str">
        <f>"50% van het oorspronkelijk regulatoir saldo door te rekenen volgens de tariefmethodologie in het boekjaar "&amp;F716</f>
        <v>50% van het oorspronkelijk regulatoir saldo door te rekenen volgens de tariefmethodologie in het boekjaar 2022</v>
      </c>
      <c r="I718" s="165" t="str">
        <f>"Nog af te bouwen regulatoir saldo einde "&amp;F716</f>
        <v>Nog af te bouwen regulatoir saldo einde 2022</v>
      </c>
      <c r="J718" s="206"/>
      <c r="Q718" s="166"/>
    </row>
    <row r="719" spans="2:17" x14ac:dyDescent="0.2">
      <c r="B719" s="1104">
        <v>2015</v>
      </c>
      <c r="C719" s="1105"/>
      <c r="D719" s="1105"/>
      <c r="E719" s="1106"/>
      <c r="F719" s="275"/>
      <c r="G719" s="176">
        <f>+I709</f>
        <v>0</v>
      </c>
      <c r="H719" s="176">
        <f>-G709*0.5</f>
        <v>0</v>
      </c>
      <c r="I719" s="176">
        <f>+G719+H719</f>
        <v>0</v>
      </c>
      <c r="J719" s="206"/>
      <c r="Q719" s="166"/>
    </row>
    <row r="720" spans="2:17" x14ac:dyDescent="0.2">
      <c r="B720" s="1104">
        <v>2016</v>
      </c>
      <c r="C720" s="1105"/>
      <c r="D720" s="1105"/>
      <c r="E720" s="1106"/>
      <c r="F720" s="275"/>
      <c r="G720" s="176">
        <f t="shared" ref="G720:G723" si="117">+I710</f>
        <v>0</v>
      </c>
      <c r="H720" s="176">
        <f t="shared" ref="H720:H723" si="118">-G710*0.5</f>
        <v>0</v>
      </c>
      <c r="I720" s="176">
        <f t="shared" ref="I720:I724" si="119">+G720+H720</f>
        <v>0</v>
      </c>
      <c r="J720" s="206"/>
      <c r="Q720" s="166"/>
    </row>
    <row r="721" spans="2:17" x14ac:dyDescent="0.2">
      <c r="B721" s="1104">
        <v>2017</v>
      </c>
      <c r="C721" s="1105"/>
      <c r="D721" s="1105">
        <v>2016</v>
      </c>
      <c r="E721" s="1106"/>
      <c r="F721" s="275"/>
      <c r="G721" s="176">
        <f t="shared" si="117"/>
        <v>0</v>
      </c>
      <c r="H721" s="176">
        <f t="shared" si="118"/>
        <v>0</v>
      </c>
      <c r="I721" s="176">
        <f t="shared" si="119"/>
        <v>0</v>
      </c>
      <c r="J721" s="206"/>
      <c r="Q721" s="166"/>
    </row>
    <row r="722" spans="2:17" x14ac:dyDescent="0.2">
      <c r="B722" s="1104">
        <v>2018</v>
      </c>
      <c r="C722" s="1105"/>
      <c r="D722" s="1105"/>
      <c r="E722" s="1106"/>
      <c r="F722" s="275"/>
      <c r="G722" s="176">
        <f t="shared" si="117"/>
        <v>0</v>
      </c>
      <c r="H722" s="176">
        <f t="shared" si="118"/>
        <v>0</v>
      </c>
      <c r="I722" s="176">
        <f t="shared" si="119"/>
        <v>0</v>
      </c>
      <c r="J722" s="206"/>
      <c r="Q722" s="166"/>
    </row>
    <row r="723" spans="2:17" x14ac:dyDescent="0.2">
      <c r="B723" s="1104">
        <v>2019</v>
      </c>
      <c r="C723" s="1105"/>
      <c r="D723" s="1105"/>
      <c r="E723" s="1106"/>
      <c r="F723" s="275"/>
      <c r="G723" s="176">
        <f t="shared" si="117"/>
        <v>0</v>
      </c>
      <c r="H723" s="176">
        <f t="shared" si="118"/>
        <v>0</v>
      </c>
      <c r="I723" s="176">
        <f t="shared" si="119"/>
        <v>0</v>
      </c>
      <c r="J723" s="206"/>
      <c r="Q723" s="166"/>
    </row>
    <row r="724" spans="2:17" x14ac:dyDescent="0.2">
      <c r="B724" s="1104">
        <v>2020</v>
      </c>
      <c r="C724" s="1105"/>
      <c r="D724" s="1105"/>
      <c r="E724" s="1106"/>
      <c r="F724" s="275"/>
      <c r="G724" s="176">
        <f>L236</f>
        <v>0</v>
      </c>
      <c r="H724" s="176">
        <f t="shared" ref="H724" si="120">-G724*0.5</f>
        <v>0</v>
      </c>
      <c r="I724" s="176">
        <f t="shared" si="119"/>
        <v>0</v>
      </c>
      <c r="J724" s="206"/>
      <c r="Q724" s="166"/>
    </row>
    <row r="725" spans="2:17" s="273" customFormat="1" x14ac:dyDescent="0.2">
      <c r="G725" s="276">
        <f>SUM(G719:G724)</f>
        <v>0</v>
      </c>
      <c r="H725" s="276">
        <f t="shared" ref="H725" si="121">SUM(H719:H724)</f>
        <v>0</v>
      </c>
      <c r="I725" s="276">
        <f t="shared" ref="I725" si="122">SUM(I719:I724)</f>
        <v>0</v>
      </c>
    </row>
    <row r="726" spans="2:17" x14ac:dyDescent="0.2">
      <c r="Q726" s="166"/>
    </row>
    <row r="727" spans="2:17" x14ac:dyDescent="0.2">
      <c r="B727" s="273" t="s">
        <v>202</v>
      </c>
      <c r="F727" s="810">
        <v>2023</v>
      </c>
      <c r="Q727" s="166"/>
    </row>
    <row r="728" spans="2:17" x14ac:dyDescent="0.2">
      <c r="Q728" s="166"/>
    </row>
    <row r="729" spans="2:17" ht="78" customHeight="1" x14ac:dyDescent="0.2">
      <c r="B729" s="1101" t="s">
        <v>140</v>
      </c>
      <c r="C729" s="1102"/>
      <c r="D729" s="1102"/>
      <c r="E729" s="1103"/>
      <c r="F729" s="274"/>
      <c r="G729" s="165" t="str">
        <f>"Nog af te bouwen regulatoir saldo einde "&amp;F727-1</f>
        <v>Nog af te bouwen regulatoir saldo einde 2022</v>
      </c>
      <c r="H729" s="165" t="str">
        <f>"50% van het oorspronkelijk regulatoir saldo door te rekenen volgens de tariefmethodologie in het boekjaar "&amp;F727</f>
        <v>50% van het oorspronkelijk regulatoir saldo door te rekenen volgens de tariefmethodologie in het boekjaar 2023</v>
      </c>
      <c r="I729" s="165" t="str">
        <f>"Nog af te bouwen regulatoir saldo einde "&amp;F727</f>
        <v>Nog af te bouwen regulatoir saldo einde 2023</v>
      </c>
      <c r="J729" s="206"/>
      <c r="Q729" s="166"/>
    </row>
    <row r="730" spans="2:17" x14ac:dyDescent="0.2">
      <c r="B730" s="1104">
        <v>2020</v>
      </c>
      <c r="C730" s="1105"/>
      <c r="D730" s="1105"/>
      <c r="E730" s="1106"/>
      <c r="F730" s="275"/>
      <c r="G730" s="176">
        <f>+I724</f>
        <v>0</v>
      </c>
      <c r="H730" s="176">
        <f>-G724*0.5</f>
        <v>0</v>
      </c>
      <c r="I730" s="176">
        <f t="shared" ref="I730:I731" si="123">+G730+H730</f>
        <v>0</v>
      </c>
      <c r="J730" s="206"/>
      <c r="Q730" s="166"/>
    </row>
    <row r="731" spans="2:17" x14ac:dyDescent="0.2">
      <c r="B731" s="1104">
        <v>2021</v>
      </c>
      <c r="C731" s="1105"/>
      <c r="D731" s="1105"/>
      <c r="E731" s="1106"/>
      <c r="F731" s="275"/>
      <c r="G731" s="176">
        <f>M237</f>
        <v>0</v>
      </c>
      <c r="H731" s="176">
        <f t="shared" ref="H731" si="124">-G731*0.5</f>
        <v>0</v>
      </c>
      <c r="I731" s="176">
        <f t="shared" si="123"/>
        <v>0</v>
      </c>
      <c r="J731" s="206"/>
      <c r="Q731" s="166"/>
    </row>
    <row r="732" spans="2:17" s="273" customFormat="1" x14ac:dyDescent="0.2">
      <c r="G732" s="276">
        <f>SUM(G730:G731)</f>
        <v>0</v>
      </c>
      <c r="H732" s="276">
        <f>SUM(H730:H731)</f>
        <v>0</v>
      </c>
      <c r="I732" s="276">
        <f>SUM(I730:I731)</f>
        <v>0</v>
      </c>
    </row>
    <row r="733" spans="2:17" x14ac:dyDescent="0.2">
      <c r="Q733" s="166"/>
    </row>
    <row r="734" spans="2:17" x14ac:dyDescent="0.2">
      <c r="B734" s="273" t="s">
        <v>139</v>
      </c>
      <c r="F734" s="810">
        <v>2024</v>
      </c>
      <c r="Q734" s="166"/>
    </row>
    <row r="735" spans="2:17" x14ac:dyDescent="0.2">
      <c r="Q735" s="166"/>
    </row>
    <row r="736" spans="2:17" ht="78" customHeight="1" x14ac:dyDescent="0.2">
      <c r="B736" s="1101" t="s">
        <v>140</v>
      </c>
      <c r="C736" s="1102"/>
      <c r="D736" s="1102"/>
      <c r="E736" s="1103"/>
      <c r="F736" s="274"/>
      <c r="G736" s="165" t="str">
        <f>"Nog af te bouwen regulatoir saldo einde "&amp;F734-1</f>
        <v>Nog af te bouwen regulatoir saldo einde 2023</v>
      </c>
      <c r="H736" s="165" t="str">
        <f>"50% van het oorspronkelijk regulatoir saldo door te rekenen volgens de tariefmethodologie in het boekjaar "&amp;F734</f>
        <v>50% van het oorspronkelijk regulatoir saldo door te rekenen volgens de tariefmethodologie in het boekjaar 2024</v>
      </c>
      <c r="I736" s="165" t="str">
        <f>"Nog af te bouwen regulatoir saldo einde "&amp;F734</f>
        <v>Nog af te bouwen regulatoir saldo einde 2024</v>
      </c>
      <c r="J736" s="206"/>
      <c r="Q736" s="166"/>
    </row>
    <row r="737" spans="2:17" x14ac:dyDescent="0.2">
      <c r="B737" s="1104">
        <v>2021</v>
      </c>
      <c r="C737" s="1105"/>
      <c r="D737" s="1105"/>
      <c r="E737" s="1106"/>
      <c r="F737" s="275"/>
      <c r="G737" s="176">
        <f>+I731</f>
        <v>0</v>
      </c>
      <c r="H737" s="176">
        <f>-G731*0.5</f>
        <v>0</v>
      </c>
      <c r="I737" s="176">
        <f t="shared" ref="I737" si="125">+G737+H737</f>
        <v>0</v>
      </c>
      <c r="J737" s="206"/>
      <c r="Q737" s="166"/>
    </row>
    <row r="738" spans="2:17" s="273" customFormat="1" x14ac:dyDescent="0.2">
      <c r="G738" s="276">
        <f>SUM(G737:G737)</f>
        <v>0</v>
      </c>
      <c r="H738" s="276">
        <f>SUM(H737:H737)</f>
        <v>0</v>
      </c>
      <c r="I738" s="276">
        <f>SUM(I737:I737)</f>
        <v>0</v>
      </c>
    </row>
    <row r="739" spans="2:17" x14ac:dyDescent="0.2">
      <c r="Q739" s="166"/>
    </row>
    <row r="740" spans="2:17" x14ac:dyDescent="0.2">
      <c r="B740" s="273" t="s">
        <v>96</v>
      </c>
      <c r="C740" s="216"/>
      <c r="D740" s="216"/>
      <c r="E740" s="216"/>
      <c r="Q740" s="166"/>
    </row>
    <row r="741" spans="2:17" x14ac:dyDescent="0.2">
      <c r="B741" s="273" t="s">
        <v>141</v>
      </c>
      <c r="C741" s="216"/>
      <c r="D741" s="216"/>
      <c r="E741" s="216"/>
      <c r="Q741" s="166"/>
    </row>
    <row r="742" spans="2:17" x14ac:dyDescent="0.2">
      <c r="B742" s="273"/>
      <c r="C742" s="216"/>
      <c r="D742" s="216"/>
      <c r="E742" s="216"/>
      <c r="Q742" s="166"/>
    </row>
    <row r="743" spans="2:17" x14ac:dyDescent="0.2">
      <c r="B743" s="275">
        <v>2021</v>
      </c>
      <c r="C743" s="279">
        <f>+H714</f>
        <v>0</v>
      </c>
      <c r="D743" s="216"/>
      <c r="E743" s="216"/>
      <c r="Q743" s="166"/>
    </row>
    <row r="744" spans="2:17" x14ac:dyDescent="0.2">
      <c r="B744" s="275">
        <v>2022</v>
      </c>
      <c r="C744" s="279">
        <f>+H725</f>
        <v>0</v>
      </c>
      <c r="D744" s="216"/>
      <c r="E744" s="216"/>
      <c r="Q744" s="166"/>
    </row>
    <row r="745" spans="2:17" x14ac:dyDescent="0.2">
      <c r="B745" s="275">
        <v>2023</v>
      </c>
      <c r="C745" s="279">
        <f>+H732</f>
        <v>0</v>
      </c>
      <c r="D745" s="216"/>
      <c r="E745" s="216"/>
      <c r="Q745" s="166"/>
    </row>
    <row r="746" spans="2:17" x14ac:dyDescent="0.2">
      <c r="B746" s="275">
        <v>2024</v>
      </c>
      <c r="C746" s="279">
        <f>+H738</f>
        <v>0</v>
      </c>
      <c r="D746" s="216"/>
      <c r="E746" s="216"/>
      <c r="Q746" s="166"/>
    </row>
    <row r="747" spans="2:17" x14ac:dyDescent="0.2">
      <c r="Q747" s="166"/>
    </row>
    <row r="748" spans="2:17" x14ac:dyDescent="0.2">
      <c r="Q748" s="166"/>
    </row>
    <row r="749" spans="2:17" ht="12.75" customHeight="1" x14ac:dyDescent="0.2">
      <c r="B749" s="321" t="s">
        <v>356</v>
      </c>
      <c r="C749" s="322"/>
      <c r="D749" s="322"/>
      <c r="E749" s="322"/>
      <c r="F749" s="323"/>
      <c r="G749" s="323"/>
      <c r="H749" s="323"/>
      <c r="I749" s="323"/>
      <c r="J749" s="323"/>
      <c r="K749" s="323"/>
      <c r="L749" s="323"/>
      <c r="M749" s="323"/>
      <c r="Q749" s="166"/>
    </row>
    <row r="750" spans="2:17" x14ac:dyDescent="0.2">
      <c r="Q750" s="166"/>
    </row>
    <row r="751" spans="2:17" x14ac:dyDescent="0.2">
      <c r="B751" s="273" t="s">
        <v>139</v>
      </c>
      <c r="F751" s="810">
        <v>2017</v>
      </c>
      <c r="Q751" s="166"/>
    </row>
    <row r="752" spans="2:17" x14ac:dyDescent="0.2">
      <c r="L752" s="206"/>
      <c r="Q752" s="166"/>
    </row>
    <row r="753" spans="2:17" ht="82.5" customHeight="1" x14ac:dyDescent="0.2">
      <c r="B753" s="1101" t="s">
        <v>140</v>
      </c>
      <c r="C753" s="1102"/>
      <c r="D753" s="1102"/>
      <c r="E753" s="1103"/>
      <c r="F753" s="274"/>
      <c r="G753" s="165" t="str">
        <f>"Nog af te bouwen regulatoir saldo einde "&amp;F751-1</f>
        <v>Nog af te bouwen regulatoir saldo einde 2016</v>
      </c>
      <c r="H753" s="165" t="str">
        <f>"Afbouw oudste openstaande regulatoir saldo vanaf boekjaar "&amp;F751-3&amp;" en vroeger, door aanwending van compensatie met regulatoir saldo ontstaan over boekjaar "&amp;F751-2</f>
        <v>Afbouw oudste openstaande regulatoir saldo vanaf boekjaar 2014 en vroeger, door aanwending van compensatie met regulatoir saldo ontstaan over boekjaar 2015</v>
      </c>
      <c r="I753" s="165" t="str">
        <f>"Nog af te bouwen regulatoir saldo na compensatie einde "&amp;F751-1</f>
        <v>Nog af te bouwen regulatoir saldo na compensatie einde 2016</v>
      </c>
      <c r="J753" s="165" t="str">
        <f>"Aanwending van 60% van het geaccumuleerd regulatoir saldo door te rekenen volgens de tariefmethodologie in het boekjaar "&amp;F751</f>
        <v>Aanwending van 60% van het geaccumuleerd regulatoir saldo door te rekenen volgens de tariefmethodologie in het boekjaar 2017</v>
      </c>
      <c r="K753" s="165" t="str">
        <f>"Nog af te bouwen regulatoir saldo einde "&amp;F751</f>
        <v>Nog af te bouwen regulatoir saldo einde 2017</v>
      </c>
      <c r="L753" s="206"/>
      <c r="Q753" s="166"/>
    </row>
    <row r="754" spans="2:17" x14ac:dyDescent="0.2">
      <c r="B754" s="1104">
        <v>2015</v>
      </c>
      <c r="C754" s="1105"/>
      <c r="D754" s="1105"/>
      <c r="E754" s="1106"/>
      <c r="F754" s="275"/>
      <c r="G754" s="176">
        <f>G242</f>
        <v>0</v>
      </c>
      <c r="H754" s="521">
        <v>0</v>
      </c>
      <c r="I754" s="176">
        <f>+G754+H754</f>
        <v>0</v>
      </c>
      <c r="J754" s="176">
        <f>-I754*0.6</f>
        <v>0</v>
      </c>
      <c r="K754" s="811">
        <f>+J754+G754</f>
        <v>0</v>
      </c>
      <c r="L754" s="206"/>
      <c r="Q754" s="166"/>
    </row>
    <row r="755" spans="2:17" x14ac:dyDescent="0.2">
      <c r="H755" s="214"/>
      <c r="L755" s="206"/>
      <c r="Q755" s="166"/>
    </row>
    <row r="756" spans="2:17" x14ac:dyDescent="0.2">
      <c r="B756" s="273" t="s">
        <v>139</v>
      </c>
      <c r="F756" s="810">
        <v>2018</v>
      </c>
      <c r="Q756" s="166"/>
    </row>
    <row r="757" spans="2:17" x14ac:dyDescent="0.2">
      <c r="Q757" s="166"/>
    </row>
    <row r="758" spans="2:17" ht="80.099999999999994" customHeight="1" x14ac:dyDescent="0.2">
      <c r="B758" s="1101" t="s">
        <v>140</v>
      </c>
      <c r="C758" s="1102"/>
      <c r="D758" s="1102"/>
      <c r="E758" s="1103"/>
      <c r="F758" s="274"/>
      <c r="G758" s="165" t="str">
        <f>"Nog af te bouwen regulatoir saldo einde "&amp;F756-1</f>
        <v>Nog af te bouwen regulatoir saldo einde 2017</v>
      </c>
      <c r="H758" s="165" t="str">
        <f>"Afbouw oudste openstaande regulatoir saldo vanaf boekjaar "&amp;F756-3&amp;" en vroeger, door aanwending van compensatie met regulatoir saldo ontstaan over boekjaar "&amp;F756-2</f>
        <v>Afbouw oudste openstaande regulatoir saldo vanaf boekjaar 2015 en vroeger, door aanwending van compensatie met regulatoir saldo ontstaan over boekjaar 2016</v>
      </c>
      <c r="I758" s="165" t="str">
        <f>"Nog af te bouwen regulatoir saldo na compensatie einde "&amp;F756-1</f>
        <v>Nog af te bouwen regulatoir saldo na compensatie einde 2017</v>
      </c>
      <c r="J758" s="165" t="str">
        <f>"60% van het geaccumuleerd regulatoir saldo door te rekenen volgens de tariefmethodologie in het boekjaar "&amp;F756</f>
        <v>60% van het geaccumuleerd regulatoir saldo door te rekenen volgens de tariefmethodologie in het boekjaar 2018</v>
      </c>
      <c r="K758" s="165" t="str">
        <f>"Aanwending van 60% van het geaccumuleerd regulatoir saldo door te rekenen volgens de tariefmethodologie in het boekjaar "&amp;F756</f>
        <v>Aanwending van 60% van het geaccumuleerd regulatoir saldo door te rekenen volgens de tariefmethodologie in het boekjaar 2018</v>
      </c>
      <c r="L758" s="165" t="str">
        <f>"Totale afbouw over "&amp;F756</f>
        <v>Totale afbouw over 2018</v>
      </c>
      <c r="M758" s="165" t="str">
        <f>"Nog af te bouwen regulatoir saldo einde "&amp;F756</f>
        <v>Nog af te bouwen regulatoir saldo einde 2018</v>
      </c>
      <c r="N758" s="206"/>
      <c r="Q758" s="166"/>
    </row>
    <row r="759" spans="2:17" x14ac:dyDescent="0.2">
      <c r="B759" s="1104">
        <v>2015</v>
      </c>
      <c r="C759" s="1105"/>
      <c r="D759" s="1105"/>
      <c r="E759" s="1106"/>
      <c r="F759" s="275"/>
      <c r="G759" s="176">
        <f>K754</f>
        <v>0</v>
      </c>
      <c r="H759" s="521">
        <f>IF(SIGN(G760*K754)&lt;0,IF(G759&lt;&gt;0,-SIGN(G759)*MIN(ABS(G760),ABS(G759)),0),0)</f>
        <v>0</v>
      </c>
      <c r="I759" s="176">
        <f>+G759+H759</f>
        <v>0</v>
      </c>
      <c r="J759" s="806"/>
      <c r="K759" s="521">
        <f>-MIN(ABS(I759),ABS(J761))*SIGN(I759)</f>
        <v>0</v>
      </c>
      <c r="L759" s="813">
        <f>+K759+H759</f>
        <v>0</v>
      </c>
      <c r="M759" s="176">
        <f>+I759+K759</f>
        <v>0</v>
      </c>
      <c r="N759" s="206"/>
      <c r="Q759" s="166"/>
    </row>
    <row r="760" spans="2:17" x14ac:dyDescent="0.2">
      <c r="B760" s="1104">
        <v>2016</v>
      </c>
      <c r="C760" s="1105"/>
      <c r="D760" s="1105"/>
      <c r="E760" s="1106"/>
      <c r="F760" s="275"/>
      <c r="G760" s="176">
        <f>H243</f>
        <v>0</v>
      </c>
      <c r="H760" s="813">
        <f>IF(SIGN(G760*K754)&lt;0,-H759,0)</f>
        <v>0</v>
      </c>
      <c r="I760" s="176">
        <f>+G760+H760</f>
        <v>0</v>
      </c>
      <c r="J760" s="806"/>
      <c r="K760" s="521">
        <f>-MIN(ABS(I760),ABS(J761-K759))*SIGN(I760)</f>
        <v>0</v>
      </c>
      <c r="L760" s="813">
        <f>+K760+H760</f>
        <v>0</v>
      </c>
      <c r="M760" s="176">
        <f>+I760+K760</f>
        <v>0</v>
      </c>
      <c r="N760" s="206"/>
      <c r="Q760" s="166"/>
    </row>
    <row r="761" spans="2:17" s="273" customFormat="1" x14ac:dyDescent="0.2">
      <c r="G761" s="276">
        <f>SUM(G759:G760)</f>
        <v>0</v>
      </c>
      <c r="H761" s="168">
        <f>SUM(H759:H760)</f>
        <v>0</v>
      </c>
      <c r="I761" s="276">
        <f>SUM(I759:I760)</f>
        <v>0</v>
      </c>
      <c r="J761" s="276">
        <f>-I761*0.6</f>
        <v>0</v>
      </c>
      <c r="K761" s="168">
        <f>SUM(K759:K760)</f>
        <v>0</v>
      </c>
      <c r="L761" s="528"/>
      <c r="M761" s="276">
        <f>SUM(M759:M760)</f>
        <v>0</v>
      </c>
    </row>
    <row r="762" spans="2:17" x14ac:dyDescent="0.2">
      <c r="Q762" s="166"/>
    </row>
    <row r="763" spans="2:17" x14ac:dyDescent="0.2">
      <c r="B763" s="273" t="s">
        <v>139</v>
      </c>
      <c r="F763" s="810">
        <v>2019</v>
      </c>
      <c r="Q763" s="166"/>
    </row>
    <row r="764" spans="2:17" x14ac:dyDescent="0.2">
      <c r="Q764" s="166"/>
    </row>
    <row r="765" spans="2:17" ht="80.099999999999994" customHeight="1" x14ac:dyDescent="0.2">
      <c r="B765" s="1101" t="s">
        <v>140</v>
      </c>
      <c r="C765" s="1102"/>
      <c r="D765" s="1102"/>
      <c r="E765" s="1103"/>
      <c r="F765" s="274"/>
      <c r="G765" s="165" t="str">
        <f>"Nog af te bouwen regulatoir saldo einde "&amp;F763-1</f>
        <v>Nog af te bouwen regulatoir saldo einde 2018</v>
      </c>
      <c r="H765" s="165" t="str">
        <f>"Afbouw oudste openstaande regulatoir saldo vanaf boekjaar "&amp;F763-3&amp;" en vroeger, door aanwending van compensatie met regulatoir saldo ontstaan over boekjaar "&amp;F763-2</f>
        <v>Afbouw oudste openstaande regulatoir saldo vanaf boekjaar 2016 en vroeger, door aanwending van compensatie met regulatoir saldo ontstaan over boekjaar 2017</v>
      </c>
      <c r="I765" s="165" t="str">
        <f>"Nog af te bouwen regulatoir saldo na compensatie einde "&amp;F763-1</f>
        <v>Nog af te bouwen regulatoir saldo na compensatie einde 2018</v>
      </c>
      <c r="J765" s="165" t="str">
        <f>"60% van het geaccumuleerd regulatoir saldo door te rekenen volgens de tariefmethodologie in het boekjaar "&amp;F763</f>
        <v>60% van het geaccumuleerd regulatoir saldo door te rekenen volgens de tariefmethodologie in het boekjaar 2019</v>
      </c>
      <c r="K765" s="165" t="str">
        <f>"Aanwending van het 60% van het geaccumuleerd regulatoir saldo door te rekenen volgens de tariefmethodologie in het boekjaar "&amp;F763</f>
        <v>Aanwending van het 60% van het geaccumuleerd regulatoir saldo door te rekenen volgens de tariefmethodologie in het boekjaar 2019</v>
      </c>
      <c r="L765" s="165" t="str">
        <f>"Totale afbouw over "&amp;F763</f>
        <v>Totale afbouw over 2019</v>
      </c>
      <c r="M765" s="165" t="str">
        <f>"Nog af te bouwen regulatoir saldo einde "&amp;F763</f>
        <v>Nog af te bouwen regulatoir saldo einde 2019</v>
      </c>
      <c r="N765" s="206"/>
      <c r="Q765" s="166"/>
    </row>
    <row r="766" spans="2:17" x14ac:dyDescent="0.2">
      <c r="B766" s="1104">
        <v>2015</v>
      </c>
      <c r="C766" s="1105"/>
      <c r="D766" s="1105"/>
      <c r="E766" s="1106"/>
      <c r="F766" s="275"/>
      <c r="G766" s="176">
        <f>+M759</f>
        <v>0</v>
      </c>
      <c r="H766" s="813">
        <f>IF(SIGN(G768*M761)&lt;0,IF(G766&lt;&gt;0,-SIGN(G766)*MIN(ABS(G768),ABS(G766)),0),0)</f>
        <v>0</v>
      </c>
      <c r="I766" s="176">
        <f>+G766+H766</f>
        <v>0</v>
      </c>
      <c r="J766" s="806"/>
      <c r="K766" s="521">
        <f>-MIN(ABS(I766),ABS(J769))*SIGN(I766)</f>
        <v>0</v>
      </c>
      <c r="L766" s="813">
        <f>+K766+H766</f>
        <v>0</v>
      </c>
      <c r="M766" s="176">
        <f>+I766+K766</f>
        <v>0</v>
      </c>
      <c r="N766" s="206"/>
      <c r="Q766" s="166"/>
    </row>
    <row r="767" spans="2:17" x14ac:dyDescent="0.2">
      <c r="B767" s="1104">
        <v>2016</v>
      </c>
      <c r="C767" s="1105"/>
      <c r="D767" s="1105">
        <v>2016</v>
      </c>
      <c r="E767" s="1106"/>
      <c r="F767" s="275"/>
      <c r="G767" s="176">
        <f>+M760</f>
        <v>0</v>
      </c>
      <c r="H767" s="813">
        <f>IF(SIGN(G768*M761)&lt;0,IF(G767&lt;&gt;0,-SIGN(G767)*MIN(ABS(G768-H766),ABS(G767)),0),0)</f>
        <v>0</v>
      </c>
      <c r="I767" s="176">
        <f>+G767+H767</f>
        <v>0</v>
      </c>
      <c r="J767" s="806"/>
      <c r="K767" s="521">
        <f>-MIN(ABS(I767),ABS(J769-K766))*SIGN(I767)</f>
        <v>0</v>
      </c>
      <c r="L767" s="813">
        <f>+K767+H767</f>
        <v>0</v>
      </c>
      <c r="M767" s="176">
        <f>+I767+K767</f>
        <v>0</v>
      </c>
      <c r="N767" s="206"/>
      <c r="Q767" s="166"/>
    </row>
    <row r="768" spans="2:17" x14ac:dyDescent="0.2">
      <c r="B768" s="1104">
        <v>2017</v>
      </c>
      <c r="C768" s="1105"/>
      <c r="D768" s="1105"/>
      <c r="E768" s="1106"/>
      <c r="F768" s="275"/>
      <c r="G768" s="176">
        <f>I244</f>
        <v>0</v>
      </c>
      <c r="H768" s="813">
        <f>IF(SIGN(G768*M761)&lt;0,-SUM(H766:H767),0)</f>
        <v>0</v>
      </c>
      <c r="I768" s="176">
        <f>+G768+H768</f>
        <v>0</v>
      </c>
      <c r="J768" s="806"/>
      <c r="K768" s="521">
        <f>-MIN(ABS(I768),ABS(J769-K766-K767))*SIGN(I768)</f>
        <v>0</v>
      </c>
      <c r="L768" s="813">
        <f>+K768+H768</f>
        <v>0</v>
      </c>
      <c r="M768" s="176">
        <f>+I768+K768</f>
        <v>0</v>
      </c>
      <c r="N768" s="206"/>
      <c r="Q768" s="166"/>
    </row>
    <row r="769" spans="2:17" s="273" customFormat="1" x14ac:dyDescent="0.2">
      <c r="G769" s="276">
        <f>SUM(G766:G768)</f>
        <v>0</v>
      </c>
      <c r="H769" s="168">
        <f>SUM(H766:H768)</f>
        <v>0</v>
      </c>
      <c r="I769" s="276">
        <f>SUM(I766:I768)</f>
        <v>0</v>
      </c>
      <c r="J769" s="276">
        <f>-I769*0.6</f>
        <v>0</v>
      </c>
      <c r="K769" s="168">
        <f>SUM(K766:K768)</f>
        <v>0</v>
      </c>
      <c r="L769" s="528"/>
      <c r="M769" s="276">
        <f>SUM(M766:M768)</f>
        <v>0</v>
      </c>
    </row>
    <row r="770" spans="2:17" x14ac:dyDescent="0.2">
      <c r="H770" s="214"/>
      <c r="Q770" s="166"/>
    </row>
    <row r="771" spans="2:17" x14ac:dyDescent="0.2">
      <c r="B771" s="273" t="s">
        <v>139</v>
      </c>
      <c r="F771" s="810">
        <v>2020</v>
      </c>
      <c r="Q771" s="166"/>
    </row>
    <row r="772" spans="2:17" x14ac:dyDescent="0.2">
      <c r="Q772" s="166"/>
    </row>
    <row r="773" spans="2:17" ht="80.099999999999994" customHeight="1" x14ac:dyDescent="0.2">
      <c r="B773" s="1101" t="s">
        <v>140</v>
      </c>
      <c r="C773" s="1102"/>
      <c r="D773" s="1102"/>
      <c r="E773" s="1103"/>
      <c r="F773" s="274"/>
      <c r="G773" s="165" t="str">
        <f>"Nog af te bouwen regulatoir saldo einde "&amp;F771-1</f>
        <v>Nog af te bouwen regulatoir saldo einde 2019</v>
      </c>
      <c r="H773" s="165" t="str">
        <f>"Afbouw oudste openstaande regulatoir saldo vanaf boekjaar "&amp;F771-3&amp;" en vroeger, door aanwending van compensatie met regulatoir saldo ontstaan over boekjaar "&amp;F771-2</f>
        <v>Afbouw oudste openstaande regulatoir saldo vanaf boekjaar 2017 en vroeger, door aanwending van compensatie met regulatoir saldo ontstaan over boekjaar 2018</v>
      </c>
      <c r="I773" s="165" t="str">
        <f>"Nog af te bouwen regulatoir saldo na compensatie einde "&amp;F771-1</f>
        <v>Nog af te bouwen regulatoir saldo na compensatie einde 2019</v>
      </c>
      <c r="J773" s="165" t="str">
        <f>"60% van het geaccumuleerd regulatoir saldo door te rekenen volgens de tariefmethodologie in het boekjaar "&amp;F771</f>
        <v>60% van het geaccumuleerd regulatoir saldo door te rekenen volgens de tariefmethodologie in het boekjaar 2020</v>
      </c>
      <c r="K773" s="165" t="str">
        <f>"Aanwending van het 60% van het geaccumuleerd regulatoir saldo door te rekenen volgens de tariefmethodologie in het boekjaar "&amp;F771</f>
        <v>Aanwending van het 60% van het geaccumuleerd regulatoir saldo door te rekenen volgens de tariefmethodologie in het boekjaar 2020</v>
      </c>
      <c r="L773" s="165" t="str">
        <f>"Totale afbouw over "&amp;F771</f>
        <v>Totale afbouw over 2020</v>
      </c>
      <c r="M773" s="165" t="str">
        <f>"Nog af te bouwen regulatoir saldo einde "&amp;F771</f>
        <v>Nog af te bouwen regulatoir saldo einde 2020</v>
      </c>
      <c r="N773" s="206"/>
      <c r="Q773" s="166"/>
    </row>
    <row r="774" spans="2:17" x14ac:dyDescent="0.2">
      <c r="B774" s="1104">
        <v>2015</v>
      </c>
      <c r="C774" s="1105"/>
      <c r="D774" s="1105"/>
      <c r="E774" s="1106"/>
      <c r="F774" s="275"/>
      <c r="G774" s="176">
        <f>+M766</f>
        <v>0</v>
      </c>
      <c r="H774" s="813">
        <f>IF(SIGN(G777*M769)&lt;0,IF(G774&lt;&gt;0,-SIGN(G774)*MIN(ABS(G777),ABS(G774)),0),0)</f>
        <v>0</v>
      </c>
      <c r="I774" s="176">
        <f>+G774+H774</f>
        <v>0</v>
      </c>
      <c r="J774" s="806"/>
      <c r="K774" s="521">
        <f>-MIN(ABS(I774),ABS(J778))*SIGN(I774)</f>
        <v>0</v>
      </c>
      <c r="L774" s="813">
        <f>+K774+H774</f>
        <v>0</v>
      </c>
      <c r="M774" s="176">
        <f>+I774+K774</f>
        <v>0</v>
      </c>
      <c r="N774" s="206"/>
      <c r="Q774" s="166"/>
    </row>
    <row r="775" spans="2:17" x14ac:dyDescent="0.2">
      <c r="B775" s="1104">
        <v>2016</v>
      </c>
      <c r="C775" s="1105"/>
      <c r="D775" s="1105"/>
      <c r="E775" s="1106"/>
      <c r="F775" s="275"/>
      <c r="G775" s="176">
        <f>+M767</f>
        <v>0</v>
      </c>
      <c r="H775" s="813">
        <f>IF(SIGN(G777*M769)&lt;0,IF(G775&lt;&gt;0,-SIGN(G775)*MIN(ABS(G777-H774),ABS(G775)),0),0)</f>
        <v>0</v>
      </c>
      <c r="I775" s="176">
        <f>+G775+H775</f>
        <v>0</v>
      </c>
      <c r="J775" s="806"/>
      <c r="K775" s="521">
        <f>-MIN(ABS(I775),ABS(J778-K774))*SIGN(I775)</f>
        <v>0</v>
      </c>
      <c r="L775" s="813">
        <f>+K775+H775</f>
        <v>0</v>
      </c>
      <c r="M775" s="176">
        <f>+I775+K775</f>
        <v>0</v>
      </c>
      <c r="N775" s="206"/>
      <c r="Q775" s="166"/>
    </row>
    <row r="776" spans="2:17" x14ac:dyDescent="0.2">
      <c r="B776" s="1104">
        <v>2017</v>
      </c>
      <c r="C776" s="1105"/>
      <c r="D776" s="1105">
        <v>2016</v>
      </c>
      <c r="E776" s="1106"/>
      <c r="F776" s="275"/>
      <c r="G776" s="176">
        <f>+M768</f>
        <v>0</v>
      </c>
      <c r="H776" s="813">
        <f>IF(SIGN(G777*M769)&lt;0,IF(G776&lt;&gt;0,-SIGN(G776)*MIN(ABS(G777-H774-H775),ABS(G776)),0),0)</f>
        <v>0</v>
      </c>
      <c r="I776" s="176">
        <f>+G776+H776</f>
        <v>0</v>
      </c>
      <c r="J776" s="806"/>
      <c r="K776" s="521">
        <f>-MIN(ABS(I776),ABS(J778-K774-K775))*SIGN(I776)</f>
        <v>0</v>
      </c>
      <c r="L776" s="813">
        <f>+K776+H776</f>
        <v>0</v>
      </c>
      <c r="M776" s="176">
        <f>+I776+K776</f>
        <v>0</v>
      </c>
      <c r="N776" s="206"/>
      <c r="Q776" s="166"/>
    </row>
    <row r="777" spans="2:17" x14ac:dyDescent="0.2">
      <c r="B777" s="1104">
        <v>2018</v>
      </c>
      <c r="C777" s="1105"/>
      <c r="D777" s="1105"/>
      <c r="E777" s="1106"/>
      <c r="F777" s="275"/>
      <c r="G777" s="176">
        <f>J245</f>
        <v>0</v>
      </c>
      <c r="H777" s="813">
        <f>IF(SIGN(G777*M769)&lt;0,-SUM(H774:H776),0)</f>
        <v>0</v>
      </c>
      <c r="I777" s="176">
        <f>+G777+H777</f>
        <v>0</v>
      </c>
      <c r="J777" s="806"/>
      <c r="K777" s="521">
        <f>-MIN(ABS(I777),ABS(J778-K774-K775-K776))*SIGN(I777)</f>
        <v>0</v>
      </c>
      <c r="L777" s="813">
        <f>+K777+H777</f>
        <v>0</v>
      </c>
      <c r="M777" s="176">
        <f>+I777+K777</f>
        <v>0</v>
      </c>
      <c r="N777" s="206"/>
      <c r="Q777" s="166"/>
    </row>
    <row r="778" spans="2:17" s="273" customFormat="1" x14ac:dyDescent="0.2">
      <c r="G778" s="276">
        <f>SUM(G774:G777)</f>
        <v>0</v>
      </c>
      <c r="H778" s="168">
        <f>SUM(H774:H777)</f>
        <v>0</v>
      </c>
      <c r="I778" s="276">
        <f>SUM(I774:I777)</f>
        <v>0</v>
      </c>
      <c r="J778" s="276">
        <f>-I778*0.6</f>
        <v>0</v>
      </c>
      <c r="K778" s="168">
        <f>SUM(K774:K777)</f>
        <v>0</v>
      </c>
      <c r="L778" s="168"/>
      <c r="M778" s="276">
        <f>SUM(M774:M777)</f>
        <v>0</v>
      </c>
    </row>
    <row r="779" spans="2:17" x14ac:dyDescent="0.2">
      <c r="Q779" s="166"/>
    </row>
    <row r="780" spans="2:17" x14ac:dyDescent="0.2">
      <c r="B780" s="273" t="s">
        <v>139</v>
      </c>
      <c r="F780" s="810">
        <v>2021</v>
      </c>
      <c r="Q780" s="166"/>
    </row>
    <row r="781" spans="2:17" x14ac:dyDescent="0.2">
      <c r="Q781" s="166"/>
    </row>
    <row r="782" spans="2:17" ht="78" customHeight="1" x14ac:dyDescent="0.2">
      <c r="B782" s="1101" t="s">
        <v>140</v>
      </c>
      <c r="C782" s="1102"/>
      <c r="D782" s="1102"/>
      <c r="E782" s="1103"/>
      <c r="F782" s="274"/>
      <c r="G782" s="165" t="str">
        <f>"Nog af te bouwen regulatoir saldo einde "&amp;F780-1</f>
        <v>Nog af te bouwen regulatoir saldo einde 2020</v>
      </c>
      <c r="H782" s="165" t="str">
        <f>"50% van het oorspronkelijk regulatoir saldo door te rekenen volgens de tariefmethodologie in het boekjaar "&amp;F780</f>
        <v>50% van het oorspronkelijk regulatoir saldo door te rekenen volgens de tariefmethodologie in het boekjaar 2021</v>
      </c>
      <c r="I782" s="165" t="str">
        <f>"Nog af te bouwen regulatoir saldo einde "&amp;F780</f>
        <v>Nog af te bouwen regulatoir saldo einde 2021</v>
      </c>
      <c r="J782" s="206"/>
      <c r="Q782" s="166"/>
    </row>
    <row r="783" spans="2:17" x14ac:dyDescent="0.2">
      <c r="B783" s="1104">
        <v>2015</v>
      </c>
      <c r="C783" s="1105"/>
      <c r="D783" s="1105"/>
      <c r="E783" s="1106"/>
      <c r="F783" s="275"/>
      <c r="G783" s="176">
        <f>M774</f>
        <v>0</v>
      </c>
      <c r="H783" s="176">
        <f>-G783*0.5</f>
        <v>0</v>
      </c>
      <c r="I783" s="176">
        <f>+G783+H783</f>
        <v>0</v>
      </c>
      <c r="J783" s="206"/>
      <c r="Q783" s="166"/>
    </row>
    <row r="784" spans="2:17" x14ac:dyDescent="0.2">
      <c r="B784" s="1104">
        <v>2016</v>
      </c>
      <c r="C784" s="1105"/>
      <c r="D784" s="1105"/>
      <c r="E784" s="1106"/>
      <c r="F784" s="275"/>
      <c r="G784" s="176">
        <f t="shared" ref="G784:G786" si="126">M775</f>
        <v>0</v>
      </c>
      <c r="H784" s="176">
        <f t="shared" ref="H784:H787" si="127">-G784*0.5</f>
        <v>0</v>
      </c>
      <c r="I784" s="176">
        <f t="shared" ref="I784:I787" si="128">+G784+H784</f>
        <v>0</v>
      </c>
      <c r="J784" s="206"/>
      <c r="Q784" s="166"/>
    </row>
    <row r="785" spans="2:17" x14ac:dyDescent="0.2">
      <c r="B785" s="1104">
        <v>2017</v>
      </c>
      <c r="C785" s="1105"/>
      <c r="D785" s="1105">
        <v>2016</v>
      </c>
      <c r="E785" s="1106"/>
      <c r="F785" s="275"/>
      <c r="G785" s="176">
        <f t="shared" si="126"/>
        <v>0</v>
      </c>
      <c r="H785" s="176">
        <f t="shared" si="127"/>
        <v>0</v>
      </c>
      <c r="I785" s="176">
        <f t="shared" si="128"/>
        <v>0</v>
      </c>
      <c r="J785" s="206"/>
      <c r="Q785" s="166"/>
    </row>
    <row r="786" spans="2:17" x14ac:dyDescent="0.2">
      <c r="B786" s="1104">
        <v>2018</v>
      </c>
      <c r="C786" s="1105"/>
      <c r="D786" s="1105"/>
      <c r="E786" s="1106"/>
      <c r="F786" s="275"/>
      <c r="G786" s="176">
        <f t="shared" si="126"/>
        <v>0</v>
      </c>
      <c r="H786" s="176">
        <f t="shared" si="127"/>
        <v>0</v>
      </c>
      <c r="I786" s="176">
        <f t="shared" si="128"/>
        <v>0</v>
      </c>
      <c r="J786" s="206"/>
      <c r="Q786" s="166"/>
    </row>
    <row r="787" spans="2:17" x14ac:dyDescent="0.2">
      <c r="B787" s="1104">
        <v>2019</v>
      </c>
      <c r="C787" s="1105"/>
      <c r="D787" s="1105"/>
      <c r="E787" s="1106"/>
      <c r="F787" s="275"/>
      <c r="G787" s="176">
        <f>K246</f>
        <v>0</v>
      </c>
      <c r="H787" s="176">
        <f t="shared" si="127"/>
        <v>0</v>
      </c>
      <c r="I787" s="176">
        <f t="shared" si="128"/>
        <v>0</v>
      </c>
      <c r="J787" s="206"/>
      <c r="Q787" s="166"/>
    </row>
    <row r="788" spans="2:17" s="273" customFormat="1" x14ac:dyDescent="0.2">
      <c r="G788" s="276">
        <f>SUM(G783:G787)</f>
        <v>0</v>
      </c>
      <c r="H788" s="276">
        <f>SUM(H783:H787)</f>
        <v>0</v>
      </c>
      <c r="I788" s="276">
        <f>SUM(I783:I787)</f>
        <v>0</v>
      </c>
    </row>
    <row r="789" spans="2:17" x14ac:dyDescent="0.2">
      <c r="Q789" s="166"/>
    </row>
    <row r="790" spans="2:17" x14ac:dyDescent="0.2">
      <c r="B790" s="273" t="s">
        <v>139</v>
      </c>
      <c r="F790" s="810">
        <v>2022</v>
      </c>
      <c r="Q790" s="166"/>
    </row>
    <row r="791" spans="2:17" x14ac:dyDescent="0.2">
      <c r="Q791" s="166"/>
    </row>
    <row r="792" spans="2:17" ht="78" customHeight="1" x14ac:dyDescent="0.2">
      <c r="B792" s="1101" t="s">
        <v>140</v>
      </c>
      <c r="C792" s="1102"/>
      <c r="D792" s="1102"/>
      <c r="E792" s="1103"/>
      <c r="F792" s="274"/>
      <c r="G792" s="165" t="str">
        <f>"Nog af te bouwen regulatoir saldo einde "&amp;F790-1</f>
        <v>Nog af te bouwen regulatoir saldo einde 2021</v>
      </c>
      <c r="H792" s="165" t="str">
        <f>"50% van het oorspronkelijk regulatoir saldo door te rekenen volgens de tariefmethodologie in het boekjaar "&amp;F790</f>
        <v>50% van het oorspronkelijk regulatoir saldo door te rekenen volgens de tariefmethodologie in het boekjaar 2022</v>
      </c>
      <c r="I792" s="165" t="str">
        <f>"Nog af te bouwen regulatoir saldo einde "&amp;F790</f>
        <v>Nog af te bouwen regulatoir saldo einde 2022</v>
      </c>
      <c r="J792" s="206"/>
      <c r="Q792" s="166"/>
    </row>
    <row r="793" spans="2:17" x14ac:dyDescent="0.2">
      <c r="B793" s="1104">
        <v>2015</v>
      </c>
      <c r="C793" s="1105"/>
      <c r="D793" s="1105"/>
      <c r="E793" s="1106"/>
      <c r="F793" s="275"/>
      <c r="G793" s="176">
        <f>+I783</f>
        <v>0</v>
      </c>
      <c r="H793" s="176">
        <f>-G783*0.5</f>
        <v>0</v>
      </c>
      <c r="I793" s="176">
        <f>+G793+H793</f>
        <v>0</v>
      </c>
      <c r="J793" s="206"/>
      <c r="Q793" s="166"/>
    </row>
    <row r="794" spans="2:17" x14ac:dyDescent="0.2">
      <c r="B794" s="1104">
        <v>2016</v>
      </c>
      <c r="C794" s="1105"/>
      <c r="D794" s="1105"/>
      <c r="E794" s="1106"/>
      <c r="F794" s="275"/>
      <c r="G794" s="176">
        <f t="shared" ref="G794:G797" si="129">+I784</f>
        <v>0</v>
      </c>
      <c r="H794" s="176">
        <f t="shared" ref="H794:H797" si="130">-G784*0.5</f>
        <v>0</v>
      </c>
      <c r="I794" s="176">
        <f t="shared" ref="I794:I798" si="131">+G794+H794</f>
        <v>0</v>
      </c>
      <c r="J794" s="206"/>
      <c r="Q794" s="166"/>
    </row>
    <row r="795" spans="2:17" x14ac:dyDescent="0.2">
      <c r="B795" s="1104">
        <v>2017</v>
      </c>
      <c r="C795" s="1105"/>
      <c r="D795" s="1105">
        <v>2016</v>
      </c>
      <c r="E795" s="1106"/>
      <c r="F795" s="275"/>
      <c r="G795" s="176">
        <f t="shared" si="129"/>
        <v>0</v>
      </c>
      <c r="H795" s="176">
        <f t="shared" si="130"/>
        <v>0</v>
      </c>
      <c r="I795" s="176">
        <f t="shared" si="131"/>
        <v>0</v>
      </c>
      <c r="J795" s="206"/>
      <c r="Q795" s="166"/>
    </row>
    <row r="796" spans="2:17" x14ac:dyDescent="0.2">
      <c r="B796" s="1104">
        <v>2018</v>
      </c>
      <c r="C796" s="1105"/>
      <c r="D796" s="1105"/>
      <c r="E796" s="1106"/>
      <c r="F796" s="275"/>
      <c r="G796" s="176">
        <f t="shared" si="129"/>
        <v>0</v>
      </c>
      <c r="H796" s="176">
        <f t="shared" si="130"/>
        <v>0</v>
      </c>
      <c r="I796" s="176">
        <f t="shared" si="131"/>
        <v>0</v>
      </c>
      <c r="J796" s="206"/>
      <c r="Q796" s="166"/>
    </row>
    <row r="797" spans="2:17" x14ac:dyDescent="0.2">
      <c r="B797" s="1104">
        <v>2019</v>
      </c>
      <c r="C797" s="1105"/>
      <c r="D797" s="1105"/>
      <c r="E797" s="1106"/>
      <c r="F797" s="275"/>
      <c r="G797" s="176">
        <f t="shared" si="129"/>
        <v>0</v>
      </c>
      <c r="H797" s="176">
        <f t="shared" si="130"/>
        <v>0</v>
      </c>
      <c r="I797" s="176">
        <f t="shared" si="131"/>
        <v>0</v>
      </c>
      <c r="J797" s="206"/>
      <c r="Q797" s="166"/>
    </row>
    <row r="798" spans="2:17" x14ac:dyDescent="0.2">
      <c r="B798" s="1104">
        <v>2020</v>
      </c>
      <c r="C798" s="1105"/>
      <c r="D798" s="1105"/>
      <c r="E798" s="1106"/>
      <c r="F798" s="275"/>
      <c r="G798" s="176">
        <f>L247</f>
        <v>0</v>
      </c>
      <c r="H798" s="176">
        <f t="shared" ref="H798" si="132">-G798*0.5</f>
        <v>0</v>
      </c>
      <c r="I798" s="176">
        <f t="shared" si="131"/>
        <v>0</v>
      </c>
      <c r="J798" s="206"/>
      <c r="Q798" s="166"/>
    </row>
    <row r="799" spans="2:17" s="273" customFormat="1" x14ac:dyDescent="0.2">
      <c r="G799" s="276">
        <f>SUM(G793:G798)</f>
        <v>0</v>
      </c>
      <c r="H799" s="276">
        <f t="shared" ref="H799" si="133">SUM(H793:H798)</f>
        <v>0</v>
      </c>
      <c r="I799" s="276">
        <f t="shared" ref="I799" si="134">SUM(I793:I798)</f>
        <v>0</v>
      </c>
    </row>
    <row r="800" spans="2:17" x14ac:dyDescent="0.2">
      <c r="Q800" s="166"/>
    </row>
    <row r="801" spans="2:17" x14ac:dyDescent="0.2">
      <c r="B801" s="273" t="s">
        <v>139</v>
      </c>
      <c r="F801" s="810">
        <v>2023</v>
      </c>
      <c r="Q801" s="166"/>
    </row>
    <row r="802" spans="2:17" x14ac:dyDescent="0.2">
      <c r="Q802" s="166"/>
    </row>
    <row r="803" spans="2:17" ht="78" customHeight="1" x14ac:dyDescent="0.2">
      <c r="B803" s="1101" t="s">
        <v>140</v>
      </c>
      <c r="C803" s="1102"/>
      <c r="D803" s="1102"/>
      <c r="E803" s="1103"/>
      <c r="F803" s="274"/>
      <c r="G803" s="165" t="str">
        <f>"Nog af te bouwen regulatoir saldo einde "&amp;F801-1</f>
        <v>Nog af te bouwen regulatoir saldo einde 2022</v>
      </c>
      <c r="H803" s="165" t="str">
        <f>"50% van het oorspronkelijk regulatoir saldo door te rekenen volgens de tariefmethodologie in het boekjaar "&amp;F801</f>
        <v>50% van het oorspronkelijk regulatoir saldo door te rekenen volgens de tariefmethodologie in het boekjaar 2023</v>
      </c>
      <c r="I803" s="165" t="str">
        <f>"Nog af te bouwen regulatoir saldo einde "&amp;F801</f>
        <v>Nog af te bouwen regulatoir saldo einde 2023</v>
      </c>
      <c r="J803" s="206"/>
      <c r="Q803" s="166"/>
    </row>
    <row r="804" spans="2:17" x14ac:dyDescent="0.2">
      <c r="B804" s="1104">
        <v>2020</v>
      </c>
      <c r="C804" s="1105"/>
      <c r="D804" s="1105"/>
      <c r="E804" s="1106"/>
      <c r="F804" s="275"/>
      <c r="G804" s="176">
        <f>+I798</f>
        <v>0</v>
      </c>
      <c r="H804" s="176">
        <f>-G798*0.5</f>
        <v>0</v>
      </c>
      <c r="I804" s="176">
        <f t="shared" ref="I804:I805" si="135">+G804+H804</f>
        <v>0</v>
      </c>
      <c r="J804" s="206"/>
      <c r="Q804" s="166"/>
    </row>
    <row r="805" spans="2:17" x14ac:dyDescent="0.2">
      <c r="B805" s="1104">
        <v>2021</v>
      </c>
      <c r="C805" s="1105"/>
      <c r="D805" s="1105"/>
      <c r="E805" s="1106"/>
      <c r="F805" s="275"/>
      <c r="G805" s="176">
        <f>M248</f>
        <v>0</v>
      </c>
      <c r="H805" s="176">
        <f t="shared" ref="H805" si="136">-G805*0.5</f>
        <v>0</v>
      </c>
      <c r="I805" s="176">
        <f t="shared" si="135"/>
        <v>0</v>
      </c>
      <c r="J805" s="206"/>
      <c r="Q805" s="166"/>
    </row>
    <row r="806" spans="2:17" s="273" customFormat="1" x14ac:dyDescent="0.2">
      <c r="G806" s="276">
        <f>SUM(G804:G805)</f>
        <v>0</v>
      </c>
      <c r="H806" s="276">
        <f>SUM(H804:H805)</f>
        <v>0</v>
      </c>
      <c r="I806" s="276">
        <f>SUM(I804:I805)</f>
        <v>0</v>
      </c>
    </row>
    <row r="807" spans="2:17" x14ac:dyDescent="0.2">
      <c r="Q807" s="166"/>
    </row>
    <row r="808" spans="2:17" x14ac:dyDescent="0.2">
      <c r="B808" s="273" t="s">
        <v>139</v>
      </c>
      <c r="F808" s="810">
        <v>2024</v>
      </c>
      <c r="Q808" s="166"/>
    </row>
    <row r="809" spans="2:17" x14ac:dyDescent="0.2">
      <c r="Q809" s="166"/>
    </row>
    <row r="810" spans="2:17" ht="78" customHeight="1" x14ac:dyDescent="0.2">
      <c r="B810" s="1101" t="s">
        <v>140</v>
      </c>
      <c r="C810" s="1102"/>
      <c r="D810" s="1102"/>
      <c r="E810" s="1103"/>
      <c r="F810" s="274"/>
      <c r="G810" s="165" t="str">
        <f>"Nog af te bouwen regulatoir saldo einde "&amp;F808-1</f>
        <v>Nog af te bouwen regulatoir saldo einde 2023</v>
      </c>
      <c r="H810" s="165" t="str">
        <f>"50% van het oorspronkelijk regulatoir saldo door te rekenen volgens de tariefmethodologie in het boekjaar "&amp;F808</f>
        <v>50% van het oorspronkelijk regulatoir saldo door te rekenen volgens de tariefmethodologie in het boekjaar 2024</v>
      </c>
      <c r="I810" s="165" t="str">
        <f>"Nog af te bouwen regulatoir saldo einde "&amp;F808</f>
        <v>Nog af te bouwen regulatoir saldo einde 2024</v>
      </c>
      <c r="J810" s="206"/>
      <c r="Q810" s="166"/>
    </row>
    <row r="811" spans="2:17" x14ac:dyDescent="0.2">
      <c r="B811" s="1104">
        <v>2021</v>
      </c>
      <c r="C811" s="1105"/>
      <c r="D811" s="1105"/>
      <c r="E811" s="1106"/>
      <c r="F811" s="275"/>
      <c r="G811" s="176">
        <f>+I805</f>
        <v>0</v>
      </c>
      <c r="H811" s="176">
        <f>-G805*0.5</f>
        <v>0</v>
      </c>
      <c r="I811" s="176">
        <f t="shared" ref="I811:I812" si="137">+G811+H811</f>
        <v>0</v>
      </c>
      <c r="J811" s="206"/>
      <c r="Q811" s="166"/>
    </row>
    <row r="812" spans="2:17" x14ac:dyDescent="0.2">
      <c r="B812" s="1104">
        <v>2022</v>
      </c>
      <c r="C812" s="1105"/>
      <c r="D812" s="1105"/>
      <c r="E812" s="1106"/>
      <c r="F812" s="275"/>
      <c r="G812" s="176">
        <f>N249</f>
        <v>0</v>
      </c>
      <c r="H812" s="176">
        <f t="shared" ref="H812" si="138">-G812*0.5</f>
        <v>0</v>
      </c>
      <c r="I812" s="176">
        <f t="shared" si="137"/>
        <v>0</v>
      </c>
      <c r="J812" s="206"/>
      <c r="Q812" s="166"/>
    </row>
    <row r="813" spans="2:17" s="273" customFormat="1" x14ac:dyDescent="0.2">
      <c r="G813" s="276">
        <f>SUM(G811:G812)</f>
        <v>0</v>
      </c>
      <c r="H813" s="276">
        <f>SUM(H811:H812)</f>
        <v>0</v>
      </c>
      <c r="I813" s="276">
        <f>SUM(I811:I812)</f>
        <v>0</v>
      </c>
    </row>
    <row r="814" spans="2:17" x14ac:dyDescent="0.2">
      <c r="Q814" s="166"/>
    </row>
    <row r="815" spans="2:17" x14ac:dyDescent="0.2">
      <c r="B815" s="273" t="s">
        <v>356</v>
      </c>
      <c r="Q815" s="166"/>
    </row>
    <row r="816" spans="2:17" x14ac:dyDescent="0.2">
      <c r="B816" s="273" t="s">
        <v>141</v>
      </c>
      <c r="C816" s="216"/>
      <c r="D816" s="216"/>
      <c r="E816" s="216"/>
      <c r="Q816" s="166"/>
    </row>
    <row r="817" spans="2:17" x14ac:dyDescent="0.2">
      <c r="B817" s="273"/>
      <c r="C817" s="216"/>
      <c r="D817" s="216"/>
      <c r="E817" s="216"/>
      <c r="Q817" s="166"/>
    </row>
    <row r="818" spans="2:17" x14ac:dyDescent="0.2">
      <c r="B818" s="275">
        <v>2021</v>
      </c>
      <c r="C818" s="279">
        <f>+H788</f>
        <v>0</v>
      </c>
      <c r="D818" s="216"/>
      <c r="E818" s="216"/>
      <c r="Q818" s="166"/>
    </row>
    <row r="819" spans="2:17" x14ac:dyDescent="0.2">
      <c r="B819" s="275">
        <v>2022</v>
      </c>
      <c r="C819" s="279">
        <f>+H799</f>
        <v>0</v>
      </c>
      <c r="D819" s="216"/>
      <c r="E819" s="216"/>
      <c r="Q819" s="166"/>
    </row>
    <row r="820" spans="2:17" x14ac:dyDescent="0.2">
      <c r="B820" s="275">
        <v>2023</v>
      </c>
      <c r="C820" s="279">
        <f>+H806</f>
        <v>0</v>
      </c>
      <c r="D820" s="216"/>
      <c r="E820" s="216"/>
      <c r="Q820" s="166"/>
    </row>
    <row r="821" spans="2:17" x14ac:dyDescent="0.2">
      <c r="B821" s="275">
        <v>2024</v>
      </c>
      <c r="C821" s="279">
        <f>+H813</f>
        <v>0</v>
      </c>
      <c r="D821" s="216"/>
      <c r="E821" s="216"/>
      <c r="P821" s="203"/>
      <c r="Q821" s="166"/>
    </row>
    <row r="822" spans="2:17" x14ac:dyDescent="0.2">
      <c r="Q822" s="166"/>
    </row>
    <row r="823" spans="2:17" x14ac:dyDescent="0.2">
      <c r="Q823" s="166"/>
    </row>
    <row r="824" spans="2:17" ht="12.75" customHeight="1" x14ac:dyDescent="0.2">
      <c r="B824" s="321" t="s">
        <v>349</v>
      </c>
      <c r="C824" s="322"/>
      <c r="D824" s="322"/>
      <c r="E824" s="322"/>
      <c r="F824" s="323"/>
      <c r="G824" s="323"/>
      <c r="H824" s="323"/>
      <c r="I824" s="323"/>
      <c r="J824" s="323"/>
      <c r="K824" s="323"/>
      <c r="L824" s="323"/>
      <c r="M824" s="323"/>
      <c r="Q824" s="166"/>
    </row>
    <row r="825" spans="2:17" x14ac:dyDescent="0.2">
      <c r="Q825" s="166"/>
    </row>
    <row r="826" spans="2:17" x14ac:dyDescent="0.2">
      <c r="B826" s="273" t="s">
        <v>139</v>
      </c>
      <c r="F826" s="810">
        <v>2017</v>
      </c>
      <c r="Q826" s="166"/>
    </row>
    <row r="827" spans="2:17" x14ac:dyDescent="0.2">
      <c r="L827" s="206"/>
      <c r="Q827" s="166"/>
    </row>
    <row r="828" spans="2:17" ht="82.5" customHeight="1" x14ac:dyDescent="0.2">
      <c r="B828" s="1101" t="s">
        <v>140</v>
      </c>
      <c r="C828" s="1102"/>
      <c r="D828" s="1102"/>
      <c r="E828" s="1103"/>
      <c r="F828" s="274"/>
      <c r="G828" s="165" t="str">
        <f>"Nog af te bouwen regulatoir saldo einde "&amp;F826-1</f>
        <v>Nog af te bouwen regulatoir saldo einde 2016</v>
      </c>
      <c r="H828" s="165" t="str">
        <f>"Afbouw oudste openstaande regulatoir saldo vanaf boekjaar "&amp;F826-3&amp;" en vroeger, door aanwending van compensatie met regulatoir saldo ontstaan over boekjaar "&amp;F826-2</f>
        <v>Afbouw oudste openstaande regulatoir saldo vanaf boekjaar 2014 en vroeger, door aanwending van compensatie met regulatoir saldo ontstaan over boekjaar 2015</v>
      </c>
      <c r="I828" s="165" t="str">
        <f>"Nog af te bouwen regulatoir saldo na compensatie einde "&amp;F826-1</f>
        <v>Nog af te bouwen regulatoir saldo na compensatie einde 2016</v>
      </c>
      <c r="J828" s="165" t="str">
        <f>"Aanwending van 60% van het geaccumuleerd regulatoir saldo door te rekenen volgens de tariefmethodologie in het boekjaar "&amp;F826</f>
        <v>Aanwending van 60% van het geaccumuleerd regulatoir saldo door te rekenen volgens de tariefmethodologie in het boekjaar 2017</v>
      </c>
      <c r="K828" s="165" t="str">
        <f>"Nog af te bouwen regulatoir saldo einde "&amp;F826</f>
        <v>Nog af te bouwen regulatoir saldo einde 2017</v>
      </c>
      <c r="L828" s="206"/>
      <c r="Q828" s="166"/>
    </row>
    <row r="829" spans="2:17" x14ac:dyDescent="0.2">
      <c r="B829" s="1104">
        <v>2015</v>
      </c>
      <c r="C829" s="1105"/>
      <c r="D829" s="1105"/>
      <c r="E829" s="1106"/>
      <c r="F829" s="275"/>
      <c r="G829" s="176">
        <f>G253</f>
        <v>0</v>
      </c>
      <c r="H829" s="521">
        <v>0</v>
      </c>
      <c r="I829" s="176">
        <f>+G829+H829</f>
        <v>0</v>
      </c>
      <c r="J829" s="176">
        <f>-I829*0.6</f>
        <v>0</v>
      </c>
      <c r="K829" s="811">
        <f>+J829+G829</f>
        <v>0</v>
      </c>
      <c r="L829" s="206"/>
      <c r="Q829" s="166"/>
    </row>
    <row r="830" spans="2:17" x14ac:dyDescent="0.2">
      <c r="H830" s="214"/>
      <c r="L830" s="206"/>
      <c r="Q830" s="166"/>
    </row>
    <row r="831" spans="2:17" x14ac:dyDescent="0.2">
      <c r="B831" s="273" t="s">
        <v>139</v>
      </c>
      <c r="F831" s="810">
        <v>2018</v>
      </c>
      <c r="Q831" s="166"/>
    </row>
    <row r="832" spans="2:17" x14ac:dyDescent="0.2">
      <c r="Q832" s="166"/>
    </row>
    <row r="833" spans="2:17" ht="80.099999999999994" customHeight="1" x14ac:dyDescent="0.2">
      <c r="B833" s="1101" t="s">
        <v>140</v>
      </c>
      <c r="C833" s="1102"/>
      <c r="D833" s="1102"/>
      <c r="E833" s="1103"/>
      <c r="F833" s="274"/>
      <c r="G833" s="165" t="str">
        <f>"Nog af te bouwen regulatoir saldo einde "&amp;F831-1</f>
        <v>Nog af te bouwen regulatoir saldo einde 2017</v>
      </c>
      <c r="H833" s="165" t="str">
        <f>"Afbouw oudste openstaande regulatoir saldo vanaf boekjaar "&amp;F831-3&amp;" en vroeger, door aanwending van compensatie met regulatoir saldo ontstaan over boekjaar "&amp;F831-2</f>
        <v>Afbouw oudste openstaande regulatoir saldo vanaf boekjaar 2015 en vroeger, door aanwending van compensatie met regulatoir saldo ontstaan over boekjaar 2016</v>
      </c>
      <c r="I833" s="165" t="str">
        <f>"Nog af te bouwen regulatoir saldo na compensatie einde "&amp;F831-1</f>
        <v>Nog af te bouwen regulatoir saldo na compensatie einde 2017</v>
      </c>
      <c r="J833" s="165" t="str">
        <f>"60% van het geaccumuleerd regulatoir saldo door te rekenen volgens de tariefmethodologie in het boekjaar "&amp;F831</f>
        <v>60% van het geaccumuleerd regulatoir saldo door te rekenen volgens de tariefmethodologie in het boekjaar 2018</v>
      </c>
      <c r="K833" s="165" t="str">
        <f>"Aanwending van 60% van het geaccumuleerd regulatoir saldo door te rekenen volgens de tariefmethodologie in het boekjaar "&amp;F831</f>
        <v>Aanwending van 60% van het geaccumuleerd regulatoir saldo door te rekenen volgens de tariefmethodologie in het boekjaar 2018</v>
      </c>
      <c r="L833" s="165" t="str">
        <f>"Totale afbouw over "&amp;F831</f>
        <v>Totale afbouw over 2018</v>
      </c>
      <c r="M833" s="165" t="str">
        <f>"Nog af te bouwen regulatoir saldo einde "&amp;F831</f>
        <v>Nog af te bouwen regulatoir saldo einde 2018</v>
      </c>
      <c r="N833" s="206"/>
      <c r="Q833" s="166"/>
    </row>
    <row r="834" spans="2:17" x14ac:dyDescent="0.2">
      <c r="B834" s="1104">
        <v>2015</v>
      </c>
      <c r="C834" s="1105"/>
      <c r="D834" s="1105"/>
      <c r="E834" s="1106"/>
      <c r="F834" s="275"/>
      <c r="G834" s="176">
        <f>K829</f>
        <v>0</v>
      </c>
      <c r="H834" s="521">
        <f>IF(SIGN(G835*K829)&lt;0,IF(G834&lt;&gt;0,-SIGN(G834)*MIN(ABS(G835),ABS(G834)),0),0)</f>
        <v>0</v>
      </c>
      <c r="I834" s="176">
        <f>+G834+H834</f>
        <v>0</v>
      </c>
      <c r="J834" s="806"/>
      <c r="K834" s="521">
        <f>-MIN(ABS(I834),ABS(J836))*SIGN(I834)</f>
        <v>0</v>
      </c>
      <c r="L834" s="813">
        <f>+K834+H834</f>
        <v>0</v>
      </c>
      <c r="M834" s="176">
        <f>+I834+K834</f>
        <v>0</v>
      </c>
      <c r="N834" s="206"/>
      <c r="Q834" s="166"/>
    </row>
    <row r="835" spans="2:17" x14ac:dyDescent="0.2">
      <c r="B835" s="1104">
        <v>2016</v>
      </c>
      <c r="C835" s="1105"/>
      <c r="D835" s="1105"/>
      <c r="E835" s="1106"/>
      <c r="F835" s="275"/>
      <c r="G835" s="176">
        <f>+H254</f>
        <v>0</v>
      </c>
      <c r="H835" s="813">
        <f>IF(SIGN(G835*K829)&lt;0,-H834,0)</f>
        <v>0</v>
      </c>
      <c r="I835" s="176">
        <f>+G835+H835</f>
        <v>0</v>
      </c>
      <c r="J835" s="806"/>
      <c r="K835" s="521">
        <f>-MIN(ABS(I835),ABS(J836-K834))*SIGN(I835)</f>
        <v>0</v>
      </c>
      <c r="L835" s="813">
        <f>+K835+H835</f>
        <v>0</v>
      </c>
      <c r="M835" s="176">
        <f>+I835+K835</f>
        <v>0</v>
      </c>
      <c r="N835" s="206"/>
      <c r="Q835" s="166"/>
    </row>
    <row r="836" spans="2:17" s="273" customFormat="1" x14ac:dyDescent="0.2">
      <c r="G836" s="276">
        <f>SUM(G834:G835)</f>
        <v>0</v>
      </c>
      <c r="H836" s="168">
        <f>SUM(H834:H835)</f>
        <v>0</v>
      </c>
      <c r="I836" s="276">
        <f>SUM(I834:I835)</f>
        <v>0</v>
      </c>
      <c r="J836" s="276">
        <f>-I836*0.6</f>
        <v>0</v>
      </c>
      <c r="K836" s="168">
        <f>SUM(K834:K835)</f>
        <v>0</v>
      </c>
      <c r="L836" s="528"/>
      <c r="M836" s="276">
        <f>SUM(M834:M835)</f>
        <v>0</v>
      </c>
    </row>
    <row r="837" spans="2:17" x14ac:dyDescent="0.2">
      <c r="Q837" s="166"/>
    </row>
    <row r="838" spans="2:17" x14ac:dyDescent="0.2">
      <c r="B838" s="273" t="s">
        <v>139</v>
      </c>
      <c r="F838" s="810">
        <v>2019</v>
      </c>
      <c r="Q838" s="166"/>
    </row>
    <row r="839" spans="2:17" x14ac:dyDescent="0.2">
      <c r="Q839" s="166"/>
    </row>
    <row r="840" spans="2:17" ht="80.099999999999994" customHeight="1" x14ac:dyDescent="0.2">
      <c r="B840" s="1101" t="s">
        <v>140</v>
      </c>
      <c r="C840" s="1102"/>
      <c r="D840" s="1102"/>
      <c r="E840" s="1103"/>
      <c r="F840" s="274"/>
      <c r="G840" s="165" t="str">
        <f>"Nog af te bouwen regulatoir saldo einde "&amp;F838-1</f>
        <v>Nog af te bouwen regulatoir saldo einde 2018</v>
      </c>
      <c r="H840" s="165" t="str">
        <f>"Afbouw oudste openstaande regulatoir saldo vanaf boekjaar "&amp;F838-3&amp;" en vroeger, door aanwending van compensatie met regulatoir saldo ontstaan over boekjaar "&amp;F838-2</f>
        <v>Afbouw oudste openstaande regulatoir saldo vanaf boekjaar 2016 en vroeger, door aanwending van compensatie met regulatoir saldo ontstaan over boekjaar 2017</v>
      </c>
      <c r="I840" s="165" t="str">
        <f>"Nog af te bouwen regulatoir saldo na compensatie einde "&amp;F838-1</f>
        <v>Nog af te bouwen regulatoir saldo na compensatie einde 2018</v>
      </c>
      <c r="J840" s="165" t="str">
        <f>"60% van het geaccumuleerd regulatoir saldo door te rekenen volgens de tariefmethodologie in het boekjaar "&amp;F838</f>
        <v>60% van het geaccumuleerd regulatoir saldo door te rekenen volgens de tariefmethodologie in het boekjaar 2019</v>
      </c>
      <c r="K840" s="165" t="str">
        <f>"Aanwending van het 60% van het geaccumuleerd regulatoir saldo door te rekenen volgens de tariefmethodologie in het boekjaar "&amp;F838</f>
        <v>Aanwending van het 60% van het geaccumuleerd regulatoir saldo door te rekenen volgens de tariefmethodologie in het boekjaar 2019</v>
      </c>
      <c r="L840" s="165" t="str">
        <f>"Totale afbouw over "&amp;F838</f>
        <v>Totale afbouw over 2019</v>
      </c>
      <c r="M840" s="165" t="str">
        <f>"Nog af te bouwen regulatoir saldo einde "&amp;F838</f>
        <v>Nog af te bouwen regulatoir saldo einde 2019</v>
      </c>
      <c r="N840" s="206"/>
      <c r="Q840" s="166"/>
    </row>
    <row r="841" spans="2:17" x14ac:dyDescent="0.2">
      <c r="B841" s="1104">
        <v>2015</v>
      </c>
      <c r="C841" s="1105"/>
      <c r="D841" s="1105"/>
      <c r="E841" s="1106"/>
      <c r="F841" s="275"/>
      <c r="G841" s="176">
        <f>+M834</f>
        <v>0</v>
      </c>
      <c r="H841" s="813">
        <f>IF(SIGN(G843*M836)&lt;0,IF(G841&lt;&gt;0,-SIGN(G841)*MIN(ABS(G843),ABS(G841)),0),0)</f>
        <v>0</v>
      </c>
      <c r="I841" s="176">
        <f>+G841+H841</f>
        <v>0</v>
      </c>
      <c r="J841" s="806"/>
      <c r="K841" s="521">
        <f>-MIN(ABS(I841),ABS(J844))*SIGN(I841)</f>
        <v>0</v>
      </c>
      <c r="L841" s="813">
        <f>+K841+H841</f>
        <v>0</v>
      </c>
      <c r="M841" s="176">
        <f>+I841+K841</f>
        <v>0</v>
      </c>
      <c r="N841" s="206"/>
      <c r="Q841" s="166"/>
    </row>
    <row r="842" spans="2:17" x14ac:dyDescent="0.2">
      <c r="B842" s="1104">
        <v>2016</v>
      </c>
      <c r="C842" s="1105"/>
      <c r="D842" s="1105">
        <v>2016</v>
      </c>
      <c r="E842" s="1106"/>
      <c r="F842" s="275"/>
      <c r="G842" s="176">
        <f>+M835</f>
        <v>0</v>
      </c>
      <c r="H842" s="813">
        <f>IF(SIGN(G843*M836)&lt;0,IF(G842&lt;&gt;0,-SIGN(G842)*MIN(ABS(G843-H841),ABS(G842)),0),0)</f>
        <v>0</v>
      </c>
      <c r="I842" s="176">
        <f>+G842+H842</f>
        <v>0</v>
      </c>
      <c r="J842" s="806"/>
      <c r="K842" s="521">
        <f>-MIN(ABS(I842),ABS(J844-K841))*SIGN(I842)</f>
        <v>0</v>
      </c>
      <c r="L842" s="813">
        <f>+K842+H842</f>
        <v>0</v>
      </c>
      <c r="M842" s="176">
        <f>+I842+K842</f>
        <v>0</v>
      </c>
      <c r="N842" s="206"/>
      <c r="Q842" s="166"/>
    </row>
    <row r="843" spans="2:17" x14ac:dyDescent="0.2">
      <c r="B843" s="1104">
        <v>2017</v>
      </c>
      <c r="C843" s="1105"/>
      <c r="D843" s="1105"/>
      <c r="E843" s="1106"/>
      <c r="F843" s="275"/>
      <c r="G843" s="176">
        <f>+I255</f>
        <v>0</v>
      </c>
      <c r="H843" s="813">
        <f>IF(SIGN(G843*M836)&lt;0,-SUM(H841:H842),0)</f>
        <v>0</v>
      </c>
      <c r="I843" s="176">
        <f>+G843+H843</f>
        <v>0</v>
      </c>
      <c r="J843" s="806"/>
      <c r="K843" s="521">
        <f>-MIN(ABS(I843),ABS(J844-K841-K842))*SIGN(I843)</f>
        <v>0</v>
      </c>
      <c r="L843" s="813">
        <f>+K843+H843</f>
        <v>0</v>
      </c>
      <c r="M843" s="176">
        <f>+I843+K843</f>
        <v>0</v>
      </c>
      <c r="N843" s="206"/>
      <c r="Q843" s="166"/>
    </row>
    <row r="844" spans="2:17" s="273" customFormat="1" x14ac:dyDescent="0.2">
      <c r="G844" s="276">
        <f>SUM(G841:G843)</f>
        <v>0</v>
      </c>
      <c r="H844" s="168">
        <f>SUM(H841:H843)</f>
        <v>0</v>
      </c>
      <c r="I844" s="276">
        <f>SUM(I841:I843)</f>
        <v>0</v>
      </c>
      <c r="J844" s="276">
        <f>-I844*0.6</f>
        <v>0</v>
      </c>
      <c r="K844" s="168">
        <f>SUM(K841:K843)</f>
        <v>0</v>
      </c>
      <c r="L844" s="528"/>
      <c r="M844" s="276">
        <f>SUM(M841:M843)</f>
        <v>0</v>
      </c>
    </row>
    <row r="845" spans="2:17" x14ac:dyDescent="0.2">
      <c r="H845" s="214"/>
      <c r="Q845" s="166"/>
    </row>
    <row r="846" spans="2:17" x14ac:dyDescent="0.2">
      <c r="B846" s="273" t="s">
        <v>139</v>
      </c>
      <c r="F846" s="810">
        <v>2020</v>
      </c>
      <c r="Q846" s="166"/>
    </row>
    <row r="847" spans="2:17" x14ac:dyDescent="0.2">
      <c r="Q847" s="166"/>
    </row>
    <row r="848" spans="2:17" ht="80.099999999999994" customHeight="1" x14ac:dyDescent="0.2">
      <c r="B848" s="1101" t="s">
        <v>140</v>
      </c>
      <c r="C848" s="1102"/>
      <c r="D848" s="1102"/>
      <c r="E848" s="1103"/>
      <c r="F848" s="274"/>
      <c r="G848" s="165" t="str">
        <f>"Nog af te bouwen regulatoir saldo einde "&amp;F846-1</f>
        <v>Nog af te bouwen regulatoir saldo einde 2019</v>
      </c>
      <c r="H848" s="165" t="str">
        <f>"Afbouw oudste openstaande regulatoir saldo vanaf boekjaar "&amp;F846-3&amp;" en vroeger, door aanwending van compensatie met regulatoir saldo ontstaan over boekjaar "&amp;F846-2</f>
        <v>Afbouw oudste openstaande regulatoir saldo vanaf boekjaar 2017 en vroeger, door aanwending van compensatie met regulatoir saldo ontstaan over boekjaar 2018</v>
      </c>
      <c r="I848" s="165" t="str">
        <f>"Nog af te bouwen regulatoir saldo na compensatie einde "&amp;F846-1</f>
        <v>Nog af te bouwen regulatoir saldo na compensatie einde 2019</v>
      </c>
      <c r="J848" s="165" t="str">
        <f>"60% van het geaccumuleerd regulatoir saldo door te rekenen volgens de tariefmethodologie in het boekjaar "&amp;F846</f>
        <v>60% van het geaccumuleerd regulatoir saldo door te rekenen volgens de tariefmethodologie in het boekjaar 2020</v>
      </c>
      <c r="K848" s="165" t="str">
        <f>"Aanwending van het 60% van het geaccumuleerd regulatoir saldo door te rekenen volgens de tariefmethodologie in het boekjaar "&amp;F846</f>
        <v>Aanwending van het 60% van het geaccumuleerd regulatoir saldo door te rekenen volgens de tariefmethodologie in het boekjaar 2020</v>
      </c>
      <c r="L848" s="165" t="str">
        <f>"Totale afbouw over "&amp;F846</f>
        <v>Totale afbouw over 2020</v>
      </c>
      <c r="M848" s="165" t="str">
        <f>"Nog af te bouwen regulatoir saldo einde "&amp;F846</f>
        <v>Nog af te bouwen regulatoir saldo einde 2020</v>
      </c>
      <c r="N848" s="206"/>
      <c r="Q848" s="166"/>
    </row>
    <row r="849" spans="2:17" x14ac:dyDescent="0.2">
      <c r="B849" s="1104">
        <v>2015</v>
      </c>
      <c r="C849" s="1105"/>
      <c r="D849" s="1105"/>
      <c r="E849" s="1106"/>
      <c r="F849" s="275"/>
      <c r="G849" s="176">
        <f>+M841</f>
        <v>0</v>
      </c>
      <c r="H849" s="813">
        <f>IF(SIGN(G852*M844)&lt;0,IF(G849&lt;&gt;0,-SIGN(G849)*MIN(ABS(G852),ABS(G849)),0),0)</f>
        <v>0</v>
      </c>
      <c r="I849" s="176">
        <f>+G849+H849</f>
        <v>0</v>
      </c>
      <c r="J849" s="806"/>
      <c r="K849" s="521">
        <f>-MIN(ABS(I849),ABS(J853))*SIGN(I849)</f>
        <v>0</v>
      </c>
      <c r="L849" s="813">
        <f>+K849+H849</f>
        <v>0</v>
      </c>
      <c r="M849" s="176">
        <f>+I849+K849</f>
        <v>0</v>
      </c>
      <c r="N849" s="206"/>
      <c r="Q849" s="166"/>
    </row>
    <row r="850" spans="2:17" x14ac:dyDescent="0.2">
      <c r="B850" s="1104">
        <v>2016</v>
      </c>
      <c r="C850" s="1105"/>
      <c r="D850" s="1105"/>
      <c r="E850" s="1106"/>
      <c r="F850" s="275"/>
      <c r="G850" s="176">
        <f>+M842</f>
        <v>0</v>
      </c>
      <c r="H850" s="813">
        <f>IF(SIGN(G852*M844)&lt;0,IF(G850&lt;&gt;0,-SIGN(G850)*MIN(ABS(G852-H849),ABS(G850)),0),0)</f>
        <v>0</v>
      </c>
      <c r="I850" s="176">
        <f>+G850+H850</f>
        <v>0</v>
      </c>
      <c r="J850" s="806"/>
      <c r="K850" s="521">
        <f>-MIN(ABS(I850),ABS(J853-K849))*SIGN(I850)</f>
        <v>0</v>
      </c>
      <c r="L850" s="813">
        <f>+K850+H850</f>
        <v>0</v>
      </c>
      <c r="M850" s="176">
        <f>+I850+K850</f>
        <v>0</v>
      </c>
      <c r="N850" s="206"/>
      <c r="Q850" s="166"/>
    </row>
    <row r="851" spans="2:17" x14ac:dyDescent="0.2">
      <c r="B851" s="1104">
        <v>2017</v>
      </c>
      <c r="C851" s="1105"/>
      <c r="D851" s="1105">
        <v>2016</v>
      </c>
      <c r="E851" s="1106"/>
      <c r="F851" s="275"/>
      <c r="G851" s="176">
        <f>+M843</f>
        <v>0</v>
      </c>
      <c r="H851" s="813">
        <f>IF(SIGN(G852*M844)&lt;0,IF(G851&lt;&gt;0,-SIGN(G851)*MIN(ABS(G852-H849-H850),ABS(G851)),0),0)</f>
        <v>0</v>
      </c>
      <c r="I851" s="176">
        <f>+G851+H851</f>
        <v>0</v>
      </c>
      <c r="J851" s="806"/>
      <c r="K851" s="521">
        <f>-MIN(ABS(I851),ABS(J853-K849-K850))*SIGN(I851)</f>
        <v>0</v>
      </c>
      <c r="L851" s="813">
        <f>+K851+H851</f>
        <v>0</v>
      </c>
      <c r="M851" s="176">
        <f>+I851+K851</f>
        <v>0</v>
      </c>
      <c r="N851" s="206"/>
      <c r="Q851" s="166"/>
    </row>
    <row r="852" spans="2:17" x14ac:dyDescent="0.2">
      <c r="B852" s="1104">
        <v>2018</v>
      </c>
      <c r="C852" s="1105"/>
      <c r="D852" s="1105"/>
      <c r="E852" s="1106"/>
      <c r="F852" s="275"/>
      <c r="G852" s="176">
        <f>+J256</f>
        <v>0</v>
      </c>
      <c r="H852" s="813">
        <f>IF(SIGN(G852*M844)&lt;0,-SUM(H849:H851),0)</f>
        <v>0</v>
      </c>
      <c r="I852" s="176">
        <f>+G852+H852</f>
        <v>0</v>
      </c>
      <c r="J852" s="806"/>
      <c r="K852" s="521">
        <f>-MIN(ABS(I852),ABS(J853-K849-K850-K851))*SIGN(I852)</f>
        <v>0</v>
      </c>
      <c r="L852" s="813">
        <f>+K852+H852</f>
        <v>0</v>
      </c>
      <c r="M852" s="176">
        <f>+I852+K852</f>
        <v>0</v>
      </c>
      <c r="N852" s="206"/>
      <c r="Q852" s="166"/>
    </row>
    <row r="853" spans="2:17" s="273" customFormat="1" x14ac:dyDescent="0.2">
      <c r="G853" s="276">
        <f>SUM(G849:G852)</f>
        <v>0</v>
      </c>
      <c r="H853" s="168">
        <f>SUM(H849:H852)</f>
        <v>0</v>
      </c>
      <c r="I853" s="276">
        <f>SUM(I849:I852)</f>
        <v>0</v>
      </c>
      <c r="J853" s="276">
        <f>-I853*0.6</f>
        <v>0</v>
      </c>
      <c r="K853" s="168">
        <f>SUM(K849:K852)</f>
        <v>0</v>
      </c>
      <c r="L853" s="168"/>
      <c r="M853" s="276">
        <f>SUM(M849:M852)</f>
        <v>0</v>
      </c>
    </row>
    <row r="854" spans="2:17" x14ac:dyDescent="0.2">
      <c r="Q854" s="166"/>
    </row>
    <row r="855" spans="2:17" x14ac:dyDescent="0.2">
      <c r="B855" s="273" t="s">
        <v>139</v>
      </c>
      <c r="F855" s="810">
        <v>2021</v>
      </c>
      <c r="Q855" s="166"/>
    </row>
    <row r="856" spans="2:17" x14ac:dyDescent="0.2">
      <c r="Q856" s="166"/>
    </row>
    <row r="857" spans="2:17" ht="78" customHeight="1" x14ac:dyDescent="0.2">
      <c r="B857" s="1101" t="s">
        <v>140</v>
      </c>
      <c r="C857" s="1102"/>
      <c r="D857" s="1102"/>
      <c r="E857" s="1103"/>
      <c r="F857" s="274"/>
      <c r="G857" s="165" t="str">
        <f>"Nog af te bouwen regulatoir saldo einde "&amp;F855-1</f>
        <v>Nog af te bouwen regulatoir saldo einde 2020</v>
      </c>
      <c r="H857" s="165" t="str">
        <f>"50% van het oorspronkelijk regulatoir saldo door te rekenen volgens de tariefmethodologie in het boekjaar "&amp;F855</f>
        <v>50% van het oorspronkelijk regulatoir saldo door te rekenen volgens de tariefmethodologie in het boekjaar 2021</v>
      </c>
      <c r="I857" s="165" t="str">
        <f>"Nog af te bouwen regulatoir saldo einde "&amp;F855</f>
        <v>Nog af te bouwen regulatoir saldo einde 2021</v>
      </c>
      <c r="J857" s="206"/>
      <c r="Q857" s="166"/>
    </row>
    <row r="858" spans="2:17" x14ac:dyDescent="0.2">
      <c r="B858" s="1104">
        <v>2015</v>
      </c>
      <c r="C858" s="1105"/>
      <c r="D858" s="1105"/>
      <c r="E858" s="1106"/>
      <c r="F858" s="275"/>
      <c r="G858" s="176">
        <f>M849</f>
        <v>0</v>
      </c>
      <c r="H858" s="176">
        <f>-G858*0.5</f>
        <v>0</v>
      </c>
      <c r="I858" s="176">
        <f>+G858+H858</f>
        <v>0</v>
      </c>
      <c r="J858" s="206"/>
      <c r="Q858" s="166"/>
    </row>
    <row r="859" spans="2:17" x14ac:dyDescent="0.2">
      <c r="B859" s="1104">
        <v>2016</v>
      </c>
      <c r="C859" s="1105"/>
      <c r="D859" s="1105"/>
      <c r="E859" s="1106"/>
      <c r="F859" s="275"/>
      <c r="G859" s="176">
        <f t="shared" ref="G859:G861" si="139">M850</f>
        <v>0</v>
      </c>
      <c r="H859" s="176">
        <f t="shared" ref="H859:H862" si="140">-G859*0.5</f>
        <v>0</v>
      </c>
      <c r="I859" s="176">
        <f t="shared" ref="I859:I862" si="141">+G859+H859</f>
        <v>0</v>
      </c>
      <c r="J859" s="206"/>
      <c r="Q859" s="166"/>
    </row>
    <row r="860" spans="2:17" x14ac:dyDescent="0.2">
      <c r="B860" s="1104">
        <v>2017</v>
      </c>
      <c r="C860" s="1105"/>
      <c r="D860" s="1105">
        <v>2016</v>
      </c>
      <c r="E860" s="1106"/>
      <c r="F860" s="275"/>
      <c r="G860" s="176">
        <f t="shared" si="139"/>
        <v>0</v>
      </c>
      <c r="H860" s="176">
        <f t="shared" si="140"/>
        <v>0</v>
      </c>
      <c r="I860" s="176">
        <f t="shared" si="141"/>
        <v>0</v>
      </c>
      <c r="J860" s="206"/>
      <c r="Q860" s="166"/>
    </row>
    <row r="861" spans="2:17" x14ac:dyDescent="0.2">
      <c r="B861" s="1104">
        <v>2018</v>
      </c>
      <c r="C861" s="1105"/>
      <c r="D861" s="1105"/>
      <c r="E861" s="1106"/>
      <c r="F861" s="275"/>
      <c r="G861" s="176">
        <f t="shared" si="139"/>
        <v>0</v>
      </c>
      <c r="H861" s="176">
        <f t="shared" si="140"/>
        <v>0</v>
      </c>
      <c r="I861" s="176">
        <f t="shared" si="141"/>
        <v>0</v>
      </c>
      <c r="J861" s="206"/>
      <c r="Q861" s="166"/>
    </row>
    <row r="862" spans="2:17" x14ac:dyDescent="0.2">
      <c r="B862" s="1104">
        <v>2019</v>
      </c>
      <c r="C862" s="1105"/>
      <c r="D862" s="1105"/>
      <c r="E862" s="1106"/>
      <c r="F862" s="275"/>
      <c r="G862" s="176">
        <f>+K257</f>
        <v>0</v>
      </c>
      <c r="H862" s="176">
        <f t="shared" si="140"/>
        <v>0</v>
      </c>
      <c r="I862" s="176">
        <f t="shared" si="141"/>
        <v>0</v>
      </c>
      <c r="J862" s="206"/>
      <c r="Q862" s="166"/>
    </row>
    <row r="863" spans="2:17" s="273" customFormat="1" x14ac:dyDescent="0.2">
      <c r="G863" s="276">
        <f>SUM(G858:G862)</f>
        <v>0</v>
      </c>
      <c r="H863" s="276">
        <f>SUM(H858:H862)</f>
        <v>0</v>
      </c>
      <c r="I863" s="276">
        <f>SUM(I858:I862)</f>
        <v>0</v>
      </c>
    </row>
    <row r="864" spans="2:17" x14ac:dyDescent="0.2">
      <c r="Q864" s="166"/>
    </row>
    <row r="865" spans="2:17" x14ac:dyDescent="0.2">
      <c r="B865" s="273" t="s">
        <v>139</v>
      </c>
      <c r="F865" s="810">
        <v>2022</v>
      </c>
      <c r="Q865" s="166"/>
    </row>
    <row r="866" spans="2:17" x14ac:dyDescent="0.2">
      <c r="Q866" s="166"/>
    </row>
    <row r="867" spans="2:17" ht="78" customHeight="1" x14ac:dyDescent="0.2">
      <c r="B867" s="1101" t="s">
        <v>140</v>
      </c>
      <c r="C867" s="1102"/>
      <c r="D867" s="1102"/>
      <c r="E867" s="1103"/>
      <c r="F867" s="274"/>
      <c r="G867" s="165" t="str">
        <f>"Nog af te bouwen regulatoir saldo einde "&amp;F865-1</f>
        <v>Nog af te bouwen regulatoir saldo einde 2021</v>
      </c>
      <c r="H867" s="165" t="str">
        <f>"50% van het oorspronkelijk regulatoir saldo door te rekenen volgens de tariefmethodologie in het boekjaar "&amp;F865</f>
        <v>50% van het oorspronkelijk regulatoir saldo door te rekenen volgens de tariefmethodologie in het boekjaar 2022</v>
      </c>
      <c r="I867" s="165" t="str">
        <f>"Nog af te bouwen regulatoir saldo einde "&amp;F865</f>
        <v>Nog af te bouwen regulatoir saldo einde 2022</v>
      </c>
      <c r="J867" s="206"/>
      <c r="Q867" s="166"/>
    </row>
    <row r="868" spans="2:17" x14ac:dyDescent="0.2">
      <c r="B868" s="1104">
        <v>2015</v>
      </c>
      <c r="C868" s="1105"/>
      <c r="D868" s="1105"/>
      <c r="E868" s="1106"/>
      <c r="F868" s="275"/>
      <c r="G868" s="176">
        <f>+I858</f>
        <v>0</v>
      </c>
      <c r="H868" s="176">
        <f>-G858*0.5</f>
        <v>0</v>
      </c>
      <c r="I868" s="176">
        <f>+G868+H868</f>
        <v>0</v>
      </c>
      <c r="J868" s="206"/>
      <c r="Q868" s="166"/>
    </row>
    <row r="869" spans="2:17" x14ac:dyDescent="0.2">
      <c r="B869" s="1104">
        <v>2016</v>
      </c>
      <c r="C869" s="1105"/>
      <c r="D869" s="1105"/>
      <c r="E869" s="1106"/>
      <c r="F869" s="275"/>
      <c r="G869" s="176">
        <f t="shared" ref="G869:G872" si="142">+I859</f>
        <v>0</v>
      </c>
      <c r="H869" s="176">
        <f t="shared" ref="H869:H872" si="143">-G859*0.5</f>
        <v>0</v>
      </c>
      <c r="I869" s="176">
        <f t="shared" ref="I869:I873" si="144">+G869+H869</f>
        <v>0</v>
      </c>
      <c r="J869" s="206"/>
      <c r="Q869" s="166"/>
    </row>
    <row r="870" spans="2:17" x14ac:dyDescent="0.2">
      <c r="B870" s="1104">
        <v>2017</v>
      </c>
      <c r="C870" s="1105"/>
      <c r="D870" s="1105">
        <v>2016</v>
      </c>
      <c r="E870" s="1106"/>
      <c r="F870" s="275"/>
      <c r="G870" s="176">
        <f t="shared" si="142"/>
        <v>0</v>
      </c>
      <c r="H870" s="176">
        <f t="shared" si="143"/>
        <v>0</v>
      </c>
      <c r="I870" s="176">
        <f t="shared" si="144"/>
        <v>0</v>
      </c>
      <c r="J870" s="206"/>
      <c r="Q870" s="166"/>
    </row>
    <row r="871" spans="2:17" x14ac:dyDescent="0.2">
      <c r="B871" s="1104">
        <v>2018</v>
      </c>
      <c r="C871" s="1105"/>
      <c r="D871" s="1105"/>
      <c r="E871" s="1106"/>
      <c r="F871" s="275"/>
      <c r="G871" s="176">
        <f t="shared" si="142"/>
        <v>0</v>
      </c>
      <c r="H871" s="176">
        <f t="shared" si="143"/>
        <v>0</v>
      </c>
      <c r="I871" s="176">
        <f t="shared" si="144"/>
        <v>0</v>
      </c>
      <c r="J871" s="206"/>
      <c r="Q871" s="166"/>
    </row>
    <row r="872" spans="2:17" x14ac:dyDescent="0.2">
      <c r="B872" s="1104">
        <v>2019</v>
      </c>
      <c r="C872" s="1105"/>
      <c r="D872" s="1105"/>
      <c r="E872" s="1106"/>
      <c r="F872" s="275"/>
      <c r="G872" s="176">
        <f t="shared" si="142"/>
        <v>0</v>
      </c>
      <c r="H872" s="176">
        <f t="shared" si="143"/>
        <v>0</v>
      </c>
      <c r="I872" s="176">
        <f t="shared" si="144"/>
        <v>0</v>
      </c>
      <c r="J872" s="206"/>
      <c r="Q872" s="166"/>
    </row>
    <row r="873" spans="2:17" x14ac:dyDescent="0.2">
      <c r="B873" s="1104">
        <v>2020</v>
      </c>
      <c r="C873" s="1105"/>
      <c r="D873" s="1105"/>
      <c r="E873" s="1106"/>
      <c r="F873" s="275"/>
      <c r="G873" s="176">
        <f>L258</f>
        <v>0</v>
      </c>
      <c r="H873" s="176">
        <f t="shared" ref="H873" si="145">-G873*0.5</f>
        <v>0</v>
      </c>
      <c r="I873" s="176">
        <f t="shared" si="144"/>
        <v>0</v>
      </c>
      <c r="J873" s="206"/>
      <c r="Q873" s="166"/>
    </row>
    <row r="874" spans="2:17" s="273" customFormat="1" x14ac:dyDescent="0.2">
      <c r="G874" s="276">
        <f>SUM(G868:G873)</f>
        <v>0</v>
      </c>
      <c r="H874" s="276">
        <f t="shared" ref="H874:I874" si="146">SUM(H868:H873)</f>
        <v>0</v>
      </c>
      <c r="I874" s="276">
        <f t="shared" si="146"/>
        <v>0</v>
      </c>
    </row>
    <row r="875" spans="2:17" x14ac:dyDescent="0.2">
      <c r="Q875" s="166"/>
    </row>
    <row r="876" spans="2:17" x14ac:dyDescent="0.2">
      <c r="B876" s="273" t="s">
        <v>139</v>
      </c>
      <c r="F876" s="810">
        <v>2023</v>
      </c>
      <c r="Q876" s="166"/>
    </row>
    <row r="877" spans="2:17" x14ac:dyDescent="0.2">
      <c r="Q877" s="166"/>
    </row>
    <row r="878" spans="2:17" ht="78" customHeight="1" x14ac:dyDescent="0.2">
      <c r="B878" s="1101" t="s">
        <v>140</v>
      </c>
      <c r="C878" s="1102"/>
      <c r="D878" s="1102"/>
      <c r="E878" s="1103"/>
      <c r="F878" s="274"/>
      <c r="G878" s="165" t="str">
        <f>"Nog af te bouwen regulatoir saldo einde "&amp;F876-1</f>
        <v>Nog af te bouwen regulatoir saldo einde 2022</v>
      </c>
      <c r="H878" s="165" t="str">
        <f>"50% van het oorspronkelijk regulatoir saldo door te rekenen volgens de tariefmethodologie in het boekjaar "&amp;F876</f>
        <v>50% van het oorspronkelijk regulatoir saldo door te rekenen volgens de tariefmethodologie in het boekjaar 2023</v>
      </c>
      <c r="I878" s="165" t="str">
        <f>"Nog af te bouwen regulatoir saldo einde "&amp;F876</f>
        <v>Nog af te bouwen regulatoir saldo einde 2023</v>
      </c>
      <c r="J878" s="206"/>
      <c r="Q878" s="166"/>
    </row>
    <row r="879" spans="2:17" x14ac:dyDescent="0.2">
      <c r="B879" s="1104">
        <v>2020</v>
      </c>
      <c r="C879" s="1105"/>
      <c r="D879" s="1105"/>
      <c r="E879" s="1106"/>
      <c r="F879" s="275"/>
      <c r="G879" s="176">
        <f>+I873</f>
        <v>0</v>
      </c>
      <c r="H879" s="176">
        <f>-G873*0.5</f>
        <v>0</v>
      </c>
      <c r="I879" s="176">
        <f t="shared" ref="I879:I880" si="147">+G879+H879</f>
        <v>0</v>
      </c>
      <c r="J879" s="206"/>
      <c r="Q879" s="166"/>
    </row>
    <row r="880" spans="2:17" x14ac:dyDescent="0.2">
      <c r="B880" s="1104">
        <v>2021</v>
      </c>
      <c r="C880" s="1105"/>
      <c r="D880" s="1105"/>
      <c r="E880" s="1106"/>
      <c r="F880" s="275"/>
      <c r="G880" s="176">
        <f>M259</f>
        <v>0</v>
      </c>
      <c r="H880" s="176">
        <f t="shared" ref="H880" si="148">-G880*0.5</f>
        <v>0</v>
      </c>
      <c r="I880" s="176">
        <f t="shared" si="147"/>
        <v>0</v>
      </c>
      <c r="J880" s="206"/>
      <c r="Q880" s="166"/>
    </row>
    <row r="881" spans="2:17" s="273" customFormat="1" x14ac:dyDescent="0.2">
      <c r="G881" s="276">
        <f>SUM(G879:G880)</f>
        <v>0</v>
      </c>
      <c r="H881" s="276">
        <f>SUM(H879:H880)</f>
        <v>0</v>
      </c>
      <c r="I881" s="276">
        <f>SUM(I879:I880)</f>
        <v>0</v>
      </c>
    </row>
    <row r="882" spans="2:17" x14ac:dyDescent="0.2">
      <c r="Q882" s="166"/>
    </row>
    <row r="883" spans="2:17" x14ac:dyDescent="0.2">
      <c r="B883" s="273" t="s">
        <v>139</v>
      </c>
      <c r="F883" s="810">
        <v>2024</v>
      </c>
      <c r="Q883" s="166"/>
    </row>
    <row r="884" spans="2:17" x14ac:dyDescent="0.2">
      <c r="Q884" s="166"/>
    </row>
    <row r="885" spans="2:17" ht="78" customHeight="1" x14ac:dyDescent="0.2">
      <c r="B885" s="1101" t="s">
        <v>140</v>
      </c>
      <c r="C885" s="1102"/>
      <c r="D885" s="1102"/>
      <c r="E885" s="1103"/>
      <c r="F885" s="274"/>
      <c r="G885" s="165" t="str">
        <f>"Nog af te bouwen regulatoir saldo einde "&amp;F883-1</f>
        <v>Nog af te bouwen regulatoir saldo einde 2023</v>
      </c>
      <c r="H885" s="165" t="str">
        <f>"50% van het oorspronkelijk regulatoir saldo door te rekenen volgens de tariefmethodologie in het boekjaar "&amp;F883</f>
        <v>50% van het oorspronkelijk regulatoir saldo door te rekenen volgens de tariefmethodologie in het boekjaar 2024</v>
      </c>
      <c r="I885" s="165" t="str">
        <f>"Nog af te bouwen regulatoir saldo einde "&amp;F883</f>
        <v>Nog af te bouwen regulatoir saldo einde 2024</v>
      </c>
      <c r="J885" s="206"/>
      <c r="Q885" s="166"/>
    </row>
    <row r="886" spans="2:17" x14ac:dyDescent="0.2">
      <c r="B886" s="1104">
        <v>2021</v>
      </c>
      <c r="C886" s="1105"/>
      <c r="D886" s="1105"/>
      <c r="E886" s="1106"/>
      <c r="F886" s="275"/>
      <c r="G886" s="176">
        <f>+I880</f>
        <v>0</v>
      </c>
      <c r="H886" s="176">
        <f>-G880*0.5</f>
        <v>0</v>
      </c>
      <c r="I886" s="176">
        <f t="shared" ref="I886" si="149">+G886+H886</f>
        <v>0</v>
      </c>
      <c r="J886" s="206"/>
      <c r="Q886" s="166"/>
    </row>
    <row r="887" spans="2:17" s="273" customFormat="1" x14ac:dyDescent="0.2">
      <c r="G887" s="276">
        <f>SUM(G886:G886)</f>
        <v>0</v>
      </c>
      <c r="H887" s="276">
        <f>SUM(H886:H886)</f>
        <v>0</v>
      </c>
      <c r="I887" s="276">
        <f>SUM(I886:I886)</f>
        <v>0</v>
      </c>
    </row>
    <row r="888" spans="2:17" x14ac:dyDescent="0.2">
      <c r="Q888" s="166"/>
    </row>
    <row r="889" spans="2:17" x14ac:dyDescent="0.2">
      <c r="B889" s="273" t="s">
        <v>349</v>
      </c>
      <c r="C889" s="216"/>
      <c r="D889" s="216"/>
      <c r="E889" s="216"/>
      <c r="Q889" s="166"/>
    </row>
    <row r="890" spans="2:17" x14ac:dyDescent="0.2">
      <c r="B890" s="273" t="s">
        <v>141</v>
      </c>
      <c r="C890" s="216"/>
      <c r="D890" s="216"/>
      <c r="E890" s="216"/>
      <c r="Q890" s="166"/>
    </row>
    <row r="891" spans="2:17" x14ac:dyDescent="0.2">
      <c r="B891" s="273"/>
      <c r="C891" s="216"/>
      <c r="D891" s="216"/>
      <c r="E891" s="216"/>
      <c r="Q891" s="166"/>
    </row>
    <row r="892" spans="2:17" x14ac:dyDescent="0.2">
      <c r="B892" s="275">
        <v>2021</v>
      </c>
      <c r="C892" s="279">
        <f>+H863</f>
        <v>0</v>
      </c>
      <c r="D892" s="216"/>
      <c r="E892" s="216"/>
      <c r="Q892" s="166"/>
    </row>
    <row r="893" spans="2:17" x14ac:dyDescent="0.2">
      <c r="B893" s="275">
        <v>2022</v>
      </c>
      <c r="C893" s="279">
        <f>+H874</f>
        <v>0</v>
      </c>
      <c r="D893" s="216"/>
      <c r="E893" s="216"/>
      <c r="Q893" s="166"/>
    </row>
    <row r="894" spans="2:17" x14ac:dyDescent="0.2">
      <c r="B894" s="275">
        <v>2023</v>
      </c>
      <c r="C894" s="279">
        <f>+H881</f>
        <v>0</v>
      </c>
      <c r="D894" s="216"/>
      <c r="E894" s="216"/>
      <c r="Q894" s="166"/>
    </row>
    <row r="895" spans="2:17" x14ac:dyDescent="0.2">
      <c r="B895" s="275">
        <v>2024</v>
      </c>
      <c r="C895" s="279">
        <f>+H887</f>
        <v>0</v>
      </c>
      <c r="D895" s="216"/>
      <c r="E895" s="216"/>
      <c r="P895" s="203"/>
      <c r="Q895" s="166"/>
    </row>
    <row r="896" spans="2:17" x14ac:dyDescent="0.2">
      <c r="Q896" s="206"/>
    </row>
    <row r="897" spans="2:18" x14ac:dyDescent="0.2">
      <c r="Q897" s="206"/>
    </row>
    <row r="898" spans="2:18" x14ac:dyDescent="0.2">
      <c r="B898" s="321" t="s">
        <v>355</v>
      </c>
      <c r="C898" s="322"/>
      <c r="D898" s="322"/>
      <c r="E898" s="322"/>
      <c r="F898" s="323"/>
      <c r="G898" s="323"/>
      <c r="H898" s="323"/>
      <c r="I898" s="323"/>
      <c r="J898" s="323"/>
      <c r="K898" s="323"/>
      <c r="L898" s="323"/>
      <c r="M898" s="323"/>
      <c r="N898" s="323"/>
      <c r="O898" s="323"/>
      <c r="P898" s="323"/>
      <c r="Q898" s="324"/>
      <c r="R898" s="323"/>
    </row>
    <row r="899" spans="2:18" x14ac:dyDescent="0.2">
      <c r="Q899" s="206"/>
    </row>
    <row r="900" spans="2:18" x14ac:dyDescent="0.2">
      <c r="B900" s="273" t="s">
        <v>139</v>
      </c>
      <c r="F900" s="810">
        <v>2024</v>
      </c>
      <c r="Q900" s="166"/>
    </row>
    <row r="901" spans="2:18" x14ac:dyDescent="0.2">
      <c r="Q901" s="166"/>
    </row>
    <row r="902" spans="2:18" ht="78" customHeight="1" x14ac:dyDescent="0.2">
      <c r="B902" s="1101" t="s">
        <v>140</v>
      </c>
      <c r="C902" s="1102"/>
      <c r="D902" s="1102"/>
      <c r="E902" s="1103"/>
      <c r="F902" s="274"/>
      <c r="G902" s="165" t="str">
        <f>"Nog af te bouwen regulatoir saldo einde "&amp;F900-1</f>
        <v>Nog af te bouwen regulatoir saldo einde 2023</v>
      </c>
      <c r="H902" s="165" t="str">
        <f>"50% van het oorspronkelijk regulatoir saldo door te rekenen volgens de tariefmethodologie in het boekjaar "&amp;F900</f>
        <v>50% van het oorspronkelijk regulatoir saldo door te rekenen volgens de tariefmethodologie in het boekjaar 2024</v>
      </c>
      <c r="I902" s="165" t="str">
        <f>"Nog af te bouwen regulatoir saldo einde "&amp;F900</f>
        <v>Nog af te bouwen regulatoir saldo einde 2024</v>
      </c>
      <c r="J902" s="206"/>
      <c r="Q902" s="166"/>
    </row>
    <row r="903" spans="2:18" x14ac:dyDescent="0.2">
      <c r="B903" s="1104">
        <v>2022</v>
      </c>
      <c r="C903" s="1105"/>
      <c r="D903" s="1105"/>
      <c r="E903" s="1106"/>
      <c r="F903" s="275"/>
      <c r="G903" s="176">
        <f>+N271</f>
        <v>0</v>
      </c>
      <c r="H903" s="176">
        <f t="shared" ref="H903" si="150">-G903*0.5</f>
        <v>0</v>
      </c>
      <c r="I903" s="176">
        <f t="shared" ref="I903" si="151">+G903+H903</f>
        <v>0</v>
      </c>
      <c r="J903" s="206"/>
      <c r="Q903" s="166"/>
    </row>
    <row r="904" spans="2:18" s="273" customFormat="1" x14ac:dyDescent="0.2">
      <c r="G904" s="276">
        <f>SUM(G903:G903)</f>
        <v>0</v>
      </c>
      <c r="H904" s="276">
        <f>SUM(H903:H903)</f>
        <v>0</v>
      </c>
      <c r="I904" s="276">
        <f>SUM(I903:I903)</f>
        <v>0</v>
      </c>
    </row>
    <row r="905" spans="2:18" x14ac:dyDescent="0.2">
      <c r="B905" s="273" t="s">
        <v>355</v>
      </c>
      <c r="C905" s="216"/>
      <c r="D905" s="216"/>
      <c r="E905" s="216"/>
      <c r="Q905" s="166"/>
    </row>
    <row r="906" spans="2:18" x14ac:dyDescent="0.2">
      <c r="B906" s="273" t="s">
        <v>141</v>
      </c>
      <c r="C906" s="216"/>
      <c r="D906" s="216"/>
      <c r="E906" s="216"/>
      <c r="Q906" s="166"/>
    </row>
    <row r="907" spans="2:18" x14ac:dyDescent="0.2">
      <c r="B907" s="273"/>
      <c r="C907" s="216"/>
      <c r="D907" s="216"/>
      <c r="E907" s="216"/>
      <c r="Q907" s="166"/>
    </row>
    <row r="908" spans="2:18" x14ac:dyDescent="0.2">
      <c r="B908" s="336">
        <v>2021</v>
      </c>
      <c r="C908" s="337">
        <v>0</v>
      </c>
      <c r="D908" s="216"/>
      <c r="E908" s="216"/>
      <c r="Q908" s="166"/>
    </row>
    <row r="909" spans="2:18" x14ac:dyDescent="0.2">
      <c r="B909" s="336">
        <v>2022</v>
      </c>
      <c r="C909" s="337">
        <v>0</v>
      </c>
      <c r="D909" s="216"/>
      <c r="E909" s="216"/>
      <c r="Q909" s="166"/>
    </row>
    <row r="910" spans="2:18" x14ac:dyDescent="0.2">
      <c r="B910" s="336">
        <v>2023</v>
      </c>
      <c r="C910" s="337">
        <v>0</v>
      </c>
      <c r="D910" s="216"/>
      <c r="E910" s="216"/>
      <c r="Q910" s="166"/>
    </row>
    <row r="911" spans="2:18" x14ac:dyDescent="0.2">
      <c r="B911" s="275">
        <v>2024</v>
      </c>
      <c r="C911" s="279">
        <f>+H904</f>
        <v>0</v>
      </c>
      <c r="D911" s="216"/>
      <c r="E911" s="216"/>
      <c r="Q911" s="166"/>
    </row>
  </sheetData>
  <sheetProtection algorithmName="SHA-512" hashValue="v3F0mrFUZOFythPbCzlIouiUcNbi+Wac1w8rUGqhPBTfsPbR8lA/IsjolkHok81nzF6jeaQlnmm1zpj/gGNesg==" saltValue="GwlzKKqggqnbKmNoFfVGvA==" spinCount="100000" sheet="1" objects="1" scenarios="1"/>
  <mergeCells count="528">
    <mergeCell ref="B768:E768"/>
    <mergeCell ref="B773:E773"/>
    <mergeCell ref="B774:E774"/>
    <mergeCell ref="B775:E775"/>
    <mergeCell ref="B719:E719"/>
    <mergeCell ref="B720:E720"/>
    <mergeCell ref="B721:E721"/>
    <mergeCell ref="B722:E722"/>
    <mergeCell ref="B723:E723"/>
    <mergeCell ref="B724:E724"/>
    <mergeCell ref="B729:E729"/>
    <mergeCell ref="B753:E753"/>
    <mergeCell ref="B754:E754"/>
    <mergeCell ref="B625:E625"/>
    <mergeCell ref="B626:E626"/>
    <mergeCell ref="B627:E627"/>
    <mergeCell ref="B628:E628"/>
    <mergeCell ref="B710:E710"/>
    <mergeCell ref="B711:E711"/>
    <mergeCell ref="B712:E712"/>
    <mergeCell ref="B713:E713"/>
    <mergeCell ref="B718:E718"/>
    <mergeCell ref="B703:E703"/>
    <mergeCell ref="B692:E692"/>
    <mergeCell ref="B693:E693"/>
    <mergeCell ref="B694:E694"/>
    <mergeCell ref="B699:E699"/>
    <mergeCell ref="B700:E700"/>
    <mergeCell ref="B701:E701"/>
    <mergeCell ref="B679:E679"/>
    <mergeCell ref="B680:E680"/>
    <mergeCell ref="B684:E684"/>
    <mergeCell ref="B685:E685"/>
    <mergeCell ref="B686:E686"/>
    <mergeCell ref="B691:E691"/>
    <mergeCell ref="B635:E635"/>
    <mergeCell ref="B636:E636"/>
    <mergeCell ref="B471:E471"/>
    <mergeCell ref="B472:E472"/>
    <mergeCell ref="B644:E644"/>
    <mergeCell ref="B645:E645"/>
    <mergeCell ref="B646:E646"/>
    <mergeCell ref="B486:E486"/>
    <mergeCell ref="B491:E491"/>
    <mergeCell ref="B492:E492"/>
    <mergeCell ref="B493:E493"/>
    <mergeCell ref="B494:E494"/>
    <mergeCell ref="B495:E495"/>
    <mergeCell ref="B500:E500"/>
    <mergeCell ref="B501:E501"/>
    <mergeCell ref="B502:E502"/>
    <mergeCell ref="B581:E581"/>
    <mergeCell ref="B582:E582"/>
    <mergeCell ref="B587:E587"/>
    <mergeCell ref="B588:E588"/>
    <mergeCell ref="B476:E476"/>
    <mergeCell ref="B477:E477"/>
    <mergeCell ref="B516:E516"/>
    <mergeCell ref="B521:E521"/>
    <mergeCell ref="B571:E571"/>
    <mergeCell ref="B576:E576"/>
    <mergeCell ref="B428:E428"/>
    <mergeCell ref="B429:E429"/>
    <mergeCell ref="B430:E430"/>
    <mergeCell ref="B417:E417"/>
    <mergeCell ref="B418:E418"/>
    <mergeCell ref="B419:E419"/>
    <mergeCell ref="B420:E420"/>
    <mergeCell ref="B403:E403"/>
    <mergeCell ref="B408:E408"/>
    <mergeCell ref="B513:E513"/>
    <mergeCell ref="B265:E265"/>
    <mergeCell ref="B266:E266"/>
    <mergeCell ref="B276:E276"/>
    <mergeCell ref="B277:E277"/>
    <mergeCell ref="B278:E278"/>
    <mergeCell ref="B279:E279"/>
    <mergeCell ref="B291:E291"/>
    <mergeCell ref="B358:E358"/>
    <mergeCell ref="B357:E357"/>
    <mergeCell ref="B307:E307"/>
    <mergeCell ref="B311:E311"/>
    <mergeCell ref="B312:E312"/>
    <mergeCell ref="B438:E438"/>
    <mergeCell ref="B439:E439"/>
    <mergeCell ref="B440:E440"/>
    <mergeCell ref="B441:E441"/>
    <mergeCell ref="B446:E446"/>
    <mergeCell ref="B363:E363"/>
    <mergeCell ref="B364:E364"/>
    <mergeCell ref="B365:E365"/>
    <mergeCell ref="B425:E425"/>
    <mergeCell ref="B426:E426"/>
    <mergeCell ref="B427:E427"/>
    <mergeCell ref="B577:E577"/>
    <mergeCell ref="B578:E578"/>
    <mergeCell ref="B579:E579"/>
    <mergeCell ref="B580:E580"/>
    <mergeCell ref="B227:E227"/>
    <mergeCell ref="B202:E202"/>
    <mergeCell ref="B203:E203"/>
    <mergeCell ref="B329:E329"/>
    <mergeCell ref="B330:E330"/>
    <mergeCell ref="B396:E396"/>
    <mergeCell ref="B397:E397"/>
    <mergeCell ref="B401:E401"/>
    <mergeCell ref="B402:E402"/>
    <mergeCell ref="B319:E319"/>
    <mergeCell ref="B320:E320"/>
    <mergeCell ref="B321:E321"/>
    <mergeCell ref="B326:E326"/>
    <mergeCell ref="B327:E327"/>
    <mergeCell ref="B328:E328"/>
    <mergeCell ref="B335:E335"/>
    <mergeCell ref="B336:E336"/>
    <mergeCell ref="B337:E337"/>
    <mergeCell ref="B250:E250"/>
    <mergeCell ref="B275:E275"/>
    <mergeCell ref="B235:E235"/>
    <mergeCell ref="B236:E236"/>
    <mergeCell ref="B237:E237"/>
    <mergeCell ref="B238:E238"/>
    <mergeCell ref="B112:E112"/>
    <mergeCell ref="B113:E113"/>
    <mergeCell ref="B114:E114"/>
    <mergeCell ref="B81:E81"/>
    <mergeCell ref="B109:E109"/>
    <mergeCell ref="B102:E102"/>
    <mergeCell ref="B103:E103"/>
    <mergeCell ref="B185:E185"/>
    <mergeCell ref="B186:E186"/>
    <mergeCell ref="B187:E187"/>
    <mergeCell ref="B188:E188"/>
    <mergeCell ref="B189:E189"/>
    <mergeCell ref="B164:E164"/>
    <mergeCell ref="B163:E163"/>
    <mergeCell ref="B149:E149"/>
    <mergeCell ref="B150:E150"/>
    <mergeCell ref="B200:E200"/>
    <mergeCell ref="B201:E201"/>
    <mergeCell ref="B206:E206"/>
    <mergeCell ref="B229:E229"/>
    <mergeCell ref="B259:E259"/>
    <mergeCell ref="B260:E260"/>
    <mergeCell ref="B261:E261"/>
    <mergeCell ref="B262:E262"/>
    <mergeCell ref="B263:E263"/>
    <mergeCell ref="B264:E264"/>
    <mergeCell ref="B240:E240"/>
    <mergeCell ref="B241:E241"/>
    <mergeCell ref="B242:E242"/>
    <mergeCell ref="B243:E243"/>
    <mergeCell ref="B244:E244"/>
    <mergeCell ref="B252:E252"/>
    <mergeCell ref="B253:E253"/>
    <mergeCell ref="B254:E254"/>
    <mergeCell ref="B255:E255"/>
    <mergeCell ref="A1:J1"/>
    <mergeCell ref="B4:E4"/>
    <mergeCell ref="B7:E7"/>
    <mergeCell ref="B13:E13"/>
    <mergeCell ref="B15:E15"/>
    <mergeCell ref="B17:E17"/>
    <mergeCell ref="B34:E34"/>
    <mergeCell ref="B43:E43"/>
    <mergeCell ref="B26:E26"/>
    <mergeCell ref="B31:E31"/>
    <mergeCell ref="B33:E33"/>
    <mergeCell ref="B19:E19"/>
    <mergeCell ref="B20:E20"/>
    <mergeCell ref="B18:E18"/>
    <mergeCell ref="B21:E21"/>
    <mergeCell ref="B24:E24"/>
    <mergeCell ref="B35:E35"/>
    <mergeCell ref="B27:E27"/>
    <mergeCell ref="B36:E36"/>
    <mergeCell ref="B37:E37"/>
    <mergeCell ref="B16:E16"/>
    <mergeCell ref="B22:E22"/>
    <mergeCell ref="B23:E23"/>
    <mergeCell ref="B38:E38"/>
    <mergeCell ref="B58:E58"/>
    <mergeCell ref="B56:E56"/>
    <mergeCell ref="B76:E76"/>
    <mergeCell ref="B59:E59"/>
    <mergeCell ref="B60:E60"/>
    <mergeCell ref="B68:E68"/>
    <mergeCell ref="B88:E88"/>
    <mergeCell ref="B66:E66"/>
    <mergeCell ref="B99:E99"/>
    <mergeCell ref="B69:E69"/>
    <mergeCell ref="B70:E70"/>
    <mergeCell ref="B71:E71"/>
    <mergeCell ref="B91:E91"/>
    <mergeCell ref="B98:E98"/>
    <mergeCell ref="B93:E93"/>
    <mergeCell ref="B72:E72"/>
    <mergeCell ref="B73:E73"/>
    <mergeCell ref="B90:E90"/>
    <mergeCell ref="B89:E89"/>
    <mergeCell ref="B221:E221"/>
    <mergeCell ref="B222:E222"/>
    <mergeCell ref="B223:E223"/>
    <mergeCell ref="B228:E228"/>
    <mergeCell ref="B196:E196"/>
    <mergeCell ref="B215:E215"/>
    <mergeCell ref="B172:E172"/>
    <mergeCell ref="B191:E191"/>
    <mergeCell ref="B151:E151"/>
    <mergeCell ref="B156:E156"/>
    <mergeCell ref="B173:E173"/>
    <mergeCell ref="B165:E165"/>
    <mergeCell ref="B166:E166"/>
    <mergeCell ref="B167:E167"/>
    <mergeCell ref="B157:E157"/>
    <mergeCell ref="B198:E198"/>
    <mergeCell ref="B193:E193"/>
    <mergeCell ref="B194:E194"/>
    <mergeCell ref="B213:E213"/>
    <mergeCell ref="B152:E152"/>
    <mergeCell ref="B153:E153"/>
    <mergeCell ref="B154:E154"/>
    <mergeCell ref="B155:E155"/>
    <mergeCell ref="B174:E174"/>
    <mergeCell ref="B111:E111"/>
    <mergeCell ref="B74:E74"/>
    <mergeCell ref="B75:E75"/>
    <mergeCell ref="B105:E105"/>
    <mergeCell ref="B106:E106"/>
    <mergeCell ref="B84:E84"/>
    <mergeCell ref="B85:E85"/>
    <mergeCell ref="B86:E86"/>
    <mergeCell ref="B79:E79"/>
    <mergeCell ref="B78:E78"/>
    <mergeCell ref="B82:E82"/>
    <mergeCell ref="B80:E80"/>
    <mergeCell ref="B101:E101"/>
    <mergeCell ref="B100:E100"/>
    <mergeCell ref="B77:E77"/>
    <mergeCell ref="B144:E144"/>
    <mergeCell ref="B115:E115"/>
    <mergeCell ref="B120:E120"/>
    <mergeCell ref="B148:E148"/>
    <mergeCell ref="B92:E92"/>
    <mergeCell ref="B104:E104"/>
    <mergeCell ref="B87:E87"/>
    <mergeCell ref="B142:E142"/>
    <mergeCell ref="B107:E107"/>
    <mergeCell ref="B108:E108"/>
    <mergeCell ref="B146:E146"/>
    <mergeCell ref="B110:E110"/>
    <mergeCell ref="B94:E94"/>
    <mergeCell ref="B95:E95"/>
    <mergeCell ref="B96:E96"/>
    <mergeCell ref="B97:E97"/>
    <mergeCell ref="B147:E147"/>
    <mergeCell ref="B140:E140"/>
    <mergeCell ref="B141:E141"/>
    <mergeCell ref="B132:E132"/>
    <mergeCell ref="B133:E133"/>
    <mergeCell ref="B134:E134"/>
    <mergeCell ref="B135:E135"/>
    <mergeCell ref="B136:E136"/>
    <mergeCell ref="B39:E39"/>
    <mergeCell ref="B40:E40"/>
    <mergeCell ref="B41:E41"/>
    <mergeCell ref="B42:E42"/>
    <mergeCell ref="B61:E61"/>
    <mergeCell ref="B62:E62"/>
    <mergeCell ref="B63:E63"/>
    <mergeCell ref="B64:E64"/>
    <mergeCell ref="B83:E83"/>
    <mergeCell ref="B44:E44"/>
    <mergeCell ref="B45:E45"/>
    <mergeCell ref="B46:E46"/>
    <mergeCell ref="B47:E47"/>
    <mergeCell ref="B48:E48"/>
    <mergeCell ref="B49:E49"/>
    <mergeCell ref="B50:E50"/>
    <mergeCell ref="B51:E51"/>
    <mergeCell ref="B52:E52"/>
    <mergeCell ref="B53:E53"/>
    <mergeCell ref="B54:E54"/>
    <mergeCell ref="B57:E57"/>
    <mergeCell ref="B65:E65"/>
    <mergeCell ref="B55:E55"/>
    <mergeCell ref="B67:E67"/>
    <mergeCell ref="B175:E175"/>
    <mergeCell ref="B176:E176"/>
    <mergeCell ref="B214:E214"/>
    <mergeCell ref="B212:E212"/>
    <mergeCell ref="B197:E197"/>
    <mergeCell ref="B211:E211"/>
    <mergeCell ref="B190:E190"/>
    <mergeCell ref="B195:E195"/>
    <mergeCell ref="B207:E207"/>
    <mergeCell ref="B208:E208"/>
    <mergeCell ref="B209:E209"/>
    <mergeCell ref="B177:E177"/>
    <mergeCell ref="B178:E178"/>
    <mergeCell ref="B179:E179"/>
    <mergeCell ref="B180:E180"/>
    <mergeCell ref="B181:E181"/>
    <mergeCell ref="B182:E182"/>
    <mergeCell ref="B183:E183"/>
    <mergeCell ref="B184:E184"/>
    <mergeCell ref="B161:E161"/>
    <mergeCell ref="B204:E204"/>
    <mergeCell ref="B205:E205"/>
    <mergeCell ref="B199:E199"/>
    <mergeCell ref="B169:E169"/>
    <mergeCell ref="B170:E170"/>
    <mergeCell ref="B171:E171"/>
    <mergeCell ref="B168:E168"/>
    <mergeCell ref="B356:E356"/>
    <mergeCell ref="B351:E351"/>
    <mergeCell ref="B246:E246"/>
    <mergeCell ref="B247:E247"/>
    <mergeCell ref="B248:E248"/>
    <mergeCell ref="B249:E249"/>
    <mergeCell ref="B281:E281"/>
    <mergeCell ref="B282:E282"/>
    <mergeCell ref="B283:E283"/>
    <mergeCell ref="B284:E284"/>
    <mergeCell ref="B297:E297"/>
    <mergeCell ref="B299:E299"/>
    <mergeCell ref="B295:E295"/>
    <mergeCell ref="B296:E296"/>
    <mergeCell ref="B293:E293"/>
    <mergeCell ref="B306:E306"/>
    <mergeCell ref="B226:E226"/>
    <mergeCell ref="B192:E192"/>
    <mergeCell ref="B409:E409"/>
    <mergeCell ref="B410:E410"/>
    <mergeCell ref="B411:E411"/>
    <mergeCell ref="B416:E416"/>
    <mergeCell ref="B435:E435"/>
    <mergeCell ref="B436:E436"/>
    <mergeCell ref="B437:E437"/>
    <mergeCell ref="B251:E251"/>
    <mergeCell ref="B210:E210"/>
    <mergeCell ref="B216:E216"/>
    <mergeCell ref="B224:E224"/>
    <mergeCell ref="B225:E225"/>
    <mergeCell ref="B217:E217"/>
    <mergeCell ref="B218:E218"/>
    <mergeCell ref="B219:E219"/>
    <mergeCell ref="B220:E220"/>
    <mergeCell ref="B245:E245"/>
    <mergeCell ref="B230:E230"/>
    <mergeCell ref="B231:E231"/>
    <mergeCell ref="B232:E232"/>
    <mergeCell ref="B233:E233"/>
    <mergeCell ref="B234:E234"/>
    <mergeCell ref="B447:E447"/>
    <mergeCell ref="B448:E448"/>
    <mergeCell ref="B453:E453"/>
    <mergeCell ref="B454:E454"/>
    <mergeCell ref="B455:E455"/>
    <mergeCell ref="B566:E566"/>
    <mergeCell ref="B537:E537"/>
    <mergeCell ref="B538:E538"/>
    <mergeCell ref="B542:E542"/>
    <mergeCell ref="B543:E543"/>
    <mergeCell ref="B544:E544"/>
    <mergeCell ref="B549:E549"/>
    <mergeCell ref="B478:E478"/>
    <mergeCell ref="B483:E483"/>
    <mergeCell ref="B484:E484"/>
    <mergeCell ref="B485:E485"/>
    <mergeCell ref="B514:E514"/>
    <mergeCell ref="B515:E515"/>
    <mergeCell ref="B503:E503"/>
    <mergeCell ref="B504:E504"/>
    <mergeCell ref="B505:E505"/>
    <mergeCell ref="B510:E510"/>
    <mergeCell ref="B511:E511"/>
    <mergeCell ref="B512:E512"/>
    <mergeCell ref="B567:E567"/>
    <mergeCell ref="B568:E568"/>
    <mergeCell ref="B569:E569"/>
    <mergeCell ref="B570:E570"/>
    <mergeCell ref="B550:E550"/>
    <mergeCell ref="B551:E551"/>
    <mergeCell ref="B552:E552"/>
    <mergeCell ref="B557:E557"/>
    <mergeCell ref="B558:E558"/>
    <mergeCell ref="B559:E559"/>
    <mergeCell ref="B560:E560"/>
    <mergeCell ref="B561:E561"/>
    <mergeCell ref="B611:E611"/>
    <mergeCell ref="B616:E616"/>
    <mergeCell ref="B617:E617"/>
    <mergeCell ref="B618:E618"/>
    <mergeCell ref="B619:E619"/>
    <mergeCell ref="B624:E624"/>
    <mergeCell ref="B604:E604"/>
    <mergeCell ref="B605:E605"/>
    <mergeCell ref="B609:E609"/>
    <mergeCell ref="B610:E610"/>
    <mergeCell ref="B637:E637"/>
    <mergeCell ref="B638:E638"/>
    <mergeCell ref="B643:E643"/>
    <mergeCell ref="B661:E661"/>
    <mergeCell ref="B662:E662"/>
    <mergeCell ref="B663:E663"/>
    <mergeCell ref="B702:E702"/>
    <mergeCell ref="B647:E647"/>
    <mergeCell ref="B648:E648"/>
    <mergeCell ref="B649:E649"/>
    <mergeCell ref="B654:E654"/>
    <mergeCell ref="B655:E655"/>
    <mergeCell ref="B656:E656"/>
    <mergeCell ref="B128:E128"/>
    <mergeCell ref="B129:E129"/>
    <mergeCell ref="B130:E130"/>
    <mergeCell ref="B131:E131"/>
    <mergeCell ref="B784:E784"/>
    <mergeCell ref="B785:E785"/>
    <mergeCell ref="B786:E786"/>
    <mergeCell ref="B787:E787"/>
    <mergeCell ref="B730:E730"/>
    <mergeCell ref="B731:E731"/>
    <mergeCell ref="B736:E736"/>
    <mergeCell ref="B737:E737"/>
    <mergeCell ref="B776:E776"/>
    <mergeCell ref="B777:E777"/>
    <mergeCell ref="B758:E758"/>
    <mergeCell ref="B759:E759"/>
    <mergeCell ref="B760:E760"/>
    <mergeCell ref="B765:E765"/>
    <mergeCell ref="B766:E766"/>
    <mergeCell ref="B767:E767"/>
    <mergeCell ref="B708:E708"/>
    <mergeCell ref="B709:E709"/>
    <mergeCell ref="B633:E633"/>
    <mergeCell ref="B634:E634"/>
    <mergeCell ref="B116:E116"/>
    <mergeCell ref="B117:E117"/>
    <mergeCell ref="B118:E118"/>
    <mergeCell ref="B119:E119"/>
    <mergeCell ref="B239:E239"/>
    <mergeCell ref="B267:E267"/>
    <mergeCell ref="B268:E268"/>
    <mergeCell ref="B269:E269"/>
    <mergeCell ref="B380:E380"/>
    <mergeCell ref="B280:E280"/>
    <mergeCell ref="B285:E285"/>
    <mergeCell ref="B256:E256"/>
    <mergeCell ref="B257:E257"/>
    <mergeCell ref="B258:E258"/>
    <mergeCell ref="B137:E137"/>
    <mergeCell ref="B138:E138"/>
    <mergeCell ref="B139:E139"/>
    <mergeCell ref="B121:E121"/>
    <mergeCell ref="B122:E122"/>
    <mergeCell ref="B123:E123"/>
    <mergeCell ref="B124:E124"/>
    <mergeCell ref="B125:E125"/>
    <mergeCell ref="B126:E126"/>
    <mergeCell ref="B127:E127"/>
    <mergeCell ref="B381:E381"/>
    <mergeCell ref="B339:E339"/>
    <mergeCell ref="B345:E345"/>
    <mergeCell ref="B346:E346"/>
    <mergeCell ref="B347:E347"/>
    <mergeCell ref="B348:E348"/>
    <mergeCell ref="B349:E349"/>
    <mergeCell ref="B350:E350"/>
    <mergeCell ref="B286:E286"/>
    <mergeCell ref="B313:E313"/>
    <mergeCell ref="B318:E318"/>
    <mergeCell ref="B294:E294"/>
    <mergeCell ref="B338:E338"/>
    <mergeCell ref="B340:E340"/>
    <mergeCell ref="B828:E828"/>
    <mergeCell ref="B829:E829"/>
    <mergeCell ref="B833:E833"/>
    <mergeCell ref="B834:E834"/>
    <mergeCell ref="B835:E835"/>
    <mergeCell ref="B270:E270"/>
    <mergeCell ref="B271:E271"/>
    <mergeCell ref="B272:E272"/>
    <mergeCell ref="B805:E805"/>
    <mergeCell ref="B810:E810"/>
    <mergeCell ref="B811:E811"/>
    <mergeCell ref="B812:E812"/>
    <mergeCell ref="B522:E522"/>
    <mergeCell ref="B792:E792"/>
    <mergeCell ref="B793:E793"/>
    <mergeCell ref="B794:E794"/>
    <mergeCell ref="B795:E795"/>
    <mergeCell ref="B796:E796"/>
    <mergeCell ref="B797:E797"/>
    <mergeCell ref="B798:E798"/>
    <mergeCell ref="B803:E803"/>
    <mergeCell ref="B804:E804"/>
    <mergeCell ref="B782:E782"/>
    <mergeCell ref="B783:E783"/>
    <mergeCell ref="B840:E840"/>
    <mergeCell ref="B841:E841"/>
    <mergeCell ref="B842:E842"/>
    <mergeCell ref="B843:E843"/>
    <mergeCell ref="B848:E848"/>
    <mergeCell ref="B849:E849"/>
    <mergeCell ref="B850:E850"/>
    <mergeCell ref="B851:E851"/>
    <mergeCell ref="B852:E852"/>
    <mergeCell ref="B857:E857"/>
    <mergeCell ref="B858:E858"/>
    <mergeCell ref="B859:E859"/>
    <mergeCell ref="B860:E860"/>
    <mergeCell ref="B861:E861"/>
    <mergeCell ref="B862:E862"/>
    <mergeCell ref="B867:E867"/>
    <mergeCell ref="B868:E868"/>
    <mergeCell ref="B869:E869"/>
    <mergeCell ref="B902:E902"/>
    <mergeCell ref="B903:E903"/>
    <mergeCell ref="B870:E870"/>
    <mergeCell ref="B871:E871"/>
    <mergeCell ref="B872:E872"/>
    <mergeCell ref="B873:E873"/>
    <mergeCell ref="B878:E878"/>
    <mergeCell ref="B879:E879"/>
    <mergeCell ref="B880:E880"/>
    <mergeCell ref="B885:E885"/>
    <mergeCell ref="B886:E886"/>
  </mergeCells>
  <conditionalFormatting sqref="N15:P15 N17:P17 N43 N65 N171:N173 O172:O173 P173 N193:N195 O194:O195 P195 B294:G294 B365:I365 B455:I455">
    <cfRule type="expression" dxfId="48" priority="7">
      <formula>$B$7="elektriciteit"</formula>
    </cfRule>
  </conditionalFormatting>
  <conditionalFormatting sqref="B16:P16 R16 B18:P18 R18 B21:P21 R21 R23:R24 B23:P24 B44:P54 R44:R54 B66:P76 R66:R76 B99:P109 R99:R109 B121:P142 R121:R142 B174:P184 R174:R184 B196:P206 R196:R206 B229:P239 R229:R239 B251:P272 R251:R272 B297:G297 B376:D376 B378:F378 B380:I382 B384:F384 B386:C389 B467:D467 B469:F469 B471:K472 B476:M479 B481:F481 B474:F474 B483:M487 B489:F489 B491:M496 B498:F498 B500:I506 B508:F508 B510:I517 B519:F519 B521:I523 B525:F525 B527:C530 B675:E675 B677:F677 B679:K680 B682:F682 B684:M687 B691:M695 B689:F689 B697:F697 B699:M704 B706:F706 B708:I714 B716:F716 B718:I725 B727:F727 B729:I732 B734:F734 B736:I738 B741:F741 B743:C746 B824:C824 B826:F826 B828:K829 B831:F831 B833:M836 B840:M844 B838:F838 B846:F846 B848:M853 B855:F855 B857:I863 B865:F865 B867:I874 B876:F876 B878:I881 B883:F883 B885:I887 B890:F890 B892:C895 B898:D898 B900:F900 B902:I904 B906:F906 B908:C911">
    <cfRule type="expression" dxfId="47" priority="6">
      <formula>$B$7="gas"</formula>
    </cfRule>
  </conditionalFormatting>
  <conditionalFormatting sqref="B524:F524">
    <cfRule type="expression" dxfId="46" priority="5">
      <formula>$B$7="gas"</formula>
    </cfRule>
  </conditionalFormatting>
  <conditionalFormatting sqref="B740:F740">
    <cfRule type="expression" dxfId="45" priority="4">
      <formula>$B$7="gas"</formula>
    </cfRule>
  </conditionalFormatting>
  <conditionalFormatting sqref="B889:F889">
    <cfRule type="expression" dxfId="44" priority="3">
      <formula>$B$7="gas"</formula>
    </cfRule>
  </conditionalFormatting>
  <conditionalFormatting sqref="B905:F905">
    <cfRule type="expression" dxfId="43" priority="2">
      <formula>$B$7="gas"</formula>
    </cfRule>
  </conditionalFormatting>
  <conditionalFormatting sqref="B383:F383">
    <cfRule type="expression" dxfId="42"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57" max="13" man="1"/>
  </rowBreaks>
  <ignoredErrors>
    <ignoredError sqref="G164 R20 P240 P229 P218 P207 P185 G207:K207 R34:R40 G165:K168 R164 P165:P168 G185:K185 P186:P190 G218:K218 P219:P223 G229:K229 P230:P234 G240:K240 P241:P245 P208:P212 J190 H186:K186 G187 I187:K187 H188 J188:K188 I189 K189 J212 H208:K208 G209 I209:K209 H210 J210:K210 I211 K211 J223 H219:K219 G220 I220:K220 H221 J221:K221 I222 K222 I234:J234 H230:K230 G231 I231:K231 H232 J232:K232 I233 K233 H241:K241 G242 I242:K242 J243:K243 K244 G36:G41 H37:H41 I38:I41 J39:J41 K40:K41 L41 R15 R17 R240 R229 R218 R207 R18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pageSetUpPr fitToPage="1"/>
  </sheetPr>
  <dimension ref="A1:AG105"/>
  <sheetViews>
    <sheetView zoomScale="80" zoomScaleNormal="80" zoomScaleSheetLayoutView="80" workbookViewId="0">
      <selection activeCell="J21" sqref="J21"/>
    </sheetView>
  </sheetViews>
  <sheetFormatPr defaultColWidth="11.42578125" defaultRowHeight="12.75" x14ac:dyDescent="0.2"/>
  <cols>
    <col min="1" max="1" width="24.28515625" style="177" customWidth="1"/>
    <col min="2" max="2" width="21.5703125" style="177" customWidth="1"/>
    <col min="3" max="12" width="17.7109375" style="177" customWidth="1"/>
    <col min="13" max="13" width="2.28515625" style="177" customWidth="1"/>
    <col min="14" max="14" width="17.7109375" style="177" customWidth="1"/>
    <col min="15" max="15" width="2" style="177" customWidth="1"/>
    <col min="16" max="16" width="17.7109375" style="177" customWidth="1"/>
    <col min="17" max="17" width="28.7109375" style="177" bestFit="1" customWidth="1"/>
    <col min="18" max="18" width="14" style="177" customWidth="1"/>
    <col min="19" max="19" width="11.42578125" style="177"/>
    <col min="20" max="20" width="12.28515625" style="177" bestFit="1" customWidth="1"/>
    <col min="21" max="16384" width="11.42578125" style="177"/>
  </cols>
  <sheetData>
    <row r="1" spans="1:22" ht="25.5" customHeight="1" thickBot="1" x14ac:dyDescent="0.25">
      <c r="A1" s="1151" t="s">
        <v>203</v>
      </c>
      <c r="B1" s="1152"/>
      <c r="C1" s="1152"/>
      <c r="D1" s="1152"/>
      <c r="E1" s="1152"/>
      <c r="F1" s="1152"/>
      <c r="G1" s="1152"/>
      <c r="H1" s="1152"/>
      <c r="I1" s="1152"/>
      <c r="J1" s="1152"/>
      <c r="K1" s="1152"/>
      <c r="L1" s="1152"/>
      <c r="M1" s="1152"/>
      <c r="N1" s="1153"/>
      <c r="O1" s="212"/>
      <c r="P1" s="291"/>
      <c r="Q1" s="222"/>
      <c r="R1" s="223"/>
      <c r="S1" s="223"/>
      <c r="T1" s="223"/>
      <c r="U1" s="223"/>
    </row>
    <row r="2" spans="1:22" x14ac:dyDescent="0.2">
      <c r="A2" s="225"/>
      <c r="B2" s="225"/>
      <c r="C2" s="225"/>
      <c r="D2" s="225"/>
      <c r="E2" s="225"/>
      <c r="F2" s="225"/>
      <c r="G2" s="225"/>
      <c r="H2" s="225"/>
      <c r="I2" s="225"/>
      <c r="J2" s="225"/>
      <c r="K2" s="225"/>
      <c r="L2" s="225"/>
      <c r="M2" s="225"/>
      <c r="N2" s="225"/>
      <c r="O2" s="212"/>
      <c r="P2" s="291"/>
      <c r="Q2" s="280"/>
      <c r="R2" s="229"/>
      <c r="S2" s="229"/>
      <c r="T2" s="223"/>
      <c r="U2" s="223"/>
    </row>
    <row r="3" spans="1:22" x14ac:dyDescent="0.2">
      <c r="A3" s="225"/>
      <c r="B3" s="225"/>
      <c r="C3" s="280">
        <f t="shared" ref="C3:L3" si="0">+C7+1</f>
        <v>2016</v>
      </c>
      <c r="D3" s="280">
        <f t="shared" si="0"/>
        <v>2017</v>
      </c>
      <c r="E3" s="280">
        <f t="shared" si="0"/>
        <v>2018</v>
      </c>
      <c r="F3" s="280">
        <f t="shared" si="0"/>
        <v>2019</v>
      </c>
      <c r="G3" s="280">
        <f t="shared" si="0"/>
        <v>2020</v>
      </c>
      <c r="H3" s="280"/>
      <c r="I3" s="280"/>
      <c r="J3" s="280"/>
      <c r="K3" s="280"/>
      <c r="L3" s="280">
        <f t="shared" si="0"/>
        <v>2025</v>
      </c>
      <c r="M3" s="280"/>
      <c r="N3" s="280"/>
      <c r="O3" s="204"/>
      <c r="P3" s="291"/>
      <c r="Q3" s="229"/>
      <c r="R3" s="229"/>
      <c r="S3" s="229"/>
      <c r="T3" s="223"/>
      <c r="U3" s="223"/>
      <c r="V3" s="229"/>
    </row>
    <row r="4" spans="1:22" s="166" customFormat="1" ht="16.5" x14ac:dyDescent="0.2">
      <c r="A4" s="216"/>
      <c r="C4" s="1094" t="str">
        <f>+TITELBLAD!C7</f>
        <v>NAAM DNB</v>
      </c>
      <c r="D4" s="1095"/>
      <c r="E4" s="1095"/>
      <c r="F4" s="1095"/>
      <c r="G4" s="1095"/>
      <c r="H4" s="1095"/>
      <c r="I4" s="1095"/>
      <c r="J4" s="1095"/>
      <c r="K4" s="1095"/>
      <c r="L4" s="1096"/>
      <c r="O4" s="212"/>
      <c r="P4" s="291"/>
      <c r="Q4" s="280" t="str">
        <f>+TITELBLAD!B16</f>
        <v>Rapportering over boekjaar:</v>
      </c>
      <c r="R4" s="229">
        <f>+TITELBLAD!E16</f>
        <v>2022</v>
      </c>
      <c r="S4" s="229" t="str">
        <f>+TITELBLAD!F16</f>
        <v>ex-ante</v>
      </c>
      <c r="T4" s="291"/>
      <c r="U4" s="291"/>
    </row>
    <row r="5" spans="1:22" s="166" customFormat="1" ht="16.5" x14ac:dyDescent="0.2">
      <c r="A5" s="216"/>
      <c r="C5" s="1094" t="str">
        <f>+TITELBLAD!C10</f>
        <v>gas</v>
      </c>
      <c r="D5" s="1095"/>
      <c r="E5" s="1095"/>
      <c r="F5" s="1095"/>
      <c r="G5" s="1095"/>
      <c r="H5" s="1095"/>
      <c r="I5" s="1095"/>
      <c r="J5" s="1095"/>
      <c r="K5" s="1095"/>
      <c r="L5" s="1096"/>
      <c r="O5" s="212"/>
      <c r="P5" s="291"/>
      <c r="Q5" s="203"/>
      <c r="R5" s="203"/>
      <c r="S5" s="203"/>
      <c r="T5" s="291"/>
      <c r="U5" s="291"/>
    </row>
    <row r="6" spans="1:22" s="166" customFormat="1" ht="16.5" x14ac:dyDescent="0.2">
      <c r="A6" s="216"/>
      <c r="C6" s="1094" t="s">
        <v>19</v>
      </c>
      <c r="D6" s="1095"/>
      <c r="E6" s="1095"/>
      <c r="F6" s="1095"/>
      <c r="G6" s="1095"/>
      <c r="H6" s="1095"/>
      <c r="I6" s="1095"/>
      <c r="J6" s="1095"/>
      <c r="K6" s="1095"/>
      <c r="L6" s="1096"/>
      <c r="O6" s="212"/>
      <c r="P6" s="291"/>
      <c r="Q6" s="203"/>
      <c r="R6" s="203"/>
      <c r="S6" s="203"/>
      <c r="T6" s="291"/>
      <c r="U6" s="291"/>
    </row>
    <row r="7" spans="1:22" s="166" customFormat="1" ht="52.5" customHeight="1" thickBot="1" x14ac:dyDescent="0.25">
      <c r="A7" s="1143"/>
      <c r="B7" s="1144"/>
      <c r="C7" s="668">
        <v>2015</v>
      </c>
      <c r="D7" s="668">
        <v>2016</v>
      </c>
      <c r="E7" s="668">
        <v>2017</v>
      </c>
      <c r="F7" s="668">
        <v>2018</v>
      </c>
      <c r="G7" s="668">
        <v>2019</v>
      </c>
      <c r="H7" s="668">
        <v>2020</v>
      </c>
      <c r="I7" s="668">
        <v>2021</v>
      </c>
      <c r="J7" s="668">
        <v>2022</v>
      </c>
      <c r="K7" s="668">
        <v>2023</v>
      </c>
      <c r="L7" s="668">
        <v>2024</v>
      </c>
      <c r="O7" s="212"/>
      <c r="P7" s="291"/>
      <c r="Q7" s="203"/>
      <c r="R7" s="203"/>
      <c r="S7" s="203"/>
      <c r="T7" s="291"/>
      <c r="U7" s="291"/>
    </row>
    <row r="8" spans="1:22" s="166" customFormat="1" ht="31.5" customHeight="1" thickBot="1" x14ac:dyDescent="0.25">
      <c r="A8" s="1145" t="s">
        <v>121</v>
      </c>
      <c r="B8" s="1146"/>
      <c r="C8" s="680">
        <f t="shared" ref="C8:L8" si="1">SUM(C9:C16)</f>
        <v>0</v>
      </c>
      <c r="D8" s="680">
        <f t="shared" si="1"/>
        <v>0</v>
      </c>
      <c r="E8" s="680">
        <f t="shared" si="1"/>
        <v>0</v>
      </c>
      <c r="F8" s="680">
        <f t="shared" si="1"/>
        <v>0</v>
      </c>
      <c r="G8" s="680">
        <f t="shared" si="1"/>
        <v>0</v>
      </c>
      <c r="H8" s="680">
        <f t="shared" si="1"/>
        <v>0</v>
      </c>
      <c r="I8" s="680">
        <f t="shared" si="1"/>
        <v>0</v>
      </c>
      <c r="J8" s="680">
        <f t="shared" si="1"/>
        <v>0</v>
      </c>
      <c r="K8" s="680">
        <f t="shared" si="1"/>
        <v>0</v>
      </c>
      <c r="L8" s="681">
        <f t="shared" si="1"/>
        <v>0</v>
      </c>
      <c r="O8" s="212"/>
      <c r="P8" s="291"/>
      <c r="Q8" s="291"/>
      <c r="R8" s="291"/>
      <c r="S8" s="203"/>
      <c r="T8" s="291"/>
      <c r="U8" s="291"/>
    </row>
    <row r="9" spans="1:22" s="166" customFormat="1" ht="31.5" customHeight="1" x14ac:dyDescent="0.2">
      <c r="A9" s="1139" t="s">
        <v>89</v>
      </c>
      <c r="B9" s="1140"/>
      <c r="C9" s="814">
        <v>0</v>
      </c>
      <c r="D9" s="814">
        <v>0</v>
      </c>
      <c r="E9" s="814">
        <v>0</v>
      </c>
      <c r="F9" s="814">
        <v>0</v>
      </c>
      <c r="G9" s="814">
        <v>0</v>
      </c>
      <c r="H9" s="814">
        <v>0</v>
      </c>
      <c r="I9" s="814">
        <v>0</v>
      </c>
      <c r="J9" s="814">
        <v>0</v>
      </c>
      <c r="K9" s="814">
        <v>0</v>
      </c>
      <c r="L9" s="815">
        <v>0</v>
      </c>
      <c r="O9" s="212"/>
      <c r="P9" s="291"/>
      <c r="Q9" s="291"/>
      <c r="R9" s="291"/>
      <c r="S9" s="291"/>
      <c r="T9" s="291"/>
      <c r="U9" s="291"/>
    </row>
    <row r="10" spans="1:22" s="166" customFormat="1" ht="31.5" customHeight="1" x14ac:dyDescent="0.2">
      <c r="A10" s="1141" t="s">
        <v>331</v>
      </c>
      <c r="B10" s="1142"/>
      <c r="C10" s="335"/>
      <c r="D10" s="335"/>
      <c r="E10" s="335"/>
      <c r="F10" s="335"/>
      <c r="G10" s="335"/>
      <c r="H10" s="335"/>
      <c r="I10" s="335"/>
      <c r="J10" s="207">
        <v>0</v>
      </c>
      <c r="K10" s="207">
        <v>0</v>
      </c>
      <c r="L10" s="816">
        <v>0</v>
      </c>
      <c r="O10" s="212"/>
      <c r="P10" s="291"/>
      <c r="Q10" s="291"/>
      <c r="R10" s="291"/>
      <c r="S10" s="291"/>
      <c r="T10" s="291"/>
      <c r="U10" s="291"/>
    </row>
    <row r="11" spans="1:22" s="166" customFormat="1" ht="31.5" customHeight="1" x14ac:dyDescent="0.2">
      <c r="A11" s="1141" t="s">
        <v>90</v>
      </c>
      <c r="B11" s="1142"/>
      <c r="C11" s="207">
        <v>0</v>
      </c>
      <c r="D11" s="207">
        <v>0</v>
      </c>
      <c r="E11" s="207">
        <v>0</v>
      </c>
      <c r="F11" s="207">
        <v>0</v>
      </c>
      <c r="G11" s="207">
        <v>0</v>
      </c>
      <c r="H11" s="207">
        <v>0</v>
      </c>
      <c r="I11" s="207">
        <v>0</v>
      </c>
      <c r="J11" s="207">
        <v>0</v>
      </c>
      <c r="K11" s="207">
        <v>0</v>
      </c>
      <c r="L11" s="816">
        <v>0</v>
      </c>
      <c r="O11" s="212"/>
      <c r="P11" s="291"/>
      <c r="Q11" s="291"/>
      <c r="R11" s="291"/>
      <c r="S11" s="291"/>
      <c r="T11" s="291"/>
      <c r="U11" s="291"/>
    </row>
    <row r="12" spans="1:22" s="166" customFormat="1" ht="31.5" customHeight="1" x14ac:dyDescent="0.2">
      <c r="A12" s="1141" t="s">
        <v>332</v>
      </c>
      <c r="B12" s="1142"/>
      <c r="C12" s="207">
        <v>0</v>
      </c>
      <c r="D12" s="207">
        <v>0</v>
      </c>
      <c r="E12" s="207">
        <v>0</v>
      </c>
      <c r="F12" s="207">
        <v>0</v>
      </c>
      <c r="G12" s="207">
        <v>0</v>
      </c>
      <c r="H12" s="207">
        <v>0</v>
      </c>
      <c r="I12" s="207">
        <v>0</v>
      </c>
      <c r="J12" s="207">
        <v>0</v>
      </c>
      <c r="K12" s="207">
        <v>0</v>
      </c>
      <c r="L12" s="816">
        <v>0</v>
      </c>
      <c r="O12" s="212"/>
      <c r="P12" s="291"/>
      <c r="Q12" s="291"/>
      <c r="R12" s="291"/>
      <c r="S12" s="291"/>
      <c r="T12" s="291"/>
      <c r="U12" s="291"/>
    </row>
    <row r="13" spans="1:22" s="166" customFormat="1" ht="31.5" customHeight="1" x14ac:dyDescent="0.2">
      <c r="A13" s="1141" t="s">
        <v>168</v>
      </c>
      <c r="B13" s="1142"/>
      <c r="C13" s="335"/>
      <c r="D13" s="335"/>
      <c r="E13" s="335"/>
      <c r="F13" s="335"/>
      <c r="G13" s="335"/>
      <c r="H13" s="335"/>
      <c r="I13" s="207">
        <v>0</v>
      </c>
      <c r="J13" s="207">
        <v>0</v>
      </c>
      <c r="K13" s="207">
        <v>0</v>
      </c>
      <c r="L13" s="816">
        <v>0</v>
      </c>
      <c r="O13" s="212"/>
      <c r="P13" s="291"/>
      <c r="Q13" s="291"/>
      <c r="R13" s="291"/>
      <c r="S13" s="291"/>
      <c r="T13" s="291"/>
      <c r="U13" s="291"/>
    </row>
    <row r="14" spans="1:22" s="166" customFormat="1" ht="31.5" customHeight="1" x14ac:dyDescent="0.2">
      <c r="A14" s="1141" t="s">
        <v>91</v>
      </c>
      <c r="B14" s="1142"/>
      <c r="C14" s="207">
        <v>0</v>
      </c>
      <c r="D14" s="207">
        <v>0</v>
      </c>
      <c r="E14" s="207">
        <v>0</v>
      </c>
      <c r="F14" s="207">
        <v>0</v>
      </c>
      <c r="G14" s="207">
        <v>0</v>
      </c>
      <c r="H14" s="207">
        <v>0</v>
      </c>
      <c r="I14" s="207">
        <v>0</v>
      </c>
      <c r="J14" s="207">
        <v>0</v>
      </c>
      <c r="K14" s="207">
        <v>0</v>
      </c>
      <c r="L14" s="816">
        <v>0</v>
      </c>
      <c r="O14" s="212"/>
      <c r="P14" s="291"/>
      <c r="Q14" s="291"/>
      <c r="R14" s="291"/>
      <c r="S14" s="291"/>
      <c r="T14" s="291"/>
      <c r="U14" s="291"/>
    </row>
    <row r="15" spans="1:22" s="166" customFormat="1" ht="31.5" customHeight="1" x14ac:dyDescent="0.2">
      <c r="A15" s="1141" t="s">
        <v>92</v>
      </c>
      <c r="B15" s="1142"/>
      <c r="C15" s="207">
        <v>0</v>
      </c>
      <c r="D15" s="207">
        <v>0</v>
      </c>
      <c r="E15" s="207">
        <v>0</v>
      </c>
      <c r="F15" s="207">
        <v>0</v>
      </c>
      <c r="G15" s="207">
        <v>0</v>
      </c>
      <c r="H15" s="207">
        <v>0</v>
      </c>
      <c r="I15" s="207">
        <v>0</v>
      </c>
      <c r="J15" s="335"/>
      <c r="K15" s="335"/>
      <c r="L15" s="669"/>
      <c r="O15" s="212"/>
      <c r="P15" s="291"/>
      <c r="Q15" s="291"/>
      <c r="R15" s="291"/>
      <c r="S15" s="291"/>
      <c r="T15" s="291"/>
      <c r="U15" s="291"/>
    </row>
    <row r="16" spans="1:22" s="166" customFormat="1" ht="31.5" customHeight="1" thickBot="1" x14ac:dyDescent="0.25">
      <c r="A16" s="1149" t="s">
        <v>359</v>
      </c>
      <c r="B16" s="1150"/>
      <c r="C16" s="817">
        <v>0</v>
      </c>
      <c r="D16" s="817">
        <v>0</v>
      </c>
      <c r="E16" s="817">
        <v>0</v>
      </c>
      <c r="F16" s="817">
        <v>0</v>
      </c>
      <c r="G16" s="817">
        <v>0</v>
      </c>
      <c r="H16" s="817">
        <v>0</v>
      </c>
      <c r="I16" s="817">
        <v>0</v>
      </c>
      <c r="J16" s="817">
        <v>0</v>
      </c>
      <c r="K16" s="817">
        <v>0</v>
      </c>
      <c r="L16" s="818">
        <v>0</v>
      </c>
      <c r="O16" s="212"/>
      <c r="P16" s="291"/>
      <c r="Q16" s="291"/>
      <c r="R16" s="291"/>
      <c r="S16" s="291"/>
      <c r="T16" s="291"/>
      <c r="U16" s="291"/>
    </row>
    <row r="17" spans="1:21" s="166" customFormat="1" ht="13.5" customHeight="1" thickBot="1" x14ac:dyDescent="0.25">
      <c r="A17" s="670"/>
      <c r="B17" s="670"/>
      <c r="C17" s="671"/>
      <c r="D17" s="671"/>
      <c r="E17" s="671"/>
      <c r="F17" s="671"/>
      <c r="G17" s="671"/>
      <c r="H17" s="671"/>
      <c r="I17" s="671"/>
      <c r="J17" s="671"/>
      <c r="K17" s="671"/>
      <c r="L17" s="671"/>
      <c r="O17" s="212"/>
      <c r="P17" s="291"/>
      <c r="Q17" s="291"/>
      <c r="R17" s="291"/>
      <c r="S17" s="291"/>
      <c r="T17" s="291"/>
      <c r="U17" s="291"/>
    </row>
    <row r="18" spans="1:21" s="166" customFormat="1" ht="31.5" customHeight="1" thickBot="1" x14ac:dyDescent="0.25">
      <c r="A18" s="1145" t="s">
        <v>136</v>
      </c>
      <c r="B18" s="1146"/>
      <c r="C18" s="680">
        <f t="shared" ref="C18:L18" si="2">SUM(C19:C26)</f>
        <v>0</v>
      </c>
      <c r="D18" s="680">
        <f t="shared" si="2"/>
        <v>0</v>
      </c>
      <c r="E18" s="680">
        <f t="shared" si="2"/>
        <v>0</v>
      </c>
      <c r="F18" s="680">
        <f t="shared" si="2"/>
        <v>0</v>
      </c>
      <c r="G18" s="680">
        <f t="shared" si="2"/>
        <v>0</v>
      </c>
      <c r="H18" s="680">
        <f t="shared" si="2"/>
        <v>0</v>
      </c>
      <c r="I18" s="680">
        <f t="shared" si="2"/>
        <v>0</v>
      </c>
      <c r="J18" s="680">
        <f t="shared" si="2"/>
        <v>0</v>
      </c>
      <c r="K18" s="680">
        <f t="shared" si="2"/>
        <v>0</v>
      </c>
      <c r="L18" s="681">
        <f t="shared" si="2"/>
        <v>0</v>
      </c>
      <c r="N18" s="771"/>
      <c r="O18" s="212"/>
    </row>
    <row r="19" spans="1:21" s="166" customFormat="1" ht="31.5" customHeight="1" x14ac:dyDescent="0.2">
      <c r="A19" s="1139" t="s">
        <v>89</v>
      </c>
      <c r="B19" s="1140"/>
      <c r="C19" s="814">
        <v>0</v>
      </c>
      <c r="D19" s="814">
        <v>0</v>
      </c>
      <c r="E19" s="814">
        <v>0</v>
      </c>
      <c r="F19" s="814">
        <v>0</v>
      </c>
      <c r="G19" s="814">
        <v>0</v>
      </c>
      <c r="H19" s="814">
        <v>0</v>
      </c>
      <c r="I19" s="814">
        <v>0</v>
      </c>
      <c r="J19" s="814">
        <v>0</v>
      </c>
      <c r="K19" s="814">
        <v>0</v>
      </c>
      <c r="L19" s="815">
        <v>0</v>
      </c>
      <c r="O19" s="212"/>
    </row>
    <row r="20" spans="1:21" s="166" customFormat="1" ht="31.5" customHeight="1" x14ac:dyDescent="0.2">
      <c r="A20" s="1141" t="s">
        <v>331</v>
      </c>
      <c r="B20" s="1142"/>
      <c r="C20" s="335"/>
      <c r="D20" s="335"/>
      <c r="E20" s="335"/>
      <c r="F20" s="335"/>
      <c r="G20" s="335"/>
      <c r="H20" s="335"/>
      <c r="I20" s="335"/>
      <c r="J20" s="207">
        <v>0</v>
      </c>
      <c r="K20" s="207">
        <v>0</v>
      </c>
      <c r="L20" s="816">
        <v>0</v>
      </c>
      <c r="O20" s="212"/>
    </row>
    <row r="21" spans="1:21" s="166" customFormat="1" ht="31.5" customHeight="1" x14ac:dyDescent="0.2">
      <c r="A21" s="1141" t="s">
        <v>90</v>
      </c>
      <c r="B21" s="1142"/>
      <c r="C21" s="207">
        <v>0</v>
      </c>
      <c r="D21" s="207">
        <v>0</v>
      </c>
      <c r="E21" s="207">
        <v>0</v>
      </c>
      <c r="F21" s="207">
        <v>0</v>
      </c>
      <c r="G21" s="207">
        <v>0</v>
      </c>
      <c r="H21" s="207">
        <v>0</v>
      </c>
      <c r="I21" s="207">
        <v>0</v>
      </c>
      <c r="J21" s="207">
        <v>0</v>
      </c>
      <c r="K21" s="207">
        <v>0</v>
      </c>
      <c r="L21" s="816">
        <v>0</v>
      </c>
      <c r="O21" s="212"/>
    </row>
    <row r="22" spans="1:21" s="166" customFormat="1" ht="31.5" customHeight="1" x14ac:dyDescent="0.2">
      <c r="A22" s="1141" t="s">
        <v>332</v>
      </c>
      <c r="B22" s="1142"/>
      <c r="C22" s="207">
        <v>0</v>
      </c>
      <c r="D22" s="207">
        <v>0</v>
      </c>
      <c r="E22" s="207">
        <v>0</v>
      </c>
      <c r="F22" s="207">
        <v>0</v>
      </c>
      <c r="G22" s="207">
        <v>0</v>
      </c>
      <c r="H22" s="207">
        <v>0</v>
      </c>
      <c r="I22" s="207">
        <v>0</v>
      </c>
      <c r="J22" s="207">
        <v>0</v>
      </c>
      <c r="K22" s="207">
        <v>0</v>
      </c>
      <c r="L22" s="816">
        <v>0</v>
      </c>
      <c r="O22" s="212"/>
    </row>
    <row r="23" spans="1:21" s="166" customFormat="1" ht="31.5" customHeight="1" x14ac:dyDescent="0.2">
      <c r="A23" s="1141" t="s">
        <v>168</v>
      </c>
      <c r="B23" s="1142"/>
      <c r="C23" s="335"/>
      <c r="D23" s="335"/>
      <c r="E23" s="335"/>
      <c r="F23" s="335"/>
      <c r="G23" s="335"/>
      <c r="H23" s="335"/>
      <c r="I23" s="207">
        <v>0</v>
      </c>
      <c r="J23" s="207">
        <v>0</v>
      </c>
      <c r="K23" s="207">
        <v>0</v>
      </c>
      <c r="L23" s="816">
        <v>0</v>
      </c>
      <c r="O23" s="212"/>
    </row>
    <row r="24" spans="1:21" s="166" customFormat="1" ht="31.5" customHeight="1" x14ac:dyDescent="0.2">
      <c r="A24" s="1141" t="s">
        <v>91</v>
      </c>
      <c r="B24" s="1142"/>
      <c r="C24" s="207">
        <v>0</v>
      </c>
      <c r="D24" s="207">
        <v>0</v>
      </c>
      <c r="E24" s="207">
        <v>0</v>
      </c>
      <c r="F24" s="207">
        <v>0</v>
      </c>
      <c r="G24" s="207">
        <v>0</v>
      </c>
      <c r="H24" s="207">
        <v>0</v>
      </c>
      <c r="I24" s="207">
        <v>0</v>
      </c>
      <c r="J24" s="207">
        <v>0</v>
      </c>
      <c r="K24" s="207">
        <v>0</v>
      </c>
      <c r="L24" s="816">
        <v>0</v>
      </c>
      <c r="O24" s="212"/>
    </row>
    <row r="25" spans="1:21" s="166" customFormat="1" ht="31.5" customHeight="1" x14ac:dyDescent="0.2">
      <c r="A25" s="1141" t="s">
        <v>92</v>
      </c>
      <c r="B25" s="1142"/>
      <c r="C25" s="207">
        <v>0</v>
      </c>
      <c r="D25" s="207">
        <v>0</v>
      </c>
      <c r="E25" s="207">
        <v>0</v>
      </c>
      <c r="F25" s="207">
        <v>0</v>
      </c>
      <c r="G25" s="207">
        <v>0</v>
      </c>
      <c r="H25" s="207">
        <v>0</v>
      </c>
      <c r="I25" s="207">
        <v>0</v>
      </c>
      <c r="J25" s="335"/>
      <c r="K25" s="335"/>
      <c r="L25" s="669"/>
      <c r="O25" s="212"/>
    </row>
    <row r="26" spans="1:21" s="166" customFormat="1" ht="31.5" customHeight="1" thickBot="1" x14ac:dyDescent="0.25">
      <c r="A26" s="1149" t="s">
        <v>359</v>
      </c>
      <c r="B26" s="1150"/>
      <c r="C26" s="817">
        <v>0</v>
      </c>
      <c r="D26" s="817">
        <v>0</v>
      </c>
      <c r="E26" s="817">
        <v>0</v>
      </c>
      <c r="F26" s="817">
        <v>0</v>
      </c>
      <c r="G26" s="817">
        <v>0</v>
      </c>
      <c r="H26" s="817">
        <v>0</v>
      </c>
      <c r="I26" s="817">
        <v>0</v>
      </c>
      <c r="J26" s="817">
        <v>0</v>
      </c>
      <c r="K26" s="817">
        <v>0</v>
      </c>
      <c r="L26" s="818">
        <v>0</v>
      </c>
      <c r="O26" s="212"/>
    </row>
    <row r="27" spans="1:21" s="166" customFormat="1" ht="13.5" customHeight="1" thickBot="1" x14ac:dyDescent="0.25">
      <c r="A27" s="670"/>
      <c r="B27" s="670"/>
      <c r="C27" s="671"/>
      <c r="D27" s="671"/>
      <c r="E27" s="671"/>
      <c r="F27" s="671"/>
      <c r="G27" s="671"/>
      <c r="H27" s="671"/>
      <c r="I27" s="671"/>
      <c r="J27" s="671"/>
      <c r="K27" s="671"/>
      <c r="L27" s="671"/>
      <c r="O27" s="212"/>
      <c r="P27" s="291"/>
      <c r="Q27" s="291"/>
      <c r="R27" s="291"/>
      <c r="S27" s="291"/>
      <c r="T27" s="291"/>
      <c r="U27" s="291"/>
    </row>
    <row r="28" spans="1:21" s="175" customFormat="1" ht="31.5" customHeight="1" thickBot="1" x14ac:dyDescent="0.25">
      <c r="A28" s="1147" t="s">
        <v>124</v>
      </c>
      <c r="B28" s="1148"/>
      <c r="C28" s="678">
        <f t="shared" ref="C28:L28" si="3">SUM(C29:C36)</f>
        <v>0</v>
      </c>
      <c r="D28" s="678">
        <f t="shared" si="3"/>
        <v>0</v>
      </c>
      <c r="E28" s="678">
        <f t="shared" si="3"/>
        <v>0</v>
      </c>
      <c r="F28" s="678">
        <f t="shared" si="3"/>
        <v>0</v>
      </c>
      <c r="G28" s="678">
        <f t="shared" si="3"/>
        <v>0</v>
      </c>
      <c r="H28" s="678">
        <f t="shared" si="3"/>
        <v>0</v>
      </c>
      <c r="I28" s="678">
        <f t="shared" si="3"/>
        <v>0</v>
      </c>
      <c r="J28" s="678">
        <f t="shared" si="3"/>
        <v>0</v>
      </c>
      <c r="K28" s="678">
        <f t="shared" si="3"/>
        <v>0</v>
      </c>
      <c r="L28" s="679">
        <f t="shared" si="3"/>
        <v>0</v>
      </c>
    </row>
    <row r="29" spans="1:21" s="216" customFormat="1" ht="31.5" customHeight="1" x14ac:dyDescent="0.2">
      <c r="A29" s="1139" t="s">
        <v>89</v>
      </c>
      <c r="B29" s="1140"/>
      <c r="C29" s="676">
        <f t="shared" ref="C29:H29" si="4">+C9-C19</f>
        <v>0</v>
      </c>
      <c r="D29" s="676">
        <f t="shared" si="4"/>
        <v>0</v>
      </c>
      <c r="E29" s="676">
        <f t="shared" si="4"/>
        <v>0</v>
      </c>
      <c r="F29" s="676">
        <f t="shared" si="4"/>
        <v>0</v>
      </c>
      <c r="G29" s="676">
        <f t="shared" si="4"/>
        <v>0</v>
      </c>
      <c r="H29" s="676">
        <f t="shared" si="4"/>
        <v>0</v>
      </c>
      <c r="I29" s="676">
        <f>+(I9-I19)+(I12-I22)+(I13-I23)</f>
        <v>0</v>
      </c>
      <c r="J29" s="676">
        <f>+IF($C$5="elektriciteit",0,IF($C$5="gas",(J9-J19)+(J13-J23),0))</f>
        <v>0</v>
      </c>
      <c r="K29" s="676">
        <f>+IF($C$5="elektriciteit",0,IF($C$5="gas",(K9-K19)+(K13-K23),0))</f>
        <v>0</v>
      </c>
      <c r="L29" s="677">
        <f>+IF($C$5="elektriciteit",0,IF($C$5="gas",(L9-L19)+(L13-L23),0))</f>
        <v>0</v>
      </c>
      <c r="O29" s="217"/>
    </row>
    <row r="30" spans="1:21" s="216" customFormat="1" ht="31.5" customHeight="1" x14ac:dyDescent="0.2">
      <c r="A30" s="1141" t="s">
        <v>331</v>
      </c>
      <c r="B30" s="1142"/>
      <c r="C30" s="334"/>
      <c r="D30" s="334"/>
      <c r="E30" s="334"/>
      <c r="F30" s="334"/>
      <c r="G30" s="334"/>
      <c r="H30" s="334"/>
      <c r="I30" s="334"/>
      <c r="J30" s="176">
        <f>+IF($C$5="elektriciteit",(J10-J20)+(J12-J22)+(J13-J23),IF($C$5="gas",0))</f>
        <v>0</v>
      </c>
      <c r="K30" s="176">
        <f>+IF($C$5="elektriciteit",(K10-K20)+(K12-K22)+(K13-K23),IF($C$5="gas",0))</f>
        <v>0</v>
      </c>
      <c r="L30" s="672">
        <f>+IF($C$5="elektriciteit",(L10-L20)+(L12-L22)+(L13-L23),IF($C$5="gas",0))</f>
        <v>0</v>
      </c>
      <c r="O30" s="217"/>
    </row>
    <row r="31" spans="1:21" s="216" customFormat="1" ht="31.5" customHeight="1" x14ac:dyDescent="0.2">
      <c r="A31" s="1141" t="s">
        <v>90</v>
      </c>
      <c r="B31" s="1142"/>
      <c r="C31" s="176">
        <f t="shared" ref="C31:L31" si="5">+C11-C21</f>
        <v>0</v>
      </c>
      <c r="D31" s="176">
        <f t="shared" si="5"/>
        <v>0</v>
      </c>
      <c r="E31" s="176">
        <f t="shared" si="5"/>
        <v>0</v>
      </c>
      <c r="F31" s="176">
        <f t="shared" si="5"/>
        <v>0</v>
      </c>
      <c r="G31" s="176">
        <f t="shared" si="5"/>
        <v>0</v>
      </c>
      <c r="H31" s="176">
        <f t="shared" si="5"/>
        <v>0</v>
      </c>
      <c r="I31" s="176">
        <f t="shared" si="5"/>
        <v>0</v>
      </c>
      <c r="J31" s="176">
        <f t="shared" si="5"/>
        <v>0</v>
      </c>
      <c r="K31" s="176">
        <f t="shared" si="5"/>
        <v>0</v>
      </c>
      <c r="L31" s="672">
        <f t="shared" si="5"/>
        <v>0</v>
      </c>
      <c r="O31" s="217"/>
    </row>
    <row r="32" spans="1:21" s="216" customFormat="1" ht="31.5" customHeight="1" x14ac:dyDescent="0.2">
      <c r="A32" s="1141" t="s">
        <v>332</v>
      </c>
      <c r="B32" s="1142"/>
      <c r="C32" s="176">
        <f t="shared" ref="C32:H32" si="6">+C12-C22</f>
        <v>0</v>
      </c>
      <c r="D32" s="176">
        <f t="shared" si="6"/>
        <v>0</v>
      </c>
      <c r="E32" s="176">
        <f t="shared" si="6"/>
        <v>0</v>
      </c>
      <c r="F32" s="176">
        <f t="shared" si="6"/>
        <v>0</v>
      </c>
      <c r="G32" s="176">
        <f t="shared" si="6"/>
        <v>0</v>
      </c>
      <c r="H32" s="176">
        <f t="shared" si="6"/>
        <v>0</v>
      </c>
      <c r="I32" s="334"/>
      <c r="J32" s="334"/>
      <c r="K32" s="334"/>
      <c r="L32" s="673"/>
      <c r="O32" s="217"/>
    </row>
    <row r="33" spans="1:33" s="216" customFormat="1" ht="31.5" customHeight="1" x14ac:dyDescent="0.2">
      <c r="A33" s="1141" t="s">
        <v>168</v>
      </c>
      <c r="B33" s="1142"/>
      <c r="C33" s="334"/>
      <c r="D33" s="334"/>
      <c r="E33" s="334"/>
      <c r="F33" s="334"/>
      <c r="G33" s="334"/>
      <c r="H33" s="334"/>
      <c r="I33" s="334"/>
      <c r="J33" s="334"/>
      <c r="K33" s="334"/>
      <c r="L33" s="673"/>
      <c r="O33" s="217"/>
    </row>
    <row r="34" spans="1:33" s="216" customFormat="1" ht="31.5" customHeight="1" x14ac:dyDescent="0.2">
      <c r="A34" s="1141" t="s">
        <v>91</v>
      </c>
      <c r="B34" s="1142"/>
      <c r="C34" s="176">
        <f t="shared" ref="C34:H36" si="7">+C14-C24</f>
        <v>0</v>
      </c>
      <c r="D34" s="176">
        <f t="shared" si="7"/>
        <v>0</v>
      </c>
      <c r="E34" s="176">
        <f t="shared" si="7"/>
        <v>0</v>
      </c>
      <c r="F34" s="176">
        <f t="shared" si="7"/>
        <v>0</v>
      </c>
      <c r="G34" s="176">
        <f t="shared" si="7"/>
        <v>0</v>
      </c>
      <c r="H34" s="176">
        <f t="shared" si="7"/>
        <v>0</v>
      </c>
      <c r="I34" s="176">
        <f t="shared" ref="I34:L34" si="8">+I14-I24</f>
        <v>0</v>
      </c>
      <c r="J34" s="176">
        <f t="shared" si="8"/>
        <v>0</v>
      </c>
      <c r="K34" s="176">
        <f t="shared" si="8"/>
        <v>0</v>
      </c>
      <c r="L34" s="672">
        <f t="shared" si="8"/>
        <v>0</v>
      </c>
      <c r="O34" s="217"/>
    </row>
    <row r="35" spans="1:33" s="216" customFormat="1" ht="31.5" customHeight="1" x14ac:dyDescent="0.2">
      <c r="A35" s="1141" t="s">
        <v>92</v>
      </c>
      <c r="B35" s="1142"/>
      <c r="C35" s="176">
        <f t="shared" si="7"/>
        <v>0</v>
      </c>
      <c r="D35" s="176">
        <f t="shared" si="7"/>
        <v>0</v>
      </c>
      <c r="E35" s="176">
        <f t="shared" si="7"/>
        <v>0</v>
      </c>
      <c r="F35" s="176">
        <f t="shared" si="7"/>
        <v>0</v>
      </c>
      <c r="G35" s="176">
        <f t="shared" si="7"/>
        <v>0</v>
      </c>
      <c r="H35" s="176">
        <f t="shared" si="7"/>
        <v>0</v>
      </c>
      <c r="I35" s="176">
        <f>+I15-I25</f>
        <v>0</v>
      </c>
      <c r="J35" s="334"/>
      <c r="K35" s="334"/>
      <c r="L35" s="673"/>
      <c r="O35" s="217"/>
    </row>
    <row r="36" spans="1:33" s="216" customFormat="1" ht="31.5" customHeight="1" thickBot="1" x14ac:dyDescent="0.25">
      <c r="A36" s="1149" t="s">
        <v>359</v>
      </c>
      <c r="B36" s="1150"/>
      <c r="C36" s="674">
        <f t="shared" si="7"/>
        <v>0</v>
      </c>
      <c r="D36" s="674">
        <f t="shared" si="7"/>
        <v>0</v>
      </c>
      <c r="E36" s="674">
        <f t="shared" si="7"/>
        <v>0</v>
      </c>
      <c r="F36" s="674">
        <f t="shared" si="7"/>
        <v>0</v>
      </c>
      <c r="G36" s="674">
        <f t="shared" si="7"/>
        <v>0</v>
      </c>
      <c r="H36" s="674">
        <f t="shared" si="7"/>
        <v>0</v>
      </c>
      <c r="I36" s="674">
        <f>+I16-I26</f>
        <v>0</v>
      </c>
      <c r="J36" s="674">
        <f>+J16-J26</f>
        <v>0</v>
      </c>
      <c r="K36" s="674">
        <f>+K16-K26</f>
        <v>0</v>
      </c>
      <c r="L36" s="675">
        <f>+L16-L26</f>
        <v>0</v>
      </c>
      <c r="O36" s="217"/>
    </row>
    <row r="37" spans="1:33" s="166" customFormat="1" x14ac:dyDescent="0.2">
      <c r="A37" s="216"/>
      <c r="C37" s="233" t="s">
        <v>132</v>
      </c>
      <c r="O37" s="212"/>
    </row>
    <row r="38" spans="1:33" s="166" customFormat="1" x14ac:dyDescent="0.2">
      <c r="A38" s="216"/>
      <c r="C38" s="235" t="s">
        <v>101</v>
      </c>
      <c r="O38" s="212"/>
    </row>
    <row r="39" spans="1:33" s="166" customFormat="1" x14ac:dyDescent="0.2">
      <c r="A39" s="216"/>
      <c r="C39" s="212"/>
      <c r="O39" s="212"/>
    </row>
    <row r="40" spans="1:33" ht="14.25" customHeight="1" thickBot="1" x14ac:dyDescent="0.25">
      <c r="A40" s="224"/>
      <c r="B40" s="328"/>
      <c r="C40" s="328"/>
      <c r="D40" s="328"/>
      <c r="E40" s="328"/>
      <c r="F40" s="328"/>
      <c r="G40" s="328"/>
      <c r="H40" s="328"/>
      <c r="I40" s="328"/>
      <c r="J40" s="328"/>
      <c r="K40" s="328"/>
      <c r="L40" s="328"/>
      <c r="M40" s="328"/>
      <c r="N40" s="328"/>
      <c r="O40" s="227"/>
      <c r="P40" s="227"/>
    </row>
    <row r="41" spans="1:33" s="178" customFormat="1" ht="20.100000000000001" customHeight="1" thickBot="1" x14ac:dyDescent="0.25">
      <c r="A41" s="1077" t="s">
        <v>40</v>
      </c>
      <c r="B41" s="1078"/>
      <c r="C41" s="1078"/>
      <c r="D41" s="1078"/>
      <c r="E41" s="1078"/>
      <c r="F41" s="1078"/>
      <c r="G41" s="1078"/>
      <c r="H41" s="1078"/>
      <c r="I41" s="1078"/>
      <c r="J41" s="1078"/>
      <c r="K41" s="1078"/>
      <c r="L41" s="1078"/>
      <c r="M41" s="1078"/>
      <c r="N41" s="1079"/>
      <c r="O41" s="227"/>
      <c r="P41" s="227"/>
      <c r="Q41" s="177"/>
      <c r="R41" s="177"/>
      <c r="S41" s="177"/>
      <c r="T41" s="177"/>
      <c r="U41" s="177"/>
      <c r="V41" s="177"/>
      <c r="W41" s="177"/>
      <c r="X41" s="177"/>
      <c r="Y41" s="177"/>
      <c r="Z41" s="177"/>
      <c r="AA41" s="177"/>
      <c r="AB41" s="177"/>
      <c r="AC41" s="177"/>
      <c r="AD41" s="177"/>
      <c r="AE41" s="177"/>
      <c r="AF41" s="177"/>
      <c r="AG41" s="177"/>
    </row>
    <row r="42" spans="1:33" ht="13.5" thickBot="1" x14ac:dyDescent="0.25"/>
    <row r="43" spans="1:33" s="178" customFormat="1" ht="17.25" thickBot="1" x14ac:dyDescent="0.25">
      <c r="A43" s="177"/>
      <c r="B43" s="177"/>
      <c r="C43" s="1080" t="s">
        <v>31</v>
      </c>
      <c r="D43" s="1081"/>
      <c r="E43" s="1081"/>
      <c r="F43" s="1081"/>
      <c r="G43" s="1081"/>
      <c r="H43" s="1081"/>
      <c r="I43" s="1081"/>
      <c r="J43" s="1081"/>
      <c r="K43" s="1081"/>
      <c r="L43" s="1082"/>
      <c r="M43" s="177"/>
      <c r="N43" s="177"/>
      <c r="O43" s="177"/>
      <c r="P43" s="177"/>
      <c r="Q43" s="177"/>
      <c r="R43" s="177"/>
      <c r="S43" s="177"/>
      <c r="T43" s="177"/>
      <c r="U43" s="177"/>
      <c r="V43" s="177"/>
      <c r="W43" s="177"/>
      <c r="X43" s="177"/>
      <c r="Y43" s="177"/>
      <c r="Z43" s="177"/>
      <c r="AA43" s="177"/>
      <c r="AB43" s="177"/>
      <c r="AC43" s="177"/>
      <c r="AD43" s="177"/>
      <c r="AE43" s="177"/>
      <c r="AF43" s="177"/>
      <c r="AG43" s="177"/>
    </row>
    <row r="44" spans="1:33" s="178" customFormat="1" ht="13.5" thickBot="1" x14ac:dyDescent="0.25">
      <c r="A44" s="177"/>
      <c r="B44" s="177"/>
      <c r="C44" s="329">
        <f t="shared" ref="C44:L44" si="9">+C7</f>
        <v>2015</v>
      </c>
      <c r="D44" s="330">
        <f t="shared" si="9"/>
        <v>2016</v>
      </c>
      <c r="E44" s="330">
        <f t="shared" si="9"/>
        <v>2017</v>
      </c>
      <c r="F44" s="330">
        <f t="shared" si="9"/>
        <v>2018</v>
      </c>
      <c r="G44" s="330">
        <f t="shared" si="9"/>
        <v>2019</v>
      </c>
      <c r="H44" s="330">
        <f t="shared" si="9"/>
        <v>2020</v>
      </c>
      <c r="I44" s="330">
        <f t="shared" si="9"/>
        <v>2021</v>
      </c>
      <c r="J44" s="330">
        <f t="shared" si="9"/>
        <v>2022</v>
      </c>
      <c r="K44" s="330">
        <f t="shared" si="9"/>
        <v>2023</v>
      </c>
      <c r="L44" s="330">
        <f t="shared" si="9"/>
        <v>2024</v>
      </c>
      <c r="M44" s="177"/>
      <c r="N44" s="177"/>
      <c r="O44" s="177"/>
      <c r="P44" s="177"/>
      <c r="Q44" s="177"/>
      <c r="R44" s="177"/>
      <c r="S44" s="177"/>
      <c r="T44" s="177"/>
      <c r="U44" s="177"/>
      <c r="V44" s="177"/>
      <c r="W44" s="177"/>
      <c r="X44" s="177"/>
      <c r="Y44" s="177"/>
      <c r="Z44" s="177"/>
      <c r="AA44" s="177"/>
      <c r="AB44" s="177"/>
      <c r="AC44" s="177"/>
      <c r="AD44" s="177"/>
      <c r="AE44" s="177"/>
      <c r="AF44" s="177"/>
      <c r="AG44" s="177"/>
    </row>
    <row r="45" spans="1:33" s="178" customFormat="1" x14ac:dyDescent="0.2">
      <c r="A45" s="177"/>
      <c r="B45" s="177"/>
      <c r="C45" s="800">
        <f>+C28</f>
        <v>0</v>
      </c>
      <c r="D45" s="800">
        <f t="shared" ref="D45:L45" si="10">+D28</f>
        <v>0</v>
      </c>
      <c r="E45" s="800">
        <f t="shared" si="10"/>
        <v>0</v>
      </c>
      <c r="F45" s="800">
        <f t="shared" si="10"/>
        <v>0</v>
      </c>
      <c r="G45" s="800">
        <f t="shared" si="10"/>
        <v>0</v>
      </c>
      <c r="H45" s="800">
        <f t="shared" si="10"/>
        <v>0</v>
      </c>
      <c r="I45" s="800">
        <f t="shared" si="10"/>
        <v>0</v>
      </c>
      <c r="J45" s="800">
        <f t="shared" si="10"/>
        <v>0</v>
      </c>
      <c r="K45" s="800">
        <f t="shared" si="10"/>
        <v>0</v>
      </c>
      <c r="L45" s="800">
        <f t="shared" si="10"/>
        <v>0</v>
      </c>
      <c r="M45" s="177"/>
      <c r="N45" s="177"/>
      <c r="O45" s="177"/>
      <c r="P45" s="177"/>
      <c r="Q45" s="177"/>
      <c r="R45" s="177"/>
      <c r="S45" s="177"/>
      <c r="T45" s="177"/>
      <c r="U45" s="177"/>
      <c r="V45" s="177"/>
      <c r="W45" s="177"/>
      <c r="X45" s="177"/>
      <c r="Y45" s="177"/>
      <c r="Z45" s="177"/>
      <c r="AA45" s="177"/>
      <c r="AB45" s="177"/>
      <c r="AC45" s="177"/>
      <c r="AD45" s="177"/>
      <c r="AE45" s="177"/>
      <c r="AF45" s="177"/>
      <c r="AG45" s="177"/>
    </row>
    <row r="46" spans="1:33" x14ac:dyDescent="0.2">
      <c r="C46" s="233" t="s">
        <v>132</v>
      </c>
      <c r="F46" s="234"/>
      <c r="G46" s="234"/>
      <c r="H46" s="234"/>
      <c r="I46" s="234"/>
      <c r="J46" s="234"/>
      <c r="K46" s="234"/>
      <c r="L46" s="234"/>
    </row>
    <row r="47" spans="1:33" x14ac:dyDescent="0.2">
      <c r="C47" s="235" t="s">
        <v>101</v>
      </c>
    </row>
    <row r="48" spans="1:33" x14ac:dyDescent="0.2">
      <c r="C48" s="236"/>
    </row>
    <row r="49" spans="1:33" ht="13.5" thickBot="1" x14ac:dyDescent="0.25">
      <c r="C49" s="236"/>
    </row>
    <row r="50" spans="1:33" ht="18.95" customHeight="1" thickBot="1" x14ac:dyDescent="0.25">
      <c r="A50" s="1077" t="s">
        <v>18</v>
      </c>
      <c r="B50" s="1078"/>
      <c r="C50" s="1078"/>
      <c r="D50" s="1078"/>
      <c r="E50" s="1078"/>
      <c r="F50" s="1078"/>
      <c r="G50" s="1078"/>
      <c r="H50" s="1078"/>
      <c r="I50" s="1078"/>
      <c r="J50" s="1078"/>
      <c r="K50" s="1078"/>
      <c r="L50" s="1078"/>
      <c r="M50" s="1078"/>
      <c r="N50" s="1079"/>
      <c r="O50" s="1138"/>
      <c r="P50" s="1138"/>
    </row>
    <row r="52" spans="1:33" x14ac:dyDescent="0.2">
      <c r="C52" s="233" t="s">
        <v>132</v>
      </c>
    </row>
    <row r="53" spans="1:33" x14ac:dyDescent="0.2">
      <c r="C53" s="235" t="s">
        <v>101</v>
      </c>
    </row>
    <row r="54" spans="1:33" ht="16.5" x14ac:dyDescent="0.2">
      <c r="C54" s="1094" t="s">
        <v>19</v>
      </c>
      <c r="D54" s="1095"/>
      <c r="E54" s="1095"/>
      <c r="F54" s="1095"/>
      <c r="G54" s="1095"/>
      <c r="H54" s="1095"/>
      <c r="I54" s="1095"/>
      <c r="J54" s="1095"/>
      <c r="K54" s="1095"/>
      <c r="L54" s="1096"/>
      <c r="N54" s="237" t="s">
        <v>20</v>
      </c>
    </row>
    <row r="55" spans="1:33" ht="13.5" thickBot="1" x14ac:dyDescent="0.25">
      <c r="A55" s="1097"/>
      <c r="B55" s="1097"/>
      <c r="C55" s="238">
        <f t="shared" ref="C55:L55" si="11">C44</f>
        <v>2015</v>
      </c>
      <c r="D55" s="239">
        <f t="shared" si="11"/>
        <v>2016</v>
      </c>
      <c r="E55" s="239">
        <f t="shared" si="11"/>
        <v>2017</v>
      </c>
      <c r="F55" s="239">
        <f t="shared" si="11"/>
        <v>2018</v>
      </c>
      <c r="G55" s="239">
        <f t="shared" si="11"/>
        <v>2019</v>
      </c>
      <c r="H55" s="239">
        <f t="shared" si="11"/>
        <v>2020</v>
      </c>
      <c r="I55" s="239">
        <f t="shared" si="11"/>
        <v>2021</v>
      </c>
      <c r="J55" s="239">
        <f t="shared" si="11"/>
        <v>2022</v>
      </c>
      <c r="K55" s="239">
        <f t="shared" si="11"/>
        <v>2023</v>
      </c>
      <c r="L55" s="239">
        <f t="shared" si="11"/>
        <v>2024</v>
      </c>
      <c r="N55" s="240"/>
    </row>
    <row r="56" spans="1:33" s="178" customFormat="1" ht="13.5" thickBot="1" x14ac:dyDescent="0.25">
      <c r="A56" s="1088" t="s">
        <v>21</v>
      </c>
      <c r="B56" s="241">
        <f>C44</f>
        <v>2015</v>
      </c>
      <c r="C56" s="802">
        <v>0</v>
      </c>
      <c r="D56" s="242"/>
      <c r="E56" s="242"/>
      <c r="F56" s="242"/>
      <c r="G56" s="242"/>
      <c r="H56" s="242"/>
      <c r="I56" s="242"/>
      <c r="J56" s="242"/>
      <c r="K56" s="242"/>
      <c r="L56" s="243"/>
      <c r="M56" s="244"/>
      <c r="N56" s="245">
        <f t="shared" ref="N56:N65" si="12">SUM(C56:L56)</f>
        <v>0</v>
      </c>
      <c r="O56" s="177"/>
      <c r="P56" s="177"/>
      <c r="Q56" s="177"/>
      <c r="R56" s="177"/>
      <c r="S56" s="177"/>
      <c r="T56" s="177"/>
      <c r="U56" s="177"/>
      <c r="V56" s="177"/>
      <c r="W56" s="177"/>
      <c r="X56" s="177"/>
      <c r="Y56" s="177"/>
      <c r="Z56" s="177"/>
      <c r="AA56" s="177"/>
      <c r="AB56" s="177"/>
      <c r="AC56" s="177"/>
      <c r="AD56" s="177"/>
      <c r="AE56" s="177"/>
      <c r="AF56" s="177"/>
      <c r="AG56" s="177"/>
    </row>
    <row r="57" spans="1:33" s="178" customFormat="1" ht="13.5" thickBot="1" x14ac:dyDescent="0.25">
      <c r="A57" s="1135"/>
      <c r="B57" s="281">
        <f>D44</f>
        <v>2016</v>
      </c>
      <c r="C57" s="331">
        <f>+C$45-C56</f>
        <v>0</v>
      </c>
      <c r="D57" s="802">
        <v>0</v>
      </c>
      <c r="E57" s="248"/>
      <c r="F57" s="248"/>
      <c r="G57" s="248"/>
      <c r="H57" s="248"/>
      <c r="I57" s="248"/>
      <c r="J57" s="248"/>
      <c r="K57" s="248"/>
      <c r="L57" s="249"/>
      <c r="M57" s="244"/>
      <c r="N57" s="245">
        <f t="shared" si="12"/>
        <v>0</v>
      </c>
      <c r="O57" s="177"/>
      <c r="P57" s="177"/>
      <c r="Q57" s="177"/>
      <c r="R57" s="177"/>
      <c r="S57" s="177"/>
      <c r="T57" s="177"/>
      <c r="U57" s="177"/>
      <c r="V57" s="177"/>
      <c r="W57" s="177"/>
      <c r="X57" s="177"/>
      <c r="Y57" s="177"/>
      <c r="Z57" s="177"/>
      <c r="AA57" s="177"/>
      <c r="AB57" s="177"/>
      <c r="AC57" s="177"/>
      <c r="AD57" s="177"/>
      <c r="AE57" s="177"/>
      <c r="AF57" s="177"/>
      <c r="AG57" s="177"/>
    </row>
    <row r="58" spans="1:33" s="178" customFormat="1" ht="13.5" thickBot="1" x14ac:dyDescent="0.25">
      <c r="A58" s="1135"/>
      <c r="B58" s="281">
        <f>E44</f>
        <v>2017</v>
      </c>
      <c r="C58" s="248"/>
      <c r="D58" s="331">
        <f>+D$45-D57</f>
        <v>0</v>
      </c>
      <c r="E58" s="802">
        <v>0</v>
      </c>
      <c r="F58" s="248"/>
      <c r="G58" s="248"/>
      <c r="H58" s="248"/>
      <c r="I58" s="248"/>
      <c r="J58" s="248"/>
      <c r="K58" s="248"/>
      <c r="L58" s="249"/>
      <c r="M58" s="244"/>
      <c r="N58" s="245">
        <f t="shared" si="12"/>
        <v>0</v>
      </c>
      <c r="O58" s="177"/>
      <c r="P58" s="177"/>
      <c r="Q58" s="177"/>
      <c r="R58" s="177"/>
      <c r="S58" s="177"/>
      <c r="T58" s="177"/>
      <c r="U58" s="177"/>
      <c r="V58" s="177"/>
      <c r="W58" s="177"/>
      <c r="X58" s="177"/>
      <c r="Y58" s="177"/>
      <c r="Z58" s="177"/>
      <c r="AA58" s="177"/>
      <c r="AB58" s="177"/>
      <c r="AC58" s="177"/>
      <c r="AD58" s="177"/>
      <c r="AE58" s="177"/>
      <c r="AF58" s="177"/>
      <c r="AG58" s="177"/>
    </row>
    <row r="59" spans="1:33" s="178" customFormat="1" ht="13.5" thickBot="1" x14ac:dyDescent="0.25">
      <c r="A59" s="1135"/>
      <c r="B59" s="281">
        <f>F44</f>
        <v>2018</v>
      </c>
      <c r="C59" s="248"/>
      <c r="D59" s="248"/>
      <c r="E59" s="331">
        <f>+E$45-E58</f>
        <v>0</v>
      </c>
      <c r="F59" s="802">
        <v>0</v>
      </c>
      <c r="G59" s="248"/>
      <c r="H59" s="248"/>
      <c r="I59" s="248"/>
      <c r="J59" s="248"/>
      <c r="K59" s="248"/>
      <c r="L59" s="249"/>
      <c r="M59" s="244"/>
      <c r="N59" s="245">
        <f t="shared" si="12"/>
        <v>0</v>
      </c>
      <c r="O59" s="177"/>
      <c r="P59" s="177"/>
      <c r="Q59" s="177"/>
      <c r="R59" s="177"/>
      <c r="S59" s="177"/>
      <c r="T59" s="177"/>
      <c r="U59" s="177"/>
      <c r="V59" s="177"/>
      <c r="W59" s="177"/>
      <c r="X59" s="177"/>
      <c r="Y59" s="177"/>
      <c r="Z59" s="177"/>
      <c r="AA59" s="177"/>
      <c r="AB59" s="177"/>
      <c r="AC59" s="177"/>
      <c r="AD59" s="177"/>
      <c r="AE59" s="177"/>
      <c r="AF59" s="177"/>
      <c r="AG59" s="177"/>
    </row>
    <row r="60" spans="1:33" s="178" customFormat="1" ht="13.5" thickBot="1" x14ac:dyDescent="0.25">
      <c r="A60" s="1135"/>
      <c r="B60" s="281">
        <f>G44</f>
        <v>2019</v>
      </c>
      <c r="C60" s="248"/>
      <c r="D60" s="248"/>
      <c r="E60" s="248"/>
      <c r="F60" s="331">
        <f>+F$45-F59</f>
        <v>0</v>
      </c>
      <c r="G60" s="802">
        <v>0</v>
      </c>
      <c r="H60" s="248"/>
      <c r="I60" s="248"/>
      <c r="J60" s="248"/>
      <c r="K60" s="248"/>
      <c r="L60" s="249"/>
      <c r="M60" s="244"/>
      <c r="N60" s="245">
        <f t="shared" si="12"/>
        <v>0</v>
      </c>
      <c r="O60" s="177"/>
      <c r="P60" s="177"/>
      <c r="Q60" s="177"/>
      <c r="R60" s="177"/>
      <c r="S60" s="177"/>
      <c r="T60" s="177"/>
      <c r="U60" s="177"/>
      <c r="V60" s="177"/>
      <c r="W60" s="177"/>
      <c r="X60" s="177"/>
      <c r="Y60" s="177"/>
      <c r="Z60" s="177"/>
      <c r="AA60" s="177"/>
      <c r="AB60" s="177"/>
      <c r="AC60" s="177"/>
      <c r="AD60" s="177"/>
      <c r="AE60" s="177"/>
      <c r="AF60" s="177"/>
      <c r="AG60" s="177"/>
    </row>
    <row r="61" spans="1:33" s="178" customFormat="1" ht="13.5" thickBot="1" x14ac:dyDescent="0.25">
      <c r="A61" s="1135"/>
      <c r="B61" s="281">
        <f>H44</f>
        <v>2020</v>
      </c>
      <c r="C61" s="248"/>
      <c r="D61" s="248"/>
      <c r="E61" s="248"/>
      <c r="F61" s="251"/>
      <c r="G61" s="331">
        <f>+G$45-G60</f>
        <v>0</v>
      </c>
      <c r="H61" s="802">
        <v>0</v>
      </c>
      <c r="I61" s="248"/>
      <c r="J61" s="248"/>
      <c r="K61" s="248"/>
      <c r="L61" s="249"/>
      <c r="M61" s="244"/>
      <c r="N61" s="245">
        <f t="shared" si="12"/>
        <v>0</v>
      </c>
      <c r="O61" s="177"/>
      <c r="P61" s="177"/>
      <c r="Q61" s="177"/>
      <c r="R61" s="177"/>
      <c r="S61" s="177"/>
      <c r="T61" s="177"/>
      <c r="U61" s="177"/>
      <c r="V61" s="177"/>
      <c r="W61" s="177"/>
      <c r="X61" s="177"/>
      <c r="Y61" s="177"/>
      <c r="Z61" s="177"/>
      <c r="AA61" s="177"/>
      <c r="AB61" s="177"/>
      <c r="AC61" s="177"/>
      <c r="AD61" s="177"/>
      <c r="AE61" s="177"/>
      <c r="AF61" s="177"/>
      <c r="AG61" s="177"/>
    </row>
    <row r="62" spans="1:33" s="178" customFormat="1" ht="13.5" thickBot="1" x14ac:dyDescent="0.25">
      <c r="A62" s="1135"/>
      <c r="B62" s="281">
        <f>I44</f>
        <v>2021</v>
      </c>
      <c r="C62" s="248"/>
      <c r="D62" s="248"/>
      <c r="E62" s="248"/>
      <c r="F62" s="251"/>
      <c r="G62" s="248"/>
      <c r="H62" s="331">
        <f>+H$45-H61</f>
        <v>0</v>
      </c>
      <c r="I62" s="802">
        <v>0</v>
      </c>
      <c r="J62" s="248"/>
      <c r="K62" s="248"/>
      <c r="L62" s="249"/>
      <c r="M62" s="244"/>
      <c r="N62" s="245">
        <f t="shared" si="12"/>
        <v>0</v>
      </c>
      <c r="O62" s="177"/>
      <c r="P62" s="177"/>
      <c r="Q62" s="177"/>
      <c r="R62" s="177"/>
      <c r="S62" s="177"/>
      <c r="T62" s="177"/>
      <c r="U62" s="177"/>
      <c r="V62" s="177"/>
      <c r="W62" s="177"/>
      <c r="X62" s="177"/>
      <c r="Y62" s="177"/>
      <c r="Z62" s="177"/>
      <c r="AA62" s="177"/>
      <c r="AB62" s="177"/>
      <c r="AC62" s="177"/>
      <c r="AD62" s="177"/>
      <c r="AE62" s="177"/>
      <c r="AF62" s="177"/>
      <c r="AG62" s="177"/>
    </row>
    <row r="63" spans="1:33" s="178" customFormat="1" ht="13.5" thickBot="1" x14ac:dyDescent="0.25">
      <c r="A63" s="1135"/>
      <c r="B63" s="281">
        <f>J44</f>
        <v>2022</v>
      </c>
      <c r="C63" s="248"/>
      <c r="D63" s="248"/>
      <c r="E63" s="248"/>
      <c r="F63" s="251"/>
      <c r="G63" s="248"/>
      <c r="H63" s="248"/>
      <c r="I63" s="331">
        <f>+I$45-I62</f>
        <v>0</v>
      </c>
      <c r="J63" s="802">
        <v>0</v>
      </c>
      <c r="K63" s="248"/>
      <c r="L63" s="249"/>
      <c r="M63" s="244"/>
      <c r="N63" s="245">
        <f t="shared" si="12"/>
        <v>0</v>
      </c>
      <c r="O63" s="177"/>
      <c r="P63" s="177"/>
      <c r="Q63" s="177"/>
      <c r="R63" s="177"/>
      <c r="S63" s="177"/>
      <c r="T63" s="177"/>
      <c r="U63" s="177"/>
      <c r="V63" s="177"/>
      <c r="W63" s="177"/>
      <c r="X63" s="177"/>
      <c r="Y63" s="177"/>
      <c r="Z63" s="177"/>
      <c r="AA63" s="177"/>
      <c r="AB63" s="177"/>
      <c r="AC63" s="177"/>
      <c r="AD63" s="177"/>
      <c r="AE63" s="177"/>
      <c r="AF63" s="177"/>
      <c r="AG63" s="177"/>
    </row>
    <row r="64" spans="1:33" s="178" customFormat="1" ht="13.5" thickBot="1" x14ac:dyDescent="0.25">
      <c r="A64" s="1135"/>
      <c r="B64" s="281">
        <f>K44</f>
        <v>2023</v>
      </c>
      <c r="C64" s="248"/>
      <c r="D64" s="248"/>
      <c r="E64" s="248"/>
      <c r="F64" s="251"/>
      <c r="G64" s="248"/>
      <c r="H64" s="248"/>
      <c r="I64" s="248"/>
      <c r="J64" s="331">
        <f>+J$45-J63</f>
        <v>0</v>
      </c>
      <c r="K64" s="802">
        <v>0</v>
      </c>
      <c r="L64" s="249"/>
      <c r="M64" s="244"/>
      <c r="N64" s="245">
        <f t="shared" si="12"/>
        <v>0</v>
      </c>
      <c r="O64" s="177"/>
      <c r="P64" s="177"/>
      <c r="Q64" s="177"/>
      <c r="R64" s="177"/>
      <c r="S64" s="177"/>
      <c r="T64" s="177"/>
      <c r="U64" s="177"/>
      <c r="V64" s="177"/>
      <c r="W64" s="177"/>
      <c r="X64" s="177"/>
      <c r="Y64" s="177"/>
      <c r="Z64" s="177"/>
      <c r="AA64" s="177"/>
      <c r="AB64" s="177"/>
      <c r="AC64" s="177"/>
      <c r="AD64" s="177"/>
      <c r="AE64" s="177"/>
      <c r="AF64" s="177"/>
      <c r="AG64" s="177"/>
    </row>
    <row r="65" spans="1:33" s="178" customFormat="1" ht="13.5" thickBot="1" x14ac:dyDescent="0.25">
      <c r="A65" s="1135"/>
      <c r="B65" s="281">
        <f>L44</f>
        <v>2024</v>
      </c>
      <c r="C65" s="248"/>
      <c r="D65" s="248"/>
      <c r="E65" s="248"/>
      <c r="F65" s="248"/>
      <c r="G65" s="248"/>
      <c r="H65" s="248"/>
      <c r="I65" s="251"/>
      <c r="J65" s="251"/>
      <c r="K65" s="331">
        <f>+K$45-K64</f>
        <v>0</v>
      </c>
      <c r="L65" s="802">
        <v>0</v>
      </c>
      <c r="M65" s="244"/>
      <c r="N65" s="245">
        <f t="shared" si="12"/>
        <v>0</v>
      </c>
      <c r="O65" s="177"/>
      <c r="P65" s="177"/>
      <c r="Q65" s="177"/>
      <c r="R65" s="177"/>
      <c r="S65" s="177"/>
      <c r="T65" s="177"/>
      <c r="U65" s="177"/>
      <c r="V65" s="177"/>
      <c r="W65" s="177"/>
      <c r="X65" s="177"/>
      <c r="Y65" s="177"/>
      <c r="Z65" s="177"/>
      <c r="AA65" s="177"/>
      <c r="AB65" s="177"/>
      <c r="AC65" s="177"/>
      <c r="AD65" s="177"/>
      <c r="AE65" s="177"/>
      <c r="AF65" s="177"/>
      <c r="AG65" s="177"/>
    </row>
    <row r="66" spans="1:33" s="256" customFormat="1" ht="15.75" x14ac:dyDescent="0.2">
      <c r="A66" s="1136"/>
      <c r="B66" s="326" t="s">
        <v>22</v>
      </c>
      <c r="C66" s="252">
        <f t="shared" ref="C66" si="13">SUM(C56:C65)</f>
        <v>0</v>
      </c>
      <c r="D66" s="252">
        <f t="shared" ref="D66:L66" si="14">SUM(D56:D65)</f>
        <v>0</v>
      </c>
      <c r="E66" s="252">
        <f t="shared" si="14"/>
        <v>0</v>
      </c>
      <c r="F66" s="252">
        <f t="shared" si="14"/>
        <v>0</v>
      </c>
      <c r="G66" s="252">
        <f t="shared" si="14"/>
        <v>0</v>
      </c>
      <c r="H66" s="252">
        <f t="shared" si="14"/>
        <v>0</v>
      </c>
      <c r="I66" s="252">
        <f t="shared" si="14"/>
        <v>0</v>
      </c>
      <c r="J66" s="252">
        <f t="shared" si="14"/>
        <v>0</v>
      </c>
      <c r="K66" s="252">
        <f t="shared" si="14"/>
        <v>0</v>
      </c>
      <c r="L66" s="282">
        <f t="shared" si="14"/>
        <v>0</v>
      </c>
      <c r="M66" s="253"/>
      <c r="N66" s="254">
        <f>SUM(N56:N65)</f>
        <v>0</v>
      </c>
      <c r="O66" s="255"/>
      <c r="P66" s="255"/>
      <c r="Q66" s="255"/>
      <c r="R66" s="255"/>
      <c r="S66" s="255"/>
      <c r="T66" s="255"/>
      <c r="U66" s="255"/>
      <c r="V66" s="255"/>
      <c r="W66" s="255"/>
      <c r="X66" s="255"/>
      <c r="Y66" s="255"/>
      <c r="Z66" s="255"/>
      <c r="AA66" s="255"/>
      <c r="AB66" s="255"/>
      <c r="AC66" s="255"/>
      <c r="AD66" s="255"/>
      <c r="AE66" s="255"/>
      <c r="AF66" s="255"/>
      <c r="AG66" s="255"/>
    </row>
    <row r="67" spans="1:33" s="235" customFormat="1" x14ac:dyDescent="0.2">
      <c r="A67" s="257" t="s">
        <v>34</v>
      </c>
      <c r="C67" s="258">
        <f>+C66+C83</f>
        <v>0</v>
      </c>
      <c r="D67" s="258">
        <f t="shared" ref="D67:L67" si="15">+D66+D83</f>
        <v>0</v>
      </c>
      <c r="E67" s="258">
        <f t="shared" si="15"/>
        <v>0</v>
      </c>
      <c r="F67" s="258">
        <f t="shared" si="15"/>
        <v>0</v>
      </c>
      <c r="G67" s="258">
        <f t="shared" si="15"/>
        <v>0</v>
      </c>
      <c r="H67" s="258">
        <f t="shared" si="15"/>
        <v>0</v>
      </c>
      <c r="I67" s="258">
        <f t="shared" si="15"/>
        <v>0</v>
      </c>
      <c r="J67" s="258">
        <f t="shared" si="15"/>
        <v>0</v>
      </c>
      <c r="K67" s="258">
        <f t="shared" si="15"/>
        <v>0</v>
      </c>
      <c r="L67" s="258">
        <f t="shared" si="15"/>
        <v>0</v>
      </c>
      <c r="M67" s="258"/>
      <c r="N67" s="258">
        <f>+N66+N83</f>
        <v>0</v>
      </c>
      <c r="O67" s="258"/>
    </row>
    <row r="68" spans="1:33" s="259" customFormat="1" x14ac:dyDescent="0.2">
      <c r="A68" s="235"/>
      <c r="B68" s="235"/>
      <c r="C68" s="258"/>
      <c r="D68" s="258"/>
      <c r="E68" s="258"/>
      <c r="F68" s="258"/>
      <c r="G68" s="258"/>
      <c r="H68" s="258"/>
      <c r="I68" s="258"/>
      <c r="J68" s="258"/>
      <c r="K68" s="258"/>
      <c r="L68" s="258"/>
      <c r="M68" s="235"/>
      <c r="N68" s="235"/>
      <c r="O68" s="235"/>
      <c r="P68" s="235"/>
      <c r="Q68" s="235"/>
      <c r="R68" s="235"/>
      <c r="S68" s="235"/>
      <c r="T68" s="235"/>
      <c r="U68" s="235"/>
      <c r="V68" s="235"/>
      <c r="W68" s="235"/>
      <c r="X68" s="235"/>
      <c r="Y68" s="235"/>
      <c r="Z68" s="235"/>
      <c r="AA68" s="235"/>
      <c r="AB68" s="235"/>
      <c r="AC68" s="235"/>
      <c r="AD68" s="235"/>
      <c r="AE68" s="235"/>
      <c r="AF68" s="235"/>
      <c r="AG68" s="235"/>
    </row>
    <row r="69" spans="1:33" s="235" customFormat="1" x14ac:dyDescent="0.2">
      <c r="C69" s="233" t="s">
        <v>129</v>
      </c>
      <c r="D69" s="258"/>
      <c r="E69" s="258"/>
      <c r="F69" s="258"/>
      <c r="G69" s="258"/>
      <c r="H69" s="258"/>
      <c r="I69" s="258"/>
      <c r="J69" s="258"/>
      <c r="K69" s="258"/>
      <c r="L69" s="258"/>
      <c r="M69" s="258"/>
      <c r="N69" s="258"/>
    </row>
    <row r="70" spans="1:33" x14ac:dyDescent="0.2">
      <c r="C70" s="233" t="s">
        <v>130</v>
      </c>
    </row>
    <row r="71" spans="1:33" s="178" customFormat="1" ht="16.5" x14ac:dyDescent="0.2">
      <c r="A71" s="177"/>
      <c r="B71" s="177"/>
      <c r="C71" s="1085" t="s">
        <v>19</v>
      </c>
      <c r="D71" s="1086"/>
      <c r="E71" s="1086"/>
      <c r="F71" s="1086"/>
      <c r="G71" s="1086"/>
      <c r="H71" s="1086"/>
      <c r="I71" s="1086"/>
      <c r="J71" s="1086"/>
      <c r="K71" s="1086"/>
      <c r="L71" s="1087"/>
      <c r="M71" s="177"/>
      <c r="N71" s="237" t="s">
        <v>20</v>
      </c>
      <c r="O71" s="177"/>
      <c r="P71" s="237" t="s">
        <v>20</v>
      </c>
      <c r="Q71" s="177"/>
      <c r="R71" s="177"/>
      <c r="S71" s="177"/>
      <c r="T71" s="177"/>
      <c r="U71" s="177"/>
      <c r="V71" s="177"/>
      <c r="W71" s="177"/>
      <c r="X71" s="177"/>
      <c r="Y71" s="177"/>
      <c r="Z71" s="177"/>
      <c r="AA71" s="177"/>
      <c r="AB71" s="177"/>
      <c r="AC71" s="177"/>
      <c r="AD71" s="177"/>
      <c r="AE71" s="177"/>
      <c r="AF71" s="177"/>
      <c r="AG71" s="177"/>
    </row>
    <row r="72" spans="1:33" s="178" customFormat="1" x14ac:dyDescent="0.2">
      <c r="A72" s="177"/>
      <c r="B72" s="177"/>
      <c r="C72" s="239">
        <f>+C55</f>
        <v>2015</v>
      </c>
      <c r="D72" s="239">
        <f t="shared" ref="D72:L72" si="16">+D55</f>
        <v>2016</v>
      </c>
      <c r="E72" s="239">
        <f t="shared" si="16"/>
        <v>2017</v>
      </c>
      <c r="F72" s="239">
        <f t="shared" si="16"/>
        <v>2018</v>
      </c>
      <c r="G72" s="239">
        <f t="shared" si="16"/>
        <v>2019</v>
      </c>
      <c r="H72" s="239">
        <f t="shared" si="16"/>
        <v>2020</v>
      </c>
      <c r="I72" s="239">
        <f t="shared" si="16"/>
        <v>2021</v>
      </c>
      <c r="J72" s="239">
        <f t="shared" si="16"/>
        <v>2022</v>
      </c>
      <c r="K72" s="239">
        <f t="shared" si="16"/>
        <v>2023</v>
      </c>
      <c r="L72" s="239">
        <f t="shared" si="16"/>
        <v>2024</v>
      </c>
      <c r="M72" s="177"/>
      <c r="N72" s="240" t="s">
        <v>23</v>
      </c>
      <c r="O72" s="177"/>
      <c r="P72" s="240" t="s">
        <v>24</v>
      </c>
      <c r="Q72" s="177"/>
      <c r="R72" s="177"/>
      <c r="S72" s="177"/>
      <c r="T72" s="177"/>
      <c r="U72" s="177"/>
      <c r="V72" s="177"/>
      <c r="W72" s="177"/>
      <c r="X72" s="177"/>
      <c r="Y72" s="177"/>
      <c r="Z72" s="177"/>
      <c r="AA72" s="177"/>
      <c r="AB72" s="177"/>
      <c r="AC72" s="177"/>
      <c r="AD72" s="177"/>
      <c r="AE72" s="177"/>
      <c r="AF72" s="177"/>
      <c r="AG72" s="177"/>
    </row>
    <row r="73" spans="1:33" s="178" customFormat="1" ht="12.75" customHeight="1" x14ac:dyDescent="0.2">
      <c r="A73" s="1098" t="s">
        <v>93</v>
      </c>
      <c r="B73" s="260">
        <f>+B56</f>
        <v>2015</v>
      </c>
      <c r="C73" s="261"/>
      <c r="D73" s="261"/>
      <c r="E73" s="261"/>
      <c r="F73" s="261"/>
      <c r="G73" s="261"/>
      <c r="H73" s="261"/>
      <c r="I73" s="261"/>
      <c r="J73" s="261"/>
      <c r="K73" s="261"/>
      <c r="L73" s="262"/>
      <c r="M73" s="244"/>
      <c r="N73" s="245">
        <f t="shared" ref="N73:N82" si="17">SUM(C73:L73)</f>
        <v>0</v>
      </c>
      <c r="O73" s="244"/>
      <c r="P73" s="263">
        <f>SUM(N56,N73)</f>
        <v>0</v>
      </c>
      <c r="Q73" s="177"/>
      <c r="R73" s="177"/>
      <c r="S73" s="177"/>
      <c r="T73" s="177"/>
      <c r="U73" s="177"/>
      <c r="V73" s="177"/>
      <c r="W73" s="177"/>
      <c r="X73" s="177"/>
      <c r="Y73" s="177"/>
      <c r="Z73" s="177"/>
      <c r="AA73" s="177"/>
      <c r="AB73" s="177"/>
      <c r="AC73" s="177"/>
      <c r="AD73" s="177"/>
      <c r="AE73" s="177"/>
      <c r="AF73" s="177"/>
      <c r="AG73" s="177"/>
    </row>
    <row r="74" spans="1:33" s="178" customFormat="1" ht="12.75" customHeight="1" x14ac:dyDescent="0.2">
      <c r="A74" s="1099"/>
      <c r="B74" s="260">
        <f t="shared" ref="B74:B82" si="18">+B57</f>
        <v>2016</v>
      </c>
      <c r="C74" s="261"/>
      <c r="D74" s="261"/>
      <c r="E74" s="261"/>
      <c r="F74" s="261"/>
      <c r="G74" s="261"/>
      <c r="H74" s="261"/>
      <c r="I74" s="261"/>
      <c r="J74" s="261"/>
      <c r="K74" s="261"/>
      <c r="L74" s="265"/>
      <c r="M74" s="244"/>
      <c r="N74" s="245">
        <f t="shared" si="17"/>
        <v>0</v>
      </c>
      <c r="O74" s="244"/>
      <c r="P74" s="263">
        <f t="shared" ref="P74:P82" si="19">SUM(N57,N74)</f>
        <v>0</v>
      </c>
      <c r="Q74" s="177"/>
      <c r="R74" s="177"/>
      <c r="S74" s="177"/>
      <c r="T74" s="177"/>
      <c r="U74" s="177"/>
      <c r="V74" s="177"/>
      <c r="W74" s="177"/>
      <c r="X74" s="177"/>
      <c r="Y74" s="177"/>
      <c r="Z74" s="177"/>
      <c r="AA74" s="177"/>
      <c r="AB74" s="177"/>
      <c r="AC74" s="177"/>
      <c r="AD74" s="177"/>
      <c r="AE74" s="177"/>
      <c r="AF74" s="177"/>
      <c r="AG74" s="177"/>
    </row>
    <row r="75" spans="1:33" s="178" customFormat="1" ht="12.75" customHeight="1" x14ac:dyDescent="0.2">
      <c r="A75" s="1099" t="s">
        <v>25</v>
      </c>
      <c r="B75" s="260">
        <f t="shared" si="18"/>
        <v>2017</v>
      </c>
      <c r="C75" s="247">
        <f>+IF($S$4="ex-ante",IF(C$72&lt;=($R$4-2),IF($B75&lt;=($R$4),T5B!G125,0),0),IF($S$4="ex-post",IF(C$72&lt;=($R$4-1),IF($B75&lt;=($R$4+1),T5B!G125,0),0),0))</f>
        <v>0</v>
      </c>
      <c r="D75" s="261"/>
      <c r="E75" s="261"/>
      <c r="F75" s="261"/>
      <c r="G75" s="261"/>
      <c r="H75" s="261"/>
      <c r="I75" s="261"/>
      <c r="J75" s="261"/>
      <c r="K75" s="261"/>
      <c r="L75" s="265"/>
      <c r="M75" s="244"/>
      <c r="N75" s="245">
        <f t="shared" si="17"/>
        <v>0</v>
      </c>
      <c r="O75" s="244"/>
      <c r="P75" s="263">
        <f t="shared" si="19"/>
        <v>0</v>
      </c>
      <c r="Q75" s="177"/>
      <c r="R75" s="177"/>
      <c r="S75" s="177"/>
      <c r="T75" s="177"/>
      <c r="U75" s="177"/>
      <c r="V75" s="177"/>
      <c r="W75" s="177"/>
      <c r="X75" s="177"/>
      <c r="Y75" s="177"/>
      <c r="Z75" s="177"/>
      <c r="AA75" s="177"/>
      <c r="AB75" s="177"/>
      <c r="AC75" s="177"/>
      <c r="AD75" s="177"/>
      <c r="AE75" s="177"/>
      <c r="AF75" s="177"/>
      <c r="AG75" s="177"/>
    </row>
    <row r="76" spans="1:33" s="178" customFormat="1" ht="12.75" customHeight="1" x14ac:dyDescent="0.2">
      <c r="A76" s="1099"/>
      <c r="B76" s="260">
        <f t="shared" si="18"/>
        <v>2018</v>
      </c>
      <c r="C76" s="247">
        <f>+IF($S$4="ex-ante",IF(C$72&lt;=($R$4-2),IF($B76&lt;=($R$4),T5B!G126,0),0),IF($S$4="ex-post",IF(C$72&lt;=($R$4-1),IF($B76&lt;=($R$4+1),T5B!G126,0),0),0))</f>
        <v>0</v>
      </c>
      <c r="D76" s="247">
        <f>+IF($S$4="ex-ante",IF(D$72&lt;=($R$4-2),IF($B76&lt;=($R$4),T5B!H126,0),0),IF($S$4="ex-post",IF(D$72&lt;=($R$4-1),IF($B76&lt;=($R$4+1),T5B!H126,0),0),0))</f>
        <v>0</v>
      </c>
      <c r="E76" s="261"/>
      <c r="F76" s="261"/>
      <c r="G76" s="261"/>
      <c r="H76" s="261"/>
      <c r="I76" s="261"/>
      <c r="J76" s="261"/>
      <c r="K76" s="261"/>
      <c r="L76" s="265"/>
      <c r="M76" s="244"/>
      <c r="N76" s="245">
        <f t="shared" si="17"/>
        <v>0</v>
      </c>
      <c r="O76" s="244"/>
      <c r="P76" s="263">
        <f t="shared" si="19"/>
        <v>0</v>
      </c>
      <c r="Q76" s="236" t="s">
        <v>27</v>
      </c>
      <c r="R76" s="177"/>
      <c r="S76" s="177"/>
      <c r="T76" s="177"/>
      <c r="U76" s="177"/>
      <c r="V76" s="177"/>
      <c r="W76" s="177"/>
      <c r="X76" s="177"/>
      <c r="Y76" s="177"/>
      <c r="Z76" s="177"/>
      <c r="AA76" s="177"/>
      <c r="AB76" s="177"/>
      <c r="AC76" s="177"/>
      <c r="AD76" s="177"/>
      <c r="AE76" s="177"/>
      <c r="AF76" s="177"/>
      <c r="AG76" s="177"/>
    </row>
    <row r="77" spans="1:33" s="178" customFormat="1" ht="12.75" customHeight="1" x14ac:dyDescent="0.2">
      <c r="A77" s="1099" t="s">
        <v>26</v>
      </c>
      <c r="B77" s="260">
        <f t="shared" si="18"/>
        <v>2019</v>
      </c>
      <c r="C77" s="247">
        <f>+IF($S$4="ex-ante",IF(C$72&lt;=($R$4-2),IF($B77&lt;=($R$4),T5B!G127,0),0),IF($S$4="ex-post",IF(C$72&lt;=($R$4-1),IF($B77&lt;=($R$4+1),T5B!G127,0),0),0))</f>
        <v>0</v>
      </c>
      <c r="D77" s="247">
        <f>+IF($S$4="ex-ante",IF(D$72&lt;=($R$4-2),IF($B77&lt;=($R$4),T5B!H127,0),0),IF($S$4="ex-post",IF(D$72&lt;=($R$4-1),IF($B77&lt;=($R$4+1),T5B!H127,0),0),0))</f>
        <v>0</v>
      </c>
      <c r="E77" s="247">
        <f>+IF($S$4="ex-ante",IF(E$72&lt;=($R$4-2),IF($B77&lt;=($R$4),T5B!I127,0),0),IF($S$4="ex-post",IF(E$72&lt;=($R$4-1),IF($B77&lt;=($R$4+1),T5B!I127,0),0),0))</f>
        <v>0</v>
      </c>
      <c r="F77" s="261"/>
      <c r="G77" s="261"/>
      <c r="H77" s="261"/>
      <c r="I77" s="261"/>
      <c r="J77" s="261"/>
      <c r="K77" s="261"/>
      <c r="L77" s="265"/>
      <c r="M77" s="244"/>
      <c r="N77" s="245">
        <f t="shared" si="17"/>
        <v>0</v>
      </c>
      <c r="O77" s="244"/>
      <c r="P77" s="263">
        <f t="shared" si="19"/>
        <v>0</v>
      </c>
      <c r="Q77" s="236" t="s">
        <v>28</v>
      </c>
      <c r="R77" s="177"/>
      <c r="S77" s="177"/>
      <c r="T77" s="177"/>
      <c r="U77" s="177"/>
      <c r="V77" s="177"/>
      <c r="W77" s="177"/>
      <c r="X77" s="177"/>
      <c r="Y77" s="177"/>
      <c r="Z77" s="177"/>
      <c r="AA77" s="177"/>
      <c r="AB77" s="177"/>
      <c r="AC77" s="177"/>
      <c r="AD77" s="177"/>
      <c r="AE77" s="177"/>
      <c r="AF77" s="177"/>
      <c r="AG77" s="177"/>
    </row>
    <row r="78" spans="1:33" s="178" customFormat="1" ht="12.75" customHeight="1" x14ac:dyDescent="0.2">
      <c r="A78" s="1099"/>
      <c r="B78" s="260">
        <f t="shared" si="18"/>
        <v>2020</v>
      </c>
      <c r="C78" s="247">
        <f>+IF($S$4="ex-ante",IF(C$72&lt;=($R$4-2),IF($B78&lt;=($R$4),T5B!G128,0),0),IF($S$4="ex-post",IF(C$72&lt;=($R$4-1),IF($B78&lt;=($R$4+1),T5B!G128,0),0),0))</f>
        <v>0</v>
      </c>
      <c r="D78" s="247">
        <f>+IF($S$4="ex-ante",IF(D$72&lt;=($R$4-2),IF($B78&lt;=($R$4),T5B!H128,0),0),IF($S$4="ex-post",IF(D$72&lt;=($R$4-1),IF($B78&lt;=($R$4+1),T5B!H128,0),0),0))</f>
        <v>0</v>
      </c>
      <c r="E78" s="247">
        <f>+IF($S$4="ex-ante",IF(E$72&lt;=($R$4-2),IF($B78&lt;=($R$4),T5B!I128,0),0),IF($S$4="ex-post",IF(E$72&lt;=($R$4-1),IF($B78&lt;=($R$4+1),T5B!I128,0),0),0))</f>
        <v>0</v>
      </c>
      <c r="F78" s="247">
        <f>+IF($S$4="ex-ante",IF(F$72&lt;=($R$4-2),IF($B78&lt;=($R$4),T5B!J128,0),0),IF($S$4="ex-post",IF(F$72&lt;=($R$4-1),IF($B78&lt;=($R$4+1),T5B!J128,0),0),0))</f>
        <v>0</v>
      </c>
      <c r="G78" s="261"/>
      <c r="H78" s="261"/>
      <c r="I78" s="261"/>
      <c r="J78" s="261"/>
      <c r="K78" s="261"/>
      <c r="L78" s="265"/>
      <c r="M78" s="244"/>
      <c r="N78" s="245">
        <f t="shared" si="17"/>
        <v>0</v>
      </c>
      <c r="O78" s="244"/>
      <c r="P78" s="263">
        <f t="shared" si="19"/>
        <v>0</v>
      </c>
      <c r="Q78" s="236"/>
      <c r="R78" s="177"/>
      <c r="S78" s="177"/>
      <c r="T78" s="177"/>
      <c r="U78" s="177"/>
      <c r="V78" s="177"/>
      <c r="W78" s="177"/>
      <c r="X78" s="177"/>
      <c r="Y78" s="177"/>
      <c r="Z78" s="177"/>
      <c r="AA78" s="177"/>
      <c r="AB78" s="177"/>
      <c r="AC78" s="177"/>
      <c r="AD78" s="177"/>
      <c r="AE78" s="177"/>
      <c r="AF78" s="177"/>
      <c r="AG78" s="177"/>
    </row>
    <row r="79" spans="1:33" s="178" customFormat="1" ht="12.75" customHeight="1" x14ac:dyDescent="0.2">
      <c r="A79" s="1099"/>
      <c r="B79" s="260">
        <f t="shared" si="18"/>
        <v>2021</v>
      </c>
      <c r="C79" s="247">
        <f>+IF($S$4="ex-ante",IF(C$72&lt;=($R$4-2),IF($B79&lt;=($R$4),T5B!G129,0),0),IF($S$4="ex-post",IF(C$72&lt;=($R$4-1),IF($B79&lt;=($R$4+1),T5B!G129,0),0),0))</f>
        <v>0</v>
      </c>
      <c r="D79" s="247">
        <f>+IF($S$4="ex-ante",IF(D$72&lt;=($R$4-2),IF($B79&lt;=($R$4),T5B!H129,0),0),IF($S$4="ex-post",IF(D$72&lt;=($R$4-1),IF($B79&lt;=($R$4+1),T5B!H129,0),0),0))</f>
        <v>0</v>
      </c>
      <c r="E79" s="247">
        <f>+IF($S$4="ex-ante",IF(E$72&lt;=($R$4-2),IF($B79&lt;=($R$4),T5B!I129,0),0),IF($S$4="ex-post",IF(E$72&lt;=($R$4-1),IF($B79&lt;=($R$4+1),T5B!I129,0),0),0))</f>
        <v>0</v>
      </c>
      <c r="F79" s="247">
        <f>+IF($S$4="ex-ante",IF(F$72&lt;=($R$4-2),IF($B79&lt;=($R$4),T5B!J129,0),0),IF($S$4="ex-post",IF(F$72&lt;=($R$4-1),IF($B79&lt;=($R$4+1),T5B!J129,0),0),0))</f>
        <v>0</v>
      </c>
      <c r="G79" s="247">
        <f>+IF($S$4="ex-ante",IF(G$72&lt;=($R$4-2),IF($B79&lt;=($R$4),T5B!K129,0),0),IF($S$4="ex-post",IF(G$72&lt;=($R$4-1),IF($B79&lt;=($R$4+1),T5B!K129,0),0),0))</f>
        <v>0</v>
      </c>
      <c r="H79" s="261"/>
      <c r="I79" s="261"/>
      <c r="J79" s="261"/>
      <c r="K79" s="261"/>
      <c r="L79" s="265"/>
      <c r="M79" s="244"/>
      <c r="N79" s="245">
        <f t="shared" si="17"/>
        <v>0</v>
      </c>
      <c r="O79" s="244"/>
      <c r="P79" s="263">
        <f t="shared" si="19"/>
        <v>0</v>
      </c>
      <c r="Q79" s="236"/>
      <c r="R79" s="177"/>
      <c r="S79" s="177"/>
      <c r="T79" s="177"/>
      <c r="U79" s="177"/>
      <c r="V79" s="177"/>
      <c r="W79" s="177"/>
      <c r="X79" s="177"/>
      <c r="Y79" s="177"/>
      <c r="Z79" s="177"/>
      <c r="AA79" s="177"/>
      <c r="AB79" s="177"/>
      <c r="AC79" s="177"/>
      <c r="AD79" s="177"/>
      <c r="AE79" s="177"/>
      <c r="AF79" s="177"/>
      <c r="AG79" s="177"/>
    </row>
    <row r="80" spans="1:33" s="178" customFormat="1" ht="12.75" customHeight="1" x14ac:dyDescent="0.2">
      <c r="A80" s="1099"/>
      <c r="B80" s="260">
        <f t="shared" si="18"/>
        <v>2022</v>
      </c>
      <c r="C80" s="247">
        <f>+IF($S$4="ex-ante",IF(C$72&lt;=($R$4-2),IF($B80&lt;=($R$4),T5B!G130,0),0),IF($S$4="ex-post",IF(C$72&lt;=($R$4-1),IF($B80&lt;=($R$4+1),T5B!G130,0),0),0))</f>
        <v>0</v>
      </c>
      <c r="D80" s="247">
        <f>+IF($S$4="ex-ante",IF(D$72&lt;=($R$4-2),IF($B80&lt;=($R$4),T5B!H130,0),0),IF($S$4="ex-post",IF(D$72&lt;=($R$4-1),IF($B80&lt;=($R$4+1),T5B!H130,0),0),0))</f>
        <v>0</v>
      </c>
      <c r="E80" s="247">
        <f>+IF($S$4="ex-ante",IF(E$72&lt;=($R$4-2),IF($B80&lt;=($R$4),T5B!I130,0),0),IF($S$4="ex-post",IF(E$72&lt;=($R$4-1),IF($B80&lt;=($R$4+1),T5B!I130,0),0),0))</f>
        <v>0</v>
      </c>
      <c r="F80" s="247">
        <f>+IF($S$4="ex-ante",IF(F$72&lt;=($R$4-2),IF($B80&lt;=($R$4),T5B!J130,0),0),IF($S$4="ex-post",IF(F$72&lt;=($R$4-1),IF($B80&lt;=($R$4+1),T5B!J130,0),0),0))</f>
        <v>0</v>
      </c>
      <c r="G80" s="247">
        <f>+IF($S$4="ex-ante",IF(G$72&lt;=($R$4-2),IF($B80&lt;=($R$4),T5B!K130,0),0),IF($S$4="ex-post",IF(G$72&lt;=($R$4-1),IF($B80&lt;=($R$4+1),T5B!K130,0),0),0))</f>
        <v>0</v>
      </c>
      <c r="H80" s="247">
        <f>+IF($S$4="ex-ante",IF(H$72&lt;=($R$4-2),IF($B80&lt;=($R$4),T5B!L130,0),0),IF($S$4="ex-post",IF(H$72&lt;=($R$4-1),IF($B80&lt;=($R$4+1),T5B!L130,0),0),0))</f>
        <v>0</v>
      </c>
      <c r="I80" s="261"/>
      <c r="J80" s="261"/>
      <c r="K80" s="261"/>
      <c r="L80" s="265"/>
      <c r="M80" s="244"/>
      <c r="N80" s="245">
        <f t="shared" si="17"/>
        <v>0</v>
      </c>
      <c r="O80" s="244"/>
      <c r="P80" s="263">
        <f t="shared" si="19"/>
        <v>0</v>
      </c>
      <c r="Q80" s="236"/>
      <c r="R80" s="177"/>
      <c r="S80" s="177"/>
      <c r="T80" s="177"/>
      <c r="U80" s="177"/>
      <c r="V80" s="177"/>
      <c r="W80" s="177"/>
      <c r="X80" s="177"/>
      <c r="Y80" s="177"/>
      <c r="Z80" s="177"/>
      <c r="AA80" s="177"/>
      <c r="AB80" s="177"/>
      <c r="AC80" s="177"/>
      <c r="AD80" s="177"/>
      <c r="AE80" s="177"/>
      <c r="AF80" s="177"/>
      <c r="AG80" s="177"/>
    </row>
    <row r="81" spans="1:33" s="178" customFormat="1" ht="12.75" customHeight="1" x14ac:dyDescent="0.2">
      <c r="A81" s="1099"/>
      <c r="B81" s="260">
        <f t="shared" si="18"/>
        <v>2023</v>
      </c>
      <c r="C81" s="261"/>
      <c r="D81" s="261"/>
      <c r="E81" s="261"/>
      <c r="F81" s="261"/>
      <c r="G81" s="261"/>
      <c r="H81" s="247">
        <f>+IF($S$4="ex-ante",IF(H$72&lt;=($R$4-2),IF($B81&lt;=($R$4),T5B!L131,0),0),IF($S$4="ex-post",IF(H$72&lt;=($R$4-1),IF($B81&lt;=($R$4+1),T5B!L131,0),0),0))</f>
        <v>0</v>
      </c>
      <c r="I81" s="247">
        <f>+IF($S$4="ex-ante",IF(I$72&lt;=($R$4-2),IF($B81&lt;=($R$4),T5B!M131,0),0),IF($S$4="ex-post",IF(I$72&lt;=($R$4-1),IF($B81&lt;=($R$4+1),T5B!M131,0),0),0))</f>
        <v>0</v>
      </c>
      <c r="J81" s="261"/>
      <c r="K81" s="261"/>
      <c r="L81" s="265"/>
      <c r="M81" s="244"/>
      <c r="N81" s="245">
        <f t="shared" si="17"/>
        <v>0</v>
      </c>
      <c r="O81" s="244"/>
      <c r="P81" s="263">
        <f t="shared" si="19"/>
        <v>0</v>
      </c>
      <c r="Q81" s="236"/>
      <c r="R81" s="177"/>
      <c r="S81" s="177"/>
      <c r="T81" s="177"/>
      <c r="U81" s="177"/>
      <c r="V81" s="177"/>
      <c r="W81" s="177"/>
      <c r="X81" s="177"/>
      <c r="Y81" s="177"/>
      <c r="Z81" s="177"/>
      <c r="AA81" s="177"/>
      <c r="AB81" s="177"/>
      <c r="AC81" s="177"/>
      <c r="AD81" s="177"/>
      <c r="AE81" s="177"/>
      <c r="AF81" s="177"/>
      <c r="AG81" s="177"/>
    </row>
    <row r="82" spans="1:33" s="178" customFormat="1" ht="12.75" customHeight="1" x14ac:dyDescent="0.2">
      <c r="A82" s="1099"/>
      <c r="B82" s="260">
        <f t="shared" si="18"/>
        <v>2024</v>
      </c>
      <c r="C82" s="261"/>
      <c r="D82" s="261"/>
      <c r="E82" s="261"/>
      <c r="F82" s="261"/>
      <c r="G82" s="261"/>
      <c r="H82" s="261"/>
      <c r="I82" s="247">
        <f>+IF($S$4="ex-ante",IF(I$72&lt;=($R$4-2),IF($B82&lt;=($R$4),T5B!M132,0),0),IF($S$4="ex-post",IF(I$72&lt;=($R$4-1),IF($B82&lt;=($R$4+1),T5B!M132,0),0),0))</f>
        <v>0</v>
      </c>
      <c r="J82" s="247">
        <f>+IF($S$4="ex-ante",IF(J$72&lt;=($R$4-2),IF($B82&lt;=($R$4),T5B!N132,0),0),IF($S$4="ex-post",IF(J$72&lt;=($R$4-1),IF($B82&lt;=($R$4+1),T5B!N132,0),0),0))</f>
        <v>0</v>
      </c>
      <c r="K82" s="261"/>
      <c r="L82" s="265"/>
      <c r="M82" s="244"/>
      <c r="N82" s="245">
        <f t="shared" si="17"/>
        <v>0</v>
      </c>
      <c r="O82" s="244"/>
      <c r="P82" s="263">
        <f t="shared" si="19"/>
        <v>0</v>
      </c>
      <c r="Q82" s="236"/>
      <c r="R82" s="177"/>
      <c r="S82" s="177"/>
      <c r="T82" s="177"/>
      <c r="U82" s="177"/>
      <c r="V82" s="177"/>
      <c r="W82" s="177"/>
      <c r="X82" s="177"/>
      <c r="Y82" s="177"/>
      <c r="Z82" s="177"/>
      <c r="AA82" s="177"/>
      <c r="AB82" s="177"/>
      <c r="AC82" s="177"/>
      <c r="AD82" s="177"/>
      <c r="AE82" s="177"/>
      <c r="AF82" s="177"/>
      <c r="AG82" s="177"/>
    </row>
    <row r="83" spans="1:33" s="256" customFormat="1" ht="15.75" x14ac:dyDescent="0.2">
      <c r="A83" s="1137"/>
      <c r="B83" s="326" t="s">
        <v>22</v>
      </c>
      <c r="C83" s="327">
        <f t="shared" ref="C83:L83" si="20">SUM(C73:C82)</f>
        <v>0</v>
      </c>
      <c r="D83" s="327">
        <f t="shared" si="20"/>
        <v>0</v>
      </c>
      <c r="E83" s="327">
        <f t="shared" si="20"/>
        <v>0</v>
      </c>
      <c r="F83" s="327">
        <f t="shared" si="20"/>
        <v>0</v>
      </c>
      <c r="G83" s="327">
        <f t="shared" si="20"/>
        <v>0</v>
      </c>
      <c r="H83" s="327">
        <f>SUM(H73:H82)</f>
        <v>0</v>
      </c>
      <c r="I83" s="327">
        <f t="shared" si="20"/>
        <v>0</v>
      </c>
      <c r="J83" s="327">
        <f t="shared" si="20"/>
        <v>0</v>
      </c>
      <c r="K83" s="327">
        <f t="shared" si="20"/>
        <v>0</v>
      </c>
      <c r="L83" s="327">
        <f t="shared" si="20"/>
        <v>0</v>
      </c>
      <c r="M83" s="333"/>
      <c r="N83" s="254">
        <f>SUM(N73:N82)</f>
        <v>0</v>
      </c>
      <c r="O83" s="253"/>
      <c r="P83" s="254">
        <f>SUM(P73:P82)</f>
        <v>0</v>
      </c>
      <c r="Q83" s="255"/>
      <c r="R83" s="255"/>
      <c r="S83" s="255"/>
      <c r="T83" s="255"/>
      <c r="U83" s="255"/>
      <c r="V83" s="255"/>
      <c r="W83" s="255"/>
      <c r="X83" s="255"/>
      <c r="Y83" s="255"/>
      <c r="Z83" s="255"/>
      <c r="AA83" s="255"/>
      <c r="AB83" s="255"/>
      <c r="AC83" s="255"/>
      <c r="AD83" s="255"/>
      <c r="AE83" s="255"/>
      <c r="AF83" s="255"/>
      <c r="AG83" s="255"/>
    </row>
    <row r="84" spans="1:33" x14ac:dyDescent="0.2">
      <c r="M84" s="244"/>
    </row>
    <row r="86" spans="1:33" ht="13.5" thickBot="1" x14ac:dyDescent="0.25"/>
    <row r="87" spans="1:33" s="178" customFormat="1" ht="21" customHeight="1" thickBot="1" x14ac:dyDescent="0.25">
      <c r="A87" s="1077" t="s">
        <v>142</v>
      </c>
      <c r="B87" s="1078"/>
      <c r="C87" s="1078"/>
      <c r="D87" s="1078"/>
      <c r="E87" s="1078"/>
      <c r="F87" s="1078"/>
      <c r="G87" s="1078"/>
      <c r="H87" s="1078"/>
      <c r="I87" s="1078"/>
      <c r="J87" s="1078"/>
      <c r="K87" s="1078"/>
      <c r="L87" s="1078"/>
      <c r="M87" s="1078"/>
      <c r="N87" s="1079"/>
      <c r="P87" s="177"/>
      <c r="Q87" s="177"/>
      <c r="R87" s="177"/>
      <c r="S87" s="177"/>
      <c r="T87" s="177"/>
      <c r="U87" s="177"/>
      <c r="V87" s="177"/>
      <c r="W87" s="177"/>
      <c r="X87" s="177"/>
      <c r="Y87" s="177"/>
      <c r="Z87" s="177"/>
      <c r="AA87" s="177"/>
      <c r="AB87" s="177"/>
      <c r="AC87" s="177"/>
      <c r="AD87" s="177"/>
      <c r="AE87" s="177"/>
      <c r="AF87" s="177"/>
      <c r="AG87" s="177"/>
    </row>
    <row r="89" spans="1:33" x14ac:dyDescent="0.2">
      <c r="C89" s="233" t="s">
        <v>131</v>
      </c>
    </row>
    <row r="90" spans="1:33" x14ac:dyDescent="0.2">
      <c r="C90" s="233" t="s">
        <v>30</v>
      </c>
    </row>
    <row r="91" spans="1:33" ht="16.5" x14ac:dyDescent="0.2">
      <c r="C91" s="1094" t="s">
        <v>19</v>
      </c>
      <c r="D91" s="1095"/>
      <c r="E91" s="1095"/>
      <c r="F91" s="1095"/>
      <c r="G91" s="1095"/>
      <c r="H91" s="1095"/>
      <c r="I91" s="1095"/>
      <c r="J91" s="1095"/>
      <c r="K91" s="1095"/>
      <c r="L91" s="1096"/>
    </row>
    <row r="92" spans="1:33" x14ac:dyDescent="0.2">
      <c r="C92" s="239">
        <f>+C72</f>
        <v>2015</v>
      </c>
      <c r="D92" s="239">
        <f t="shared" ref="D92:L92" si="21">+D72</f>
        <v>2016</v>
      </c>
      <c r="E92" s="239">
        <f t="shared" si="21"/>
        <v>2017</v>
      </c>
      <c r="F92" s="239">
        <f t="shared" si="21"/>
        <v>2018</v>
      </c>
      <c r="G92" s="239">
        <f t="shared" si="21"/>
        <v>2019</v>
      </c>
      <c r="H92" s="239">
        <f t="shared" si="21"/>
        <v>2020</v>
      </c>
      <c r="I92" s="239">
        <f t="shared" si="21"/>
        <v>2021</v>
      </c>
      <c r="J92" s="239">
        <f t="shared" si="21"/>
        <v>2022</v>
      </c>
      <c r="K92" s="239">
        <f t="shared" si="21"/>
        <v>2023</v>
      </c>
      <c r="L92" s="239">
        <f t="shared" si="21"/>
        <v>2024</v>
      </c>
      <c r="N92" s="93" t="s">
        <v>20</v>
      </c>
    </row>
    <row r="93" spans="1:33" x14ac:dyDescent="0.2">
      <c r="A93" s="1088" t="s">
        <v>367</v>
      </c>
      <c r="B93" s="260">
        <f>+B73</f>
        <v>2015</v>
      </c>
      <c r="C93" s="247">
        <f>+C56</f>
        <v>0</v>
      </c>
      <c r="D93" s="268"/>
      <c r="E93" s="261"/>
      <c r="F93" s="261"/>
      <c r="G93" s="261"/>
      <c r="H93" s="261"/>
      <c r="I93" s="261"/>
      <c r="J93" s="261"/>
      <c r="K93" s="261"/>
      <c r="L93" s="262"/>
      <c r="N93" s="269">
        <f t="shared" ref="N93:N102" si="22">SUM(C93:L93)</f>
        <v>0</v>
      </c>
    </row>
    <row r="94" spans="1:33" x14ac:dyDescent="0.2">
      <c r="A94" s="1089"/>
      <c r="B94" s="260">
        <f t="shared" ref="B94:B102" si="23">+B74</f>
        <v>2016</v>
      </c>
      <c r="C94" s="247">
        <f>+C93+C74+C57</f>
        <v>0</v>
      </c>
      <c r="D94" s="247">
        <f>+D57</f>
        <v>0</v>
      </c>
      <c r="E94" s="270"/>
      <c r="F94" s="270"/>
      <c r="G94" s="270"/>
      <c r="H94" s="270"/>
      <c r="I94" s="270"/>
      <c r="J94" s="270"/>
      <c r="K94" s="270"/>
      <c r="L94" s="271"/>
      <c r="N94" s="269">
        <f t="shared" si="22"/>
        <v>0</v>
      </c>
    </row>
    <row r="95" spans="1:33" x14ac:dyDescent="0.2">
      <c r="A95" s="1089"/>
      <c r="B95" s="260">
        <f t="shared" si="23"/>
        <v>2017</v>
      </c>
      <c r="C95" s="247">
        <f t="shared" ref="C95:C100" si="24">+C94+C75+C58</f>
        <v>0</v>
      </c>
      <c r="D95" s="247">
        <f t="shared" ref="D95:D100" si="25">+D94+D75+D58</f>
        <v>0</v>
      </c>
      <c r="E95" s="247">
        <f>+E58</f>
        <v>0</v>
      </c>
      <c r="F95" s="270"/>
      <c r="G95" s="270"/>
      <c r="H95" s="270"/>
      <c r="I95" s="270"/>
      <c r="J95" s="270"/>
      <c r="K95" s="270"/>
      <c r="L95" s="271"/>
      <c r="N95" s="269">
        <f t="shared" si="22"/>
        <v>0</v>
      </c>
    </row>
    <row r="96" spans="1:33" x14ac:dyDescent="0.2">
      <c r="A96" s="1089"/>
      <c r="B96" s="260">
        <f t="shared" si="23"/>
        <v>2018</v>
      </c>
      <c r="C96" s="247">
        <f t="shared" si="24"/>
        <v>0</v>
      </c>
      <c r="D96" s="247">
        <f t="shared" si="25"/>
        <v>0</v>
      </c>
      <c r="E96" s="247">
        <f t="shared" ref="E96:E100" si="26">+E95+E76+E59</f>
        <v>0</v>
      </c>
      <c r="F96" s="247">
        <f>+F59</f>
        <v>0</v>
      </c>
      <c r="G96" s="270"/>
      <c r="H96" s="270"/>
      <c r="I96" s="270"/>
      <c r="J96" s="270"/>
      <c r="K96" s="270"/>
      <c r="L96" s="271"/>
      <c r="N96" s="269">
        <f t="shared" si="22"/>
        <v>0</v>
      </c>
    </row>
    <row r="97" spans="1:14" x14ac:dyDescent="0.2">
      <c r="A97" s="1089"/>
      <c r="B97" s="260">
        <f t="shared" si="23"/>
        <v>2019</v>
      </c>
      <c r="C97" s="247">
        <f t="shared" si="24"/>
        <v>0</v>
      </c>
      <c r="D97" s="247">
        <f t="shared" si="25"/>
        <v>0</v>
      </c>
      <c r="E97" s="247">
        <f t="shared" si="26"/>
        <v>0</v>
      </c>
      <c r="F97" s="247">
        <f t="shared" ref="F97:F100" si="27">+F96+F77+F60</f>
        <v>0</v>
      </c>
      <c r="G97" s="247">
        <f>+G60</f>
        <v>0</v>
      </c>
      <c r="H97" s="270"/>
      <c r="I97" s="270"/>
      <c r="J97" s="270"/>
      <c r="K97" s="270"/>
      <c r="L97" s="271"/>
      <c r="N97" s="269">
        <f t="shared" si="22"/>
        <v>0</v>
      </c>
    </row>
    <row r="98" spans="1:14" x14ac:dyDescent="0.2">
      <c r="A98" s="1089"/>
      <c r="B98" s="260">
        <f t="shared" si="23"/>
        <v>2020</v>
      </c>
      <c r="C98" s="247">
        <f t="shared" si="24"/>
        <v>0</v>
      </c>
      <c r="D98" s="247">
        <f t="shared" si="25"/>
        <v>0</v>
      </c>
      <c r="E98" s="247">
        <f t="shared" si="26"/>
        <v>0</v>
      </c>
      <c r="F98" s="247">
        <f t="shared" si="27"/>
        <v>0</v>
      </c>
      <c r="G98" s="247">
        <f t="shared" ref="G98:G100" si="28">+G97+G78+G61</f>
        <v>0</v>
      </c>
      <c r="H98" s="247">
        <f t="shared" ref="H98:J100" si="29">+H61</f>
        <v>0</v>
      </c>
      <c r="I98" s="270"/>
      <c r="J98" s="270"/>
      <c r="K98" s="270"/>
      <c r="L98" s="271"/>
      <c r="N98" s="269">
        <f t="shared" si="22"/>
        <v>0</v>
      </c>
    </row>
    <row r="99" spans="1:14" x14ac:dyDescent="0.2">
      <c r="A99" s="1089"/>
      <c r="B99" s="260">
        <f t="shared" si="23"/>
        <v>2021</v>
      </c>
      <c r="C99" s="247">
        <f t="shared" si="24"/>
        <v>0</v>
      </c>
      <c r="D99" s="247">
        <f t="shared" si="25"/>
        <v>0</v>
      </c>
      <c r="E99" s="247">
        <f t="shared" si="26"/>
        <v>0</v>
      </c>
      <c r="F99" s="247">
        <f t="shared" si="27"/>
        <v>0</v>
      </c>
      <c r="G99" s="247">
        <f t="shared" si="28"/>
        <v>0</v>
      </c>
      <c r="H99" s="247">
        <f t="shared" ref="H99:H101" si="30">+H98+H79+H62</f>
        <v>0</v>
      </c>
      <c r="I99" s="247">
        <f t="shared" si="29"/>
        <v>0</v>
      </c>
      <c r="J99" s="270"/>
      <c r="K99" s="270"/>
      <c r="L99" s="271"/>
      <c r="N99" s="269">
        <f t="shared" si="22"/>
        <v>0</v>
      </c>
    </row>
    <row r="100" spans="1:14" x14ac:dyDescent="0.2">
      <c r="A100" s="1089"/>
      <c r="B100" s="260">
        <f t="shared" si="23"/>
        <v>2022</v>
      </c>
      <c r="C100" s="247">
        <f t="shared" si="24"/>
        <v>0</v>
      </c>
      <c r="D100" s="247">
        <f t="shared" si="25"/>
        <v>0</v>
      </c>
      <c r="E100" s="247">
        <f t="shared" si="26"/>
        <v>0</v>
      </c>
      <c r="F100" s="247">
        <f t="shared" si="27"/>
        <v>0</v>
      </c>
      <c r="G100" s="247">
        <f t="shared" si="28"/>
        <v>0</v>
      </c>
      <c r="H100" s="247">
        <f t="shared" si="30"/>
        <v>0</v>
      </c>
      <c r="I100" s="247">
        <f t="shared" ref="I100:I102" si="31">+I99+I80+I63</f>
        <v>0</v>
      </c>
      <c r="J100" s="247">
        <f t="shared" si="29"/>
        <v>0</v>
      </c>
      <c r="K100" s="270"/>
      <c r="L100" s="271"/>
      <c r="N100" s="269">
        <f t="shared" si="22"/>
        <v>0</v>
      </c>
    </row>
    <row r="101" spans="1:14" x14ac:dyDescent="0.2">
      <c r="A101" s="1089"/>
      <c r="B101" s="260">
        <f t="shared" si="23"/>
        <v>2023</v>
      </c>
      <c r="C101" s="283"/>
      <c r="D101" s="270"/>
      <c r="E101" s="270"/>
      <c r="F101" s="270"/>
      <c r="G101" s="270"/>
      <c r="H101" s="247">
        <f t="shared" si="30"/>
        <v>0</v>
      </c>
      <c r="I101" s="247">
        <f t="shared" si="31"/>
        <v>0</v>
      </c>
      <c r="J101" s="247">
        <f t="shared" ref="J101:J102" si="32">+J100+J81+J64</f>
        <v>0</v>
      </c>
      <c r="K101" s="247">
        <f>+K64</f>
        <v>0</v>
      </c>
      <c r="L101" s="271"/>
      <c r="N101" s="269">
        <f t="shared" si="22"/>
        <v>0</v>
      </c>
    </row>
    <row r="102" spans="1:14" x14ac:dyDescent="0.2">
      <c r="A102" s="1090"/>
      <c r="B102" s="260">
        <f t="shared" si="23"/>
        <v>2024</v>
      </c>
      <c r="C102" s="284"/>
      <c r="D102" s="285"/>
      <c r="E102" s="285"/>
      <c r="F102" s="285"/>
      <c r="G102" s="285"/>
      <c r="H102" s="285"/>
      <c r="I102" s="247">
        <f t="shared" si="31"/>
        <v>0</v>
      </c>
      <c r="J102" s="247">
        <f t="shared" si="32"/>
        <v>0</v>
      </c>
      <c r="K102" s="247">
        <f>+K101+K82+K65</f>
        <v>0</v>
      </c>
      <c r="L102" s="247">
        <f>+L65</f>
        <v>0</v>
      </c>
      <c r="N102" s="269">
        <f t="shared" si="22"/>
        <v>0</v>
      </c>
    </row>
    <row r="103" spans="1:14" ht="15" x14ac:dyDescent="0.2">
      <c r="A103" s="332"/>
      <c r="C103" s="233"/>
    </row>
    <row r="104" spans="1:14" x14ac:dyDescent="0.2">
      <c r="C104" s="233"/>
    </row>
    <row r="105" spans="1:14" x14ac:dyDescent="0.2">
      <c r="C105" s="233"/>
    </row>
  </sheetData>
  <sheetProtection algorithmName="SHA-512" hashValue="1uCy4nqpp172T29ZJgCkxapXbqxbdjpZZWuTjn+kAWTa8AAwVqti166jNK9QlG54UQ59QMIssksdQAq1xXcRXA==" saltValue="uumw46tenkKABK5xOJkEjg==" spinCount="100000" sheet="1" objects="1" scenarios="1"/>
  <customSheetViews>
    <customSheetView guid="{C8C7977F-B6BF-432B-A1A7-559450D521AF}" scale="80">
      <selection sqref="A1:J1"/>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44">
    <mergeCell ref="A1:N1"/>
    <mergeCell ref="C5:L5"/>
    <mergeCell ref="C6:L6"/>
    <mergeCell ref="C4:L4"/>
    <mergeCell ref="A41:N41"/>
    <mergeCell ref="A16:B16"/>
    <mergeCell ref="A19:B19"/>
    <mergeCell ref="A21:B21"/>
    <mergeCell ref="A34:B34"/>
    <mergeCell ref="A35:B35"/>
    <mergeCell ref="A36:B36"/>
    <mergeCell ref="A24:B24"/>
    <mergeCell ref="A22:B22"/>
    <mergeCell ref="A25:B25"/>
    <mergeCell ref="C54:L54"/>
    <mergeCell ref="A7:B7"/>
    <mergeCell ref="A8:B8"/>
    <mergeCell ref="A18:B18"/>
    <mergeCell ref="A28:B28"/>
    <mergeCell ref="C43:L43"/>
    <mergeCell ref="A29:B29"/>
    <mergeCell ref="A14:B14"/>
    <mergeCell ref="A12:B12"/>
    <mergeCell ref="A26:B26"/>
    <mergeCell ref="A31:B31"/>
    <mergeCell ref="A32:B32"/>
    <mergeCell ref="O50:P50"/>
    <mergeCell ref="A50:N50"/>
    <mergeCell ref="A9:B9"/>
    <mergeCell ref="A11:B11"/>
    <mergeCell ref="A15:B15"/>
    <mergeCell ref="A13:B13"/>
    <mergeCell ref="A23:B23"/>
    <mergeCell ref="A33:B33"/>
    <mergeCell ref="A10:B10"/>
    <mergeCell ref="A20:B20"/>
    <mergeCell ref="A30:B30"/>
    <mergeCell ref="A93:A102"/>
    <mergeCell ref="A55:B55"/>
    <mergeCell ref="A56:A66"/>
    <mergeCell ref="C71:L71"/>
    <mergeCell ref="A73:A83"/>
    <mergeCell ref="C91:L91"/>
    <mergeCell ref="A87:N87"/>
  </mergeCells>
  <conditionalFormatting sqref="J9:L9 J11:L11 J19:L19 J21:L21 J29:L29 J31:L31">
    <cfRule type="expression" dxfId="41" priority="2">
      <formula>$C$5="elektriciteit"</formula>
    </cfRule>
  </conditionalFormatting>
  <conditionalFormatting sqref="A10:L10 A12:L12 A15:L15 A20:L20 A22:L22 A25:L25 A30:L30 A32:L32 A35:L35">
    <cfRule type="expression" dxfId="40" priority="1">
      <formula>$C$5="gas"</formula>
    </cfRule>
  </conditionalFormatting>
  <pageMargins left="0.78740157480314965" right="0.78740157480314965" top="0.98425196850393704" bottom="0.98425196850393704" header="0.51181102362204722" footer="0.51181102362204722"/>
  <pageSetup paperSize="8" scale="56" orientation="portrait" r:id="rId2"/>
  <headerFooter alignWithMargins="0">
    <oddFooter>&amp;CPage &amp;P</oddFooter>
  </headerFooter>
  <ignoredErrors>
    <ignoredError sqref="N72 P72" numberStoredAsText="1"/>
    <ignoredError sqref="N73" numberStoredAsText="1" formulaRange="1"/>
    <ignoredError sqref="C83" formulaRange="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DDA4-43EA-475F-A6DE-9C650EB0F077}">
  <sheetPr published="0" codeName="Blad9"/>
  <dimension ref="A1:V720"/>
  <sheetViews>
    <sheetView zoomScale="80" zoomScaleNormal="80" workbookViewId="0">
      <selection activeCell="C716" sqref="C716"/>
    </sheetView>
  </sheetViews>
  <sheetFormatPr defaultColWidth="9.140625" defaultRowHeight="12.75" x14ac:dyDescent="0.2"/>
  <cols>
    <col min="1" max="1" width="2.42578125" style="166" customWidth="1"/>
    <col min="2" max="2" width="9.140625" style="166"/>
    <col min="3" max="3" width="19" style="166" customWidth="1"/>
    <col min="4" max="4" width="12.85546875" style="166" customWidth="1"/>
    <col min="5" max="5" width="24.28515625" style="166" customWidth="1"/>
    <col min="6" max="6" width="9.42578125" style="166" customWidth="1"/>
    <col min="7" max="16" width="30.7109375" style="166" customWidth="1"/>
    <col min="17" max="17" width="2.140625" style="203" customWidth="1"/>
    <col min="18" max="18" width="30.7109375" style="166" customWidth="1"/>
    <col min="19" max="16384" width="9.140625" style="166"/>
  </cols>
  <sheetData>
    <row r="1" spans="1:22" ht="25.5" customHeight="1" thickBot="1" x14ac:dyDescent="0.25">
      <c r="A1" s="1028" t="s">
        <v>207</v>
      </c>
      <c r="B1" s="1029"/>
      <c r="C1" s="1029"/>
      <c r="D1" s="1029"/>
      <c r="E1" s="1029"/>
      <c r="F1" s="1029"/>
      <c r="G1" s="1029"/>
      <c r="H1" s="1029"/>
      <c r="I1" s="1029"/>
      <c r="J1" s="1030"/>
      <c r="K1" s="287"/>
      <c r="L1" s="288"/>
      <c r="M1" s="288"/>
      <c r="N1" s="288"/>
      <c r="O1" s="288"/>
      <c r="P1" s="288"/>
      <c r="Q1" s="288"/>
      <c r="S1" s="289"/>
      <c r="T1" s="289"/>
      <c r="U1" s="289"/>
      <c r="V1" s="289"/>
    </row>
    <row r="2" spans="1:22" x14ac:dyDescent="0.2">
      <c r="B2" s="203" t="str">
        <f>+TITELBLAD!B16</f>
        <v>Rapportering over boekjaar:</v>
      </c>
      <c r="C2" s="291"/>
      <c r="D2" s="203">
        <f>+TITELBLAD!E16</f>
        <v>2022</v>
      </c>
      <c r="E2" s="203" t="str">
        <f>+TITELBLAD!F16</f>
        <v>ex-ante</v>
      </c>
      <c r="F2" s="291"/>
      <c r="G2" s="291"/>
      <c r="H2" s="290"/>
      <c r="I2" s="226"/>
      <c r="J2" s="225"/>
      <c r="K2" s="226"/>
      <c r="L2" s="226"/>
      <c r="M2" s="226"/>
      <c r="N2" s="226"/>
      <c r="O2" s="226"/>
      <c r="P2" s="226"/>
      <c r="Q2" s="291"/>
      <c r="R2" s="226"/>
    </row>
    <row r="3" spans="1:22" ht="13.5" thickBot="1" x14ac:dyDescent="0.25">
      <c r="B3" s="292" t="s">
        <v>15</v>
      </c>
      <c r="H3" s="233"/>
      <c r="I3" s="225"/>
      <c r="J3" s="225"/>
      <c r="K3" s="226"/>
      <c r="L3" s="226"/>
      <c r="M3" s="226"/>
      <c r="N3" s="226"/>
      <c r="O3" s="226"/>
      <c r="P3" s="226"/>
      <c r="Q3" s="291"/>
      <c r="R3" s="226"/>
    </row>
    <row r="4" spans="1:22" ht="13.5" thickBot="1" x14ac:dyDescent="0.25">
      <c r="B4" s="1051" t="str">
        <f>+TITELBLAD!C7</f>
        <v>NAAM DNB</v>
      </c>
      <c r="C4" s="1052"/>
      <c r="D4" s="1052"/>
      <c r="E4" s="1053"/>
      <c r="H4" s="233"/>
      <c r="I4" s="225"/>
      <c r="J4" s="225"/>
      <c r="K4" s="226"/>
      <c r="L4" s="226"/>
      <c r="M4" s="226"/>
      <c r="N4" s="226"/>
      <c r="O4" s="226"/>
      <c r="P4" s="226"/>
      <c r="Q4" s="291"/>
      <c r="R4" s="226"/>
    </row>
    <row r="5" spans="1:22" x14ac:dyDescent="0.2">
      <c r="H5" s="233"/>
      <c r="I5" s="225"/>
      <c r="J5" s="225"/>
      <c r="K5" s="226"/>
      <c r="L5" s="226"/>
      <c r="M5" s="226"/>
      <c r="N5" s="226"/>
      <c r="O5" s="226"/>
      <c r="P5" s="226"/>
      <c r="Q5" s="291"/>
      <c r="R5" s="226"/>
    </row>
    <row r="6" spans="1:22" ht="13.5" thickBot="1" x14ac:dyDescent="0.25">
      <c r="B6" s="292" t="s">
        <v>16</v>
      </c>
      <c r="H6" s="233"/>
      <c r="I6" s="225"/>
      <c r="J6" s="225"/>
      <c r="K6" s="226"/>
      <c r="L6" s="226"/>
      <c r="M6" s="226"/>
      <c r="N6" s="226"/>
      <c r="O6" s="226"/>
      <c r="P6" s="226"/>
      <c r="Q6" s="291"/>
      <c r="R6" s="226"/>
    </row>
    <row r="7" spans="1:22" ht="13.5" thickBot="1" x14ac:dyDescent="0.25">
      <c r="B7" s="1054" t="str">
        <f>+TITELBLAD!C10</f>
        <v>gas</v>
      </c>
      <c r="C7" s="1055"/>
      <c r="D7" s="1055"/>
      <c r="E7" s="1056"/>
      <c r="H7" s="233"/>
      <c r="I7" s="225"/>
      <c r="J7" s="225"/>
      <c r="K7" s="226"/>
      <c r="L7" s="226"/>
      <c r="M7" s="226"/>
      <c r="N7" s="226"/>
      <c r="O7" s="226"/>
      <c r="P7" s="226"/>
      <c r="Q7" s="291"/>
      <c r="R7" s="226"/>
    </row>
    <row r="8" spans="1:22" x14ac:dyDescent="0.2">
      <c r="H8" s="233"/>
      <c r="I8" s="225"/>
      <c r="J8" s="225"/>
      <c r="K8" s="226"/>
      <c r="L8" s="226"/>
      <c r="M8" s="226"/>
      <c r="N8" s="226"/>
      <c r="O8" s="226"/>
      <c r="P8" s="226"/>
      <c r="Q8" s="291"/>
      <c r="R8" s="226"/>
    </row>
    <row r="9" spans="1:22" x14ac:dyDescent="0.2">
      <c r="K9" s="291"/>
      <c r="L9" s="291"/>
      <c r="M9" s="291"/>
      <c r="N9" s="291"/>
      <c r="O9" s="291"/>
      <c r="P9" s="291"/>
      <c r="Q9" s="291"/>
      <c r="R9" s="291"/>
    </row>
    <row r="10" spans="1:22" x14ac:dyDescent="0.2">
      <c r="K10" s="291"/>
      <c r="L10" s="291"/>
      <c r="M10" s="291"/>
      <c r="N10" s="291"/>
      <c r="O10" s="291"/>
      <c r="P10" s="291"/>
      <c r="Q10" s="291"/>
      <c r="R10" s="291"/>
    </row>
    <row r="11" spans="1:22" x14ac:dyDescent="0.2">
      <c r="G11" s="123" t="s">
        <v>132</v>
      </c>
      <c r="H11" s="294"/>
      <c r="I11" s="295"/>
      <c r="K11" s="291"/>
      <c r="L11" s="291"/>
      <c r="M11" s="291"/>
      <c r="N11" s="291"/>
      <c r="O11" s="291"/>
      <c r="P11" s="291"/>
      <c r="Q11" s="291"/>
      <c r="R11" s="291"/>
    </row>
    <row r="12" spans="1:22" x14ac:dyDescent="0.2">
      <c r="G12" s="92" t="s">
        <v>101</v>
      </c>
      <c r="H12" s="294"/>
      <c r="I12" s="295"/>
    </row>
    <row r="13" spans="1:22" ht="60" customHeight="1" x14ac:dyDescent="0.2">
      <c r="B13" s="1101" t="s">
        <v>204</v>
      </c>
      <c r="C13" s="1102"/>
      <c r="D13" s="1102"/>
      <c r="E13" s="1103"/>
      <c r="F13" s="167"/>
      <c r="G13" s="165">
        <v>2015</v>
      </c>
      <c r="H13" s="165">
        <f>+G13+1</f>
        <v>2016</v>
      </c>
      <c r="I13" s="165">
        <f>+H13+1</f>
        <v>2017</v>
      </c>
      <c r="J13" s="165">
        <f>+I13+1</f>
        <v>2018</v>
      </c>
      <c r="K13" s="165">
        <f>+J13+1</f>
        <v>2019</v>
      </c>
      <c r="L13" s="165">
        <f t="shared" ref="L13:P13" si="0">+K13+1</f>
        <v>2020</v>
      </c>
      <c r="M13" s="165">
        <f t="shared" si="0"/>
        <v>2021</v>
      </c>
      <c r="N13" s="165">
        <f t="shared" si="0"/>
        <v>2022</v>
      </c>
      <c r="O13" s="165">
        <f t="shared" si="0"/>
        <v>2023</v>
      </c>
      <c r="P13" s="165">
        <f t="shared" si="0"/>
        <v>2024</v>
      </c>
      <c r="R13" s="165" t="s">
        <v>20</v>
      </c>
    </row>
    <row r="14" spans="1:22" s="296" customFormat="1" ht="12" customHeight="1" x14ac:dyDescent="0.2">
      <c r="B14" s="297"/>
      <c r="C14" s="297"/>
      <c r="D14" s="297"/>
      <c r="E14" s="297"/>
      <c r="F14" s="298"/>
      <c r="G14" s="299"/>
      <c r="H14" s="220"/>
      <c r="I14" s="220"/>
      <c r="Q14" s="300"/>
    </row>
    <row r="15" spans="1:22" ht="31.5" customHeight="1" x14ac:dyDescent="0.2">
      <c r="B15" s="1111" t="s">
        <v>201</v>
      </c>
      <c r="C15" s="1111"/>
      <c r="D15" s="1111"/>
      <c r="E15" s="1111"/>
      <c r="F15" s="167"/>
      <c r="G15" s="247">
        <f>+T5A!C29</f>
        <v>0</v>
      </c>
      <c r="H15" s="247">
        <f>+T5A!D29</f>
        <v>0</v>
      </c>
      <c r="I15" s="247">
        <f>+T5A!E29</f>
        <v>0</v>
      </c>
      <c r="J15" s="247">
        <f>+T5A!F29</f>
        <v>0</v>
      </c>
      <c r="K15" s="247">
        <f>+T5A!G29</f>
        <v>0</v>
      </c>
      <c r="L15" s="247">
        <f>+T5A!H29</f>
        <v>0</v>
      </c>
      <c r="M15" s="247">
        <f>+T5A!I29</f>
        <v>0</v>
      </c>
      <c r="N15" s="247">
        <f>+T5A!J29</f>
        <v>0</v>
      </c>
      <c r="O15" s="247">
        <f>+T5A!K29</f>
        <v>0</v>
      </c>
      <c r="P15" s="247">
        <f>+T5A!L29</f>
        <v>0</v>
      </c>
      <c r="R15" s="803">
        <f>SUM(G15:P15)</f>
        <v>0</v>
      </c>
    </row>
    <row r="16" spans="1:22" ht="31.5" customHeight="1" x14ac:dyDescent="0.2">
      <c r="B16" s="1111" t="s">
        <v>347</v>
      </c>
      <c r="C16" s="1111"/>
      <c r="D16" s="1111"/>
      <c r="E16" s="1111"/>
      <c r="F16" s="167"/>
      <c r="G16" s="520"/>
      <c r="H16" s="520"/>
      <c r="I16" s="520"/>
      <c r="J16" s="520"/>
      <c r="K16" s="520"/>
      <c r="L16" s="520"/>
      <c r="M16" s="520"/>
      <c r="N16" s="247">
        <f>+T5A!J30</f>
        <v>0</v>
      </c>
      <c r="O16" s="247">
        <f>+T5A!K30</f>
        <v>0</v>
      </c>
      <c r="P16" s="247">
        <f>+T5A!L30</f>
        <v>0</v>
      </c>
      <c r="R16" s="803">
        <f>SUM(G16:P16)</f>
        <v>0</v>
      </c>
    </row>
    <row r="17" spans="2:18" ht="31.5" customHeight="1" x14ac:dyDescent="0.2">
      <c r="B17" s="1111" t="s">
        <v>66</v>
      </c>
      <c r="C17" s="1111"/>
      <c r="D17" s="1111"/>
      <c r="E17" s="1111"/>
      <c r="F17" s="167"/>
      <c r="G17" s="247">
        <f>+T5A!C31</f>
        <v>0</v>
      </c>
      <c r="H17" s="247">
        <f>+T5A!D31</f>
        <v>0</v>
      </c>
      <c r="I17" s="247">
        <f>+T5A!E31</f>
        <v>0</v>
      </c>
      <c r="J17" s="247">
        <f>+T5A!F31</f>
        <v>0</v>
      </c>
      <c r="K17" s="247">
        <f>+T5A!G31</f>
        <v>0</v>
      </c>
      <c r="L17" s="247">
        <f>+T5A!H31</f>
        <v>0</v>
      </c>
      <c r="M17" s="247">
        <f>+T5A!I31</f>
        <v>0</v>
      </c>
      <c r="N17" s="247">
        <f>+T5A!J31</f>
        <v>0</v>
      </c>
      <c r="O17" s="247">
        <f>+T5A!K31</f>
        <v>0</v>
      </c>
      <c r="P17" s="247">
        <f>+T5A!L31</f>
        <v>0</v>
      </c>
      <c r="R17" s="803">
        <f t="shared" ref="R17:R22" si="1">SUM(G17:P17)</f>
        <v>0</v>
      </c>
    </row>
    <row r="18" spans="2:18" ht="31.5" customHeight="1" x14ac:dyDescent="0.2">
      <c r="B18" s="1111" t="s">
        <v>350</v>
      </c>
      <c r="C18" s="1111"/>
      <c r="D18" s="1111"/>
      <c r="E18" s="1111"/>
      <c r="F18" s="167"/>
      <c r="G18" s="247">
        <f>+T5A!C32</f>
        <v>0</v>
      </c>
      <c r="H18" s="247">
        <f>+T5A!D32</f>
        <v>0</v>
      </c>
      <c r="I18" s="247">
        <f>+T5A!E32</f>
        <v>0</v>
      </c>
      <c r="J18" s="247">
        <f>+T5A!F32</f>
        <v>0</v>
      </c>
      <c r="K18" s="247">
        <f>+T5A!G32</f>
        <v>0</v>
      </c>
      <c r="L18" s="247">
        <f>+T5A!H32</f>
        <v>0</v>
      </c>
      <c r="M18" s="520"/>
      <c r="N18" s="520"/>
      <c r="O18" s="520"/>
      <c r="P18" s="520"/>
      <c r="R18" s="803">
        <f>+SUM(G18:L18)</f>
        <v>0</v>
      </c>
    </row>
    <row r="19" spans="2:18" ht="31.5" customHeight="1" x14ac:dyDescent="0.2">
      <c r="B19" s="1111" t="s">
        <v>169</v>
      </c>
      <c r="C19" s="1111"/>
      <c r="D19" s="1111"/>
      <c r="E19" s="1111"/>
      <c r="F19" s="309"/>
      <c r="G19" s="520"/>
      <c r="H19" s="520"/>
      <c r="I19" s="520"/>
      <c r="J19" s="520"/>
      <c r="K19" s="520"/>
      <c r="L19" s="520"/>
      <c r="M19" s="520"/>
      <c r="N19" s="520"/>
      <c r="O19" s="520"/>
      <c r="P19" s="520"/>
      <c r="R19" s="805"/>
    </row>
    <row r="20" spans="2:18" ht="31.5" customHeight="1" x14ac:dyDescent="0.2">
      <c r="B20" s="1111" t="s">
        <v>67</v>
      </c>
      <c r="C20" s="1111"/>
      <c r="D20" s="1111"/>
      <c r="E20" s="1111"/>
      <c r="F20" s="167"/>
      <c r="G20" s="247">
        <f>+T5A!C34</f>
        <v>0</v>
      </c>
      <c r="H20" s="247">
        <f>+T5A!D34</f>
        <v>0</v>
      </c>
      <c r="I20" s="247">
        <f>+T5A!E34</f>
        <v>0</v>
      </c>
      <c r="J20" s="247">
        <f>+T5A!F34</f>
        <v>0</v>
      </c>
      <c r="K20" s="247">
        <f>+T5A!G34</f>
        <v>0</v>
      </c>
      <c r="L20" s="247">
        <f>+T5A!H34</f>
        <v>0</v>
      </c>
      <c r="M20" s="247">
        <f>+T5A!I34</f>
        <v>0</v>
      </c>
      <c r="N20" s="247">
        <f>+T5A!J34</f>
        <v>0</v>
      </c>
      <c r="O20" s="247">
        <f>+T5A!K34</f>
        <v>0</v>
      </c>
      <c r="P20" s="247">
        <f>+T5A!L34</f>
        <v>0</v>
      </c>
      <c r="R20" s="803">
        <f t="shared" si="1"/>
        <v>0</v>
      </c>
    </row>
    <row r="21" spans="2:18" ht="31.5" customHeight="1" x14ac:dyDescent="0.2">
      <c r="B21" s="1111" t="s">
        <v>96</v>
      </c>
      <c r="C21" s="1111"/>
      <c r="D21" s="1111"/>
      <c r="E21" s="1111"/>
      <c r="F21" s="167"/>
      <c r="G21" s="247">
        <f>+T5A!C35</f>
        <v>0</v>
      </c>
      <c r="H21" s="247">
        <f>+T5A!D35</f>
        <v>0</v>
      </c>
      <c r="I21" s="247">
        <f>+T5A!E35</f>
        <v>0</v>
      </c>
      <c r="J21" s="247">
        <f>+T5A!F35</f>
        <v>0</v>
      </c>
      <c r="K21" s="247">
        <f>+T5A!G35</f>
        <v>0</v>
      </c>
      <c r="L21" s="247">
        <f>+T5A!H35</f>
        <v>0</v>
      </c>
      <c r="M21" s="247">
        <f>+T5A!I35</f>
        <v>0</v>
      </c>
      <c r="N21" s="520"/>
      <c r="O21" s="520"/>
      <c r="P21" s="520"/>
      <c r="R21" s="803">
        <f t="shared" si="1"/>
        <v>0</v>
      </c>
    </row>
    <row r="22" spans="2:18" ht="31.5" customHeight="1" x14ac:dyDescent="0.2">
      <c r="B22" s="1129" t="s">
        <v>357</v>
      </c>
      <c r="C22" s="1130"/>
      <c r="D22" s="1130"/>
      <c r="E22" s="1131"/>
      <c r="F22" s="167"/>
      <c r="G22" s="247">
        <f>+T5A!C36</f>
        <v>0</v>
      </c>
      <c r="H22" s="247">
        <f>+T5A!D36</f>
        <v>0</v>
      </c>
      <c r="I22" s="247">
        <f>+T5A!E36</f>
        <v>0</v>
      </c>
      <c r="J22" s="247">
        <f>+T5A!F36</f>
        <v>0</v>
      </c>
      <c r="K22" s="247">
        <f>+T5A!G36</f>
        <v>0</v>
      </c>
      <c r="L22" s="247">
        <f>+T5A!H36</f>
        <v>0</v>
      </c>
      <c r="M22" s="247">
        <f>+T5A!I36</f>
        <v>0</v>
      </c>
      <c r="N22" s="247">
        <f>+T5A!J36</f>
        <v>0</v>
      </c>
      <c r="O22" s="247">
        <f>+T5A!K36</f>
        <v>0</v>
      </c>
      <c r="P22" s="247">
        <f>+T5A!L36</f>
        <v>0</v>
      </c>
      <c r="R22" s="803">
        <f t="shared" si="1"/>
        <v>0</v>
      </c>
    </row>
    <row r="23" spans="2:18" x14ac:dyDescent="0.2">
      <c r="G23" s="301"/>
      <c r="H23" s="301"/>
      <c r="I23" s="301"/>
      <c r="J23" s="301"/>
      <c r="K23" s="301"/>
      <c r="L23" s="301"/>
      <c r="M23" s="301"/>
      <c r="N23" s="301"/>
      <c r="O23" s="301"/>
      <c r="P23" s="301"/>
      <c r="R23" s="302"/>
    </row>
    <row r="24" spans="2:18" ht="31.5" customHeight="1" x14ac:dyDescent="0.2">
      <c r="B24" s="1125" t="s">
        <v>22</v>
      </c>
      <c r="C24" s="1126"/>
      <c r="D24" s="1126"/>
      <c r="E24" s="1127"/>
      <c r="F24" s="172"/>
      <c r="G24" s="173">
        <f t="shared" ref="G24:P24" si="2">SUM(G15:G22)</f>
        <v>0</v>
      </c>
      <c r="H24" s="173">
        <f t="shared" si="2"/>
        <v>0</v>
      </c>
      <c r="I24" s="173">
        <f t="shared" si="2"/>
        <v>0</v>
      </c>
      <c r="J24" s="173">
        <f t="shared" si="2"/>
        <v>0</v>
      </c>
      <c r="K24" s="173">
        <f t="shared" si="2"/>
        <v>0</v>
      </c>
      <c r="L24" s="173">
        <f t="shared" si="2"/>
        <v>0</v>
      </c>
      <c r="M24" s="173">
        <f t="shared" si="2"/>
        <v>0</v>
      </c>
      <c r="N24" s="173">
        <f t="shared" si="2"/>
        <v>0</v>
      </c>
      <c r="O24" s="173">
        <f t="shared" si="2"/>
        <v>0</v>
      </c>
      <c r="P24" s="173">
        <f t="shared" si="2"/>
        <v>0</v>
      </c>
      <c r="R24" s="173">
        <f>SUM(G24:P24)</f>
        <v>0</v>
      </c>
    </row>
    <row r="25" spans="2:18" x14ac:dyDescent="0.2">
      <c r="B25" s="1110" t="s">
        <v>98</v>
      </c>
      <c r="C25" s="1110"/>
      <c r="D25" s="1110"/>
      <c r="E25" s="1110"/>
      <c r="F25" s="218"/>
      <c r="G25" s="303">
        <f>+G24-T5A!C66</f>
        <v>0</v>
      </c>
      <c r="H25" s="303">
        <f>+H24-T5A!D66</f>
        <v>0</v>
      </c>
      <c r="I25" s="303">
        <f>+I24-T5A!E66</f>
        <v>0</v>
      </c>
      <c r="J25" s="303">
        <f>+J24-T5A!F66</f>
        <v>0</v>
      </c>
      <c r="K25" s="304">
        <f>+K24-T5A!G66</f>
        <v>0</v>
      </c>
      <c r="L25" s="304">
        <f>+L24-T5A!H66</f>
        <v>0</v>
      </c>
      <c r="M25" s="304">
        <f>+M24-T5A!I66</f>
        <v>0</v>
      </c>
      <c r="N25" s="304">
        <f>+N24-T5A!J66</f>
        <v>0</v>
      </c>
      <c r="O25" s="304">
        <f>+O24-T5A!K66</f>
        <v>0</v>
      </c>
      <c r="P25" s="304">
        <f>+P24-T5A!L66</f>
        <v>0</v>
      </c>
      <c r="R25" s="304">
        <f>+R24-T5A!N66</f>
        <v>0</v>
      </c>
    </row>
    <row r="26" spans="2:18" x14ac:dyDescent="0.2">
      <c r="B26" s="305"/>
      <c r="C26" s="305"/>
      <c r="D26" s="305"/>
      <c r="E26" s="305"/>
      <c r="F26" s="306"/>
      <c r="G26" s="307"/>
      <c r="H26" s="307"/>
      <c r="I26" s="307"/>
      <c r="J26" s="307"/>
    </row>
    <row r="27" spans="2:18" x14ac:dyDescent="0.2">
      <c r="G27" s="308" t="s">
        <v>32</v>
      </c>
      <c r="H27" s="301"/>
    </row>
    <row r="28" spans="2:18" x14ac:dyDescent="0.2">
      <c r="G28" s="308" t="s">
        <v>33</v>
      </c>
      <c r="H28" s="301"/>
    </row>
    <row r="29" spans="2:18" ht="60" customHeight="1" x14ac:dyDescent="0.2">
      <c r="B29" s="1101" t="s">
        <v>205</v>
      </c>
      <c r="C29" s="1102"/>
      <c r="D29" s="1102"/>
      <c r="E29" s="1103"/>
      <c r="F29" s="167"/>
      <c r="G29" s="165">
        <v>2015</v>
      </c>
      <c r="H29" s="165">
        <f>+G29+1</f>
        <v>2016</v>
      </c>
      <c r="I29" s="165">
        <f>+H29+1</f>
        <v>2017</v>
      </c>
      <c r="J29" s="165">
        <f>+I29+1</f>
        <v>2018</v>
      </c>
      <c r="K29" s="165">
        <f>+J29+1</f>
        <v>2019</v>
      </c>
      <c r="L29" s="165">
        <f t="shared" ref="L29:P29" si="3">+K29+1</f>
        <v>2020</v>
      </c>
      <c r="M29" s="165">
        <f t="shared" si="3"/>
        <v>2021</v>
      </c>
      <c r="N29" s="165">
        <f t="shared" si="3"/>
        <v>2022</v>
      </c>
      <c r="O29" s="165">
        <f t="shared" si="3"/>
        <v>2023</v>
      </c>
      <c r="P29" s="165">
        <f t="shared" si="3"/>
        <v>2024</v>
      </c>
      <c r="R29" s="165" t="s">
        <v>20</v>
      </c>
    </row>
    <row r="30" spans="2:18" s="296" customFormat="1" ht="12" customHeight="1" x14ac:dyDescent="0.2">
      <c r="B30" s="297"/>
      <c r="C30" s="297"/>
      <c r="D30" s="297"/>
      <c r="E30" s="297"/>
      <c r="F30" s="298"/>
      <c r="G30" s="299"/>
      <c r="H30" s="220"/>
      <c r="I30" s="220"/>
      <c r="Q30" s="300"/>
    </row>
    <row r="31" spans="2:18" ht="36" customHeight="1" x14ac:dyDescent="0.2">
      <c r="B31" s="1118" t="s">
        <v>201</v>
      </c>
      <c r="C31" s="1119"/>
      <c r="D31" s="1119"/>
      <c r="E31" s="1120"/>
      <c r="F31" s="167"/>
      <c r="G31" s="804"/>
      <c r="H31" s="804"/>
      <c r="I31" s="804"/>
      <c r="J31" s="804"/>
      <c r="K31" s="804"/>
      <c r="L31" s="804"/>
      <c r="M31" s="804"/>
      <c r="N31" s="804"/>
      <c r="O31" s="804"/>
      <c r="P31" s="804"/>
      <c r="R31" s="804"/>
    </row>
    <row r="32" spans="2:18" ht="28.5" customHeight="1" x14ac:dyDescent="0.2">
      <c r="B32" s="1107" t="str">
        <f>"per 31/12/"&amp;$G$13</f>
        <v>per 31/12/2015</v>
      </c>
      <c r="C32" s="1108"/>
      <c r="D32" s="1108"/>
      <c r="E32" s="1109"/>
      <c r="F32" s="167"/>
      <c r="G32" s="247"/>
      <c r="H32" s="247"/>
      <c r="I32" s="247"/>
      <c r="J32" s="247"/>
      <c r="K32" s="247"/>
      <c r="L32" s="247"/>
      <c r="M32" s="247"/>
      <c r="N32" s="247"/>
      <c r="O32" s="247"/>
      <c r="P32" s="247"/>
      <c r="R32" s="803">
        <f t="shared" ref="R32:R106" si="4">SUM(G32:P32)</f>
        <v>0</v>
      </c>
    </row>
    <row r="33" spans="2:18" ht="28.5" customHeight="1" x14ac:dyDescent="0.2">
      <c r="B33" s="1107" t="str">
        <f>"per 31/12/"&amp;$H$13</f>
        <v>per 31/12/2016</v>
      </c>
      <c r="C33" s="1108"/>
      <c r="D33" s="1108"/>
      <c r="E33" s="1109"/>
      <c r="F33" s="167"/>
      <c r="G33" s="247"/>
      <c r="H33" s="247"/>
      <c r="I33" s="247"/>
      <c r="J33" s="247"/>
      <c r="K33" s="247"/>
      <c r="L33" s="247"/>
      <c r="M33" s="247"/>
      <c r="N33" s="247"/>
      <c r="O33" s="247"/>
      <c r="P33" s="247"/>
      <c r="R33" s="803">
        <f t="shared" si="4"/>
        <v>0</v>
      </c>
    </row>
    <row r="34" spans="2:18" ht="28.5" customHeight="1" x14ac:dyDescent="0.2">
      <c r="B34" s="1107" t="str">
        <f>"per 31/12/"&amp;$I$13</f>
        <v>per 31/12/2017</v>
      </c>
      <c r="C34" s="1108"/>
      <c r="D34" s="1108"/>
      <c r="E34" s="1109"/>
      <c r="F34" s="167"/>
      <c r="G34" s="247">
        <f>J260</f>
        <v>0</v>
      </c>
      <c r="H34" s="247"/>
      <c r="I34" s="247"/>
      <c r="J34" s="247"/>
      <c r="K34" s="247"/>
      <c r="L34" s="247"/>
      <c r="M34" s="247"/>
      <c r="N34" s="247"/>
      <c r="O34" s="247"/>
      <c r="P34" s="247"/>
      <c r="R34" s="803">
        <f t="shared" si="4"/>
        <v>0</v>
      </c>
    </row>
    <row r="35" spans="2:18" ht="28.5" customHeight="1" x14ac:dyDescent="0.2">
      <c r="B35" s="1107" t="str">
        <f>"per 31/12/"&amp;$J$13</f>
        <v>per 31/12/2018</v>
      </c>
      <c r="C35" s="1108"/>
      <c r="D35" s="1108"/>
      <c r="E35" s="1109"/>
      <c r="F35" s="167"/>
      <c r="G35" s="247">
        <f>L265</f>
        <v>0</v>
      </c>
      <c r="H35" s="247">
        <f>L266</f>
        <v>0</v>
      </c>
      <c r="I35" s="247"/>
      <c r="J35" s="247"/>
      <c r="K35" s="247"/>
      <c r="L35" s="247"/>
      <c r="M35" s="247"/>
      <c r="N35" s="247"/>
      <c r="O35" s="247"/>
      <c r="P35" s="247"/>
      <c r="R35" s="803">
        <f t="shared" si="4"/>
        <v>0</v>
      </c>
    </row>
    <row r="36" spans="2:18" ht="28.5" customHeight="1" x14ac:dyDescent="0.2">
      <c r="B36" s="1107" t="str">
        <f>"per 31/12/"&amp;$K$13</f>
        <v>per 31/12/2019</v>
      </c>
      <c r="C36" s="1108"/>
      <c r="D36" s="1108"/>
      <c r="E36" s="1109"/>
      <c r="F36" s="167"/>
      <c r="G36" s="247">
        <f>L272</f>
        <v>0</v>
      </c>
      <c r="H36" s="247">
        <f>L273</f>
        <v>0</v>
      </c>
      <c r="I36" s="247">
        <f>L274</f>
        <v>0</v>
      </c>
      <c r="J36" s="247"/>
      <c r="K36" s="247"/>
      <c r="L36" s="247"/>
      <c r="M36" s="247"/>
      <c r="N36" s="247"/>
      <c r="O36" s="247"/>
      <c r="P36" s="247"/>
      <c r="R36" s="803">
        <f t="shared" si="4"/>
        <v>0</v>
      </c>
    </row>
    <row r="37" spans="2:18" ht="28.5" customHeight="1" x14ac:dyDescent="0.2">
      <c r="B37" s="1107" t="str">
        <f>"per 31/12/"&amp;$L$13</f>
        <v>per 31/12/2020</v>
      </c>
      <c r="C37" s="1108"/>
      <c r="D37" s="1108"/>
      <c r="E37" s="1109"/>
      <c r="F37" s="167"/>
      <c r="G37" s="247">
        <f>L280</f>
        <v>0</v>
      </c>
      <c r="H37" s="247">
        <f>L281</f>
        <v>0</v>
      </c>
      <c r="I37" s="247">
        <f>L282</f>
        <v>0</v>
      </c>
      <c r="J37" s="247">
        <f>L283</f>
        <v>0</v>
      </c>
      <c r="K37" s="247"/>
      <c r="L37" s="247"/>
      <c r="M37" s="247"/>
      <c r="N37" s="247"/>
      <c r="O37" s="247"/>
      <c r="P37" s="247"/>
      <c r="R37" s="803">
        <f t="shared" si="4"/>
        <v>0</v>
      </c>
    </row>
    <row r="38" spans="2:18" ht="28.5" customHeight="1" x14ac:dyDescent="0.2">
      <c r="B38" s="1107" t="str">
        <f>"per 31/12/"&amp;$M$13</f>
        <v>per 31/12/2021</v>
      </c>
      <c r="C38" s="1108"/>
      <c r="D38" s="1108"/>
      <c r="E38" s="1109"/>
      <c r="F38" s="167"/>
      <c r="G38" s="247">
        <f>+H289</f>
        <v>0</v>
      </c>
      <c r="H38" s="247">
        <f>H290</f>
        <v>0</v>
      </c>
      <c r="I38" s="247">
        <f>H291</f>
        <v>0</v>
      </c>
      <c r="J38" s="247">
        <f>H292</f>
        <v>0</v>
      </c>
      <c r="K38" s="247">
        <f>H293</f>
        <v>0</v>
      </c>
      <c r="L38" s="247"/>
      <c r="M38" s="247"/>
      <c r="N38" s="247"/>
      <c r="O38" s="247"/>
      <c r="P38" s="247"/>
      <c r="R38" s="803">
        <f t="shared" si="4"/>
        <v>0</v>
      </c>
    </row>
    <row r="39" spans="2:18" ht="28.5" customHeight="1" x14ac:dyDescent="0.2">
      <c r="B39" s="1107" t="str">
        <f>"per 31/12/"&amp;$N$13</f>
        <v>per 31/12/2022</v>
      </c>
      <c r="C39" s="1108"/>
      <c r="D39" s="1108"/>
      <c r="E39" s="1109"/>
      <c r="F39" s="167"/>
      <c r="G39" s="247">
        <f>H299</f>
        <v>0</v>
      </c>
      <c r="H39" s="247">
        <f>H300</f>
        <v>0</v>
      </c>
      <c r="I39" s="247">
        <f>H301</f>
        <v>0</v>
      </c>
      <c r="J39" s="247">
        <f>H302</f>
        <v>0</v>
      </c>
      <c r="K39" s="247">
        <f>H303</f>
        <v>0</v>
      </c>
      <c r="L39" s="247">
        <f>H304</f>
        <v>0</v>
      </c>
      <c r="M39" s="247"/>
      <c r="N39" s="247"/>
      <c r="O39" s="247"/>
      <c r="P39" s="247"/>
      <c r="R39" s="803">
        <f t="shared" si="4"/>
        <v>0</v>
      </c>
    </row>
    <row r="40" spans="2:18" ht="28.5" customHeight="1" x14ac:dyDescent="0.2">
      <c r="B40" s="1107" t="str">
        <f>"per 31/12/"&amp;$O$13</f>
        <v>per 31/12/2023</v>
      </c>
      <c r="C40" s="1108"/>
      <c r="D40" s="1108"/>
      <c r="E40" s="1109"/>
      <c r="F40" s="167"/>
      <c r="G40" s="247"/>
      <c r="H40" s="247"/>
      <c r="I40" s="247"/>
      <c r="J40" s="247"/>
      <c r="K40" s="247"/>
      <c r="L40" s="247">
        <f>H310</f>
        <v>0</v>
      </c>
      <c r="M40" s="247">
        <f>H311</f>
        <v>0</v>
      </c>
      <c r="N40" s="247"/>
      <c r="O40" s="247"/>
      <c r="P40" s="247"/>
      <c r="R40" s="803">
        <f t="shared" si="4"/>
        <v>0</v>
      </c>
    </row>
    <row r="41" spans="2:18" ht="28.5" customHeight="1" x14ac:dyDescent="0.2">
      <c r="B41" s="1107" t="str">
        <f>"per 31/12/"&amp;$P$13</f>
        <v>per 31/12/2024</v>
      </c>
      <c r="C41" s="1108"/>
      <c r="D41" s="1108"/>
      <c r="E41" s="1109"/>
      <c r="F41" s="167"/>
      <c r="G41" s="247"/>
      <c r="H41" s="247"/>
      <c r="I41" s="247"/>
      <c r="J41" s="247"/>
      <c r="K41" s="247"/>
      <c r="L41" s="247"/>
      <c r="M41" s="247">
        <f>H317</f>
        <v>0</v>
      </c>
      <c r="N41" s="247">
        <f>H318</f>
        <v>0</v>
      </c>
      <c r="O41" s="247"/>
      <c r="P41" s="247"/>
      <c r="R41" s="803">
        <f t="shared" si="4"/>
        <v>0</v>
      </c>
    </row>
    <row r="42" spans="2:18" ht="36" customHeight="1" x14ac:dyDescent="0.2">
      <c r="B42" s="1118" t="s">
        <v>347</v>
      </c>
      <c r="C42" s="1119"/>
      <c r="D42" s="1119"/>
      <c r="E42" s="1120"/>
      <c r="F42" s="167"/>
      <c r="G42" s="804"/>
      <c r="H42" s="804"/>
      <c r="I42" s="804"/>
      <c r="J42" s="804"/>
      <c r="K42" s="804"/>
      <c r="L42" s="804"/>
      <c r="M42" s="804"/>
      <c r="N42" s="804"/>
      <c r="O42" s="804"/>
      <c r="P42" s="804"/>
      <c r="R42" s="804"/>
    </row>
    <row r="43" spans="2:18" ht="28.5" customHeight="1" x14ac:dyDescent="0.2">
      <c r="B43" s="1112" t="str">
        <f>"per 31/12/"&amp;$G$13</f>
        <v>per 31/12/2015</v>
      </c>
      <c r="C43" s="1113"/>
      <c r="D43" s="1113"/>
      <c r="E43" s="1114"/>
      <c r="F43" s="167"/>
      <c r="G43" s="247"/>
      <c r="H43" s="247"/>
      <c r="I43" s="247"/>
      <c r="J43" s="247"/>
      <c r="K43" s="247"/>
      <c r="L43" s="247"/>
      <c r="M43" s="247"/>
      <c r="N43" s="247"/>
      <c r="O43" s="247"/>
      <c r="P43" s="247"/>
      <c r="R43" s="805"/>
    </row>
    <row r="44" spans="2:18" ht="28.5" customHeight="1" x14ac:dyDescent="0.2">
      <c r="B44" s="1112" t="str">
        <f>"per 31/12/"&amp;$H$13</f>
        <v>per 31/12/2016</v>
      </c>
      <c r="C44" s="1113"/>
      <c r="D44" s="1113"/>
      <c r="E44" s="1114"/>
      <c r="F44" s="167"/>
      <c r="G44" s="247"/>
      <c r="H44" s="247"/>
      <c r="I44" s="247"/>
      <c r="J44" s="247"/>
      <c r="K44" s="247"/>
      <c r="L44" s="247"/>
      <c r="M44" s="247"/>
      <c r="N44" s="247"/>
      <c r="O44" s="247"/>
      <c r="P44" s="247"/>
      <c r="R44" s="805"/>
    </row>
    <row r="45" spans="2:18" ht="28.5" customHeight="1" x14ac:dyDescent="0.2">
      <c r="B45" s="1112" t="str">
        <f>"per 31/12/"&amp;$I$13</f>
        <v>per 31/12/2017</v>
      </c>
      <c r="C45" s="1113"/>
      <c r="D45" s="1113"/>
      <c r="E45" s="1114"/>
      <c r="F45" s="167"/>
      <c r="G45" s="520"/>
      <c r="H45" s="247"/>
      <c r="I45" s="247"/>
      <c r="J45" s="247"/>
      <c r="K45" s="247"/>
      <c r="L45" s="247"/>
      <c r="M45" s="247"/>
      <c r="N45" s="247"/>
      <c r="O45" s="247"/>
      <c r="P45" s="247"/>
      <c r="R45" s="805"/>
    </row>
    <row r="46" spans="2:18" ht="28.5" customHeight="1" x14ac:dyDescent="0.2">
      <c r="B46" s="1112" t="str">
        <f>"per 31/12/"&amp;$J$13</f>
        <v>per 31/12/2018</v>
      </c>
      <c r="C46" s="1113"/>
      <c r="D46" s="1113"/>
      <c r="E46" s="1114"/>
      <c r="F46" s="167"/>
      <c r="G46" s="520"/>
      <c r="H46" s="520"/>
      <c r="I46" s="247"/>
      <c r="J46" s="247"/>
      <c r="K46" s="247"/>
      <c r="L46" s="247"/>
      <c r="M46" s="247"/>
      <c r="N46" s="247"/>
      <c r="O46" s="247"/>
      <c r="P46" s="247"/>
      <c r="R46" s="805"/>
    </row>
    <row r="47" spans="2:18" ht="28.5" customHeight="1" x14ac:dyDescent="0.2">
      <c r="B47" s="1112" t="str">
        <f>"per 31/12/"&amp;$K$13</f>
        <v>per 31/12/2019</v>
      </c>
      <c r="C47" s="1113"/>
      <c r="D47" s="1113"/>
      <c r="E47" s="1114"/>
      <c r="F47" s="167"/>
      <c r="G47" s="520"/>
      <c r="H47" s="520"/>
      <c r="I47" s="520"/>
      <c r="J47" s="247"/>
      <c r="K47" s="247"/>
      <c r="L47" s="247"/>
      <c r="M47" s="247"/>
      <c r="N47" s="247"/>
      <c r="O47" s="247"/>
      <c r="P47" s="247"/>
      <c r="R47" s="805"/>
    </row>
    <row r="48" spans="2:18" ht="28.5" customHeight="1" x14ac:dyDescent="0.2">
      <c r="B48" s="1112" t="str">
        <f>"per 31/12/"&amp;$L$13</f>
        <v>per 31/12/2020</v>
      </c>
      <c r="C48" s="1113"/>
      <c r="D48" s="1113"/>
      <c r="E48" s="1114"/>
      <c r="F48" s="167"/>
      <c r="G48" s="520"/>
      <c r="H48" s="520"/>
      <c r="I48" s="520"/>
      <c r="J48" s="520"/>
      <c r="K48" s="247"/>
      <c r="L48" s="247"/>
      <c r="M48" s="247"/>
      <c r="N48" s="247"/>
      <c r="O48" s="247"/>
      <c r="P48" s="247"/>
      <c r="R48" s="805"/>
    </row>
    <row r="49" spans="2:18" ht="28.5" customHeight="1" x14ac:dyDescent="0.2">
      <c r="B49" s="1112" t="str">
        <f>"per 31/12/"&amp;$M$13</f>
        <v>per 31/12/2021</v>
      </c>
      <c r="C49" s="1113"/>
      <c r="D49" s="1113"/>
      <c r="E49" s="1114"/>
      <c r="F49" s="167"/>
      <c r="G49" s="520"/>
      <c r="H49" s="520"/>
      <c r="I49" s="520"/>
      <c r="J49" s="520"/>
      <c r="K49" s="520"/>
      <c r="L49" s="247"/>
      <c r="M49" s="247"/>
      <c r="N49" s="247"/>
      <c r="O49" s="247"/>
      <c r="P49" s="247"/>
      <c r="R49" s="805"/>
    </row>
    <row r="50" spans="2:18" ht="28.5" customHeight="1" x14ac:dyDescent="0.2">
      <c r="B50" s="1112" t="str">
        <f>"per 31/12/"&amp;$N$13</f>
        <v>per 31/12/2022</v>
      </c>
      <c r="C50" s="1113"/>
      <c r="D50" s="1113"/>
      <c r="E50" s="1114"/>
      <c r="F50" s="167"/>
      <c r="G50" s="520"/>
      <c r="H50" s="520"/>
      <c r="I50" s="520"/>
      <c r="J50" s="520"/>
      <c r="K50" s="520"/>
      <c r="L50" s="520"/>
      <c r="M50" s="247"/>
      <c r="N50" s="247"/>
      <c r="O50" s="247"/>
      <c r="P50" s="247"/>
      <c r="R50" s="805"/>
    </row>
    <row r="51" spans="2:18" ht="28.5" customHeight="1" x14ac:dyDescent="0.2">
      <c r="B51" s="1112" t="str">
        <f>"per 31/12/"&amp;$O$13</f>
        <v>per 31/12/2023</v>
      </c>
      <c r="C51" s="1113"/>
      <c r="D51" s="1113"/>
      <c r="E51" s="1114"/>
      <c r="F51" s="167"/>
      <c r="G51" s="247"/>
      <c r="H51" s="247"/>
      <c r="I51" s="247"/>
      <c r="J51" s="247"/>
      <c r="K51" s="247"/>
      <c r="L51" s="520"/>
      <c r="M51" s="520"/>
      <c r="N51" s="247"/>
      <c r="O51" s="247"/>
      <c r="P51" s="247"/>
      <c r="R51" s="805"/>
    </row>
    <row r="52" spans="2:18" ht="28.5" customHeight="1" x14ac:dyDescent="0.2">
      <c r="B52" s="1107" t="str">
        <f>"per 31/12/"&amp;$P$13</f>
        <v>per 31/12/2024</v>
      </c>
      <c r="C52" s="1108"/>
      <c r="D52" s="1108"/>
      <c r="E52" s="1109"/>
      <c r="F52" s="167"/>
      <c r="G52" s="247"/>
      <c r="H52" s="247"/>
      <c r="I52" s="247"/>
      <c r="J52" s="247"/>
      <c r="K52" s="247"/>
      <c r="L52" s="247"/>
      <c r="M52" s="520"/>
      <c r="N52" s="247">
        <f>+H334</f>
        <v>0</v>
      </c>
      <c r="O52" s="247"/>
      <c r="P52" s="247"/>
      <c r="R52" s="803">
        <f t="shared" ref="R52" si="5">SUM(G52:P52)</f>
        <v>0</v>
      </c>
    </row>
    <row r="53" spans="2:18" ht="27.75" customHeight="1" x14ac:dyDescent="0.2">
      <c r="B53" s="1118" t="s">
        <v>66</v>
      </c>
      <c r="C53" s="1119"/>
      <c r="D53" s="1119"/>
      <c r="E53" s="1120"/>
      <c r="F53" s="167"/>
      <c r="G53" s="804"/>
      <c r="H53" s="804"/>
      <c r="I53" s="804"/>
      <c r="J53" s="804"/>
      <c r="K53" s="804"/>
      <c r="L53" s="804"/>
      <c r="M53" s="804"/>
      <c r="N53" s="804"/>
      <c r="O53" s="804"/>
      <c r="P53" s="804"/>
      <c r="R53" s="804"/>
    </row>
    <row r="54" spans="2:18" ht="28.5" customHeight="1" x14ac:dyDescent="0.2">
      <c r="B54" s="1107" t="str">
        <f>"per 31/12/"&amp;$G$13</f>
        <v>per 31/12/2015</v>
      </c>
      <c r="C54" s="1108"/>
      <c r="D54" s="1108"/>
      <c r="E54" s="1109"/>
      <c r="F54" s="167"/>
      <c r="G54" s="247"/>
      <c r="H54" s="247"/>
      <c r="I54" s="247"/>
      <c r="J54" s="247"/>
      <c r="K54" s="247"/>
      <c r="L54" s="247"/>
      <c r="M54" s="247"/>
      <c r="N54" s="247"/>
      <c r="O54" s="247"/>
      <c r="P54" s="247"/>
      <c r="R54" s="803">
        <f t="shared" si="4"/>
        <v>0</v>
      </c>
    </row>
    <row r="55" spans="2:18" ht="28.5" customHeight="1" x14ac:dyDescent="0.2">
      <c r="B55" s="1107" t="str">
        <f>"per 31/12/"&amp;$H$13</f>
        <v>per 31/12/2016</v>
      </c>
      <c r="C55" s="1108"/>
      <c r="D55" s="1108"/>
      <c r="E55" s="1109"/>
      <c r="F55" s="167"/>
      <c r="G55" s="247"/>
      <c r="H55" s="247"/>
      <c r="I55" s="247"/>
      <c r="J55" s="247"/>
      <c r="K55" s="247"/>
      <c r="L55" s="247"/>
      <c r="M55" s="247"/>
      <c r="N55" s="247"/>
      <c r="O55" s="247"/>
      <c r="P55" s="247"/>
      <c r="R55" s="803">
        <f t="shared" si="4"/>
        <v>0</v>
      </c>
    </row>
    <row r="56" spans="2:18" ht="28.5" customHeight="1" x14ac:dyDescent="0.2">
      <c r="B56" s="1107" t="str">
        <f>"per 31/12/"&amp;$I$13</f>
        <v>per 31/12/2017</v>
      </c>
      <c r="C56" s="1108"/>
      <c r="D56" s="1108"/>
      <c r="E56" s="1109"/>
      <c r="F56" s="167"/>
      <c r="G56" s="247">
        <f>J350</f>
        <v>0</v>
      </c>
      <c r="H56" s="247"/>
      <c r="I56" s="247"/>
      <c r="J56" s="247"/>
      <c r="K56" s="247"/>
      <c r="L56" s="247"/>
      <c r="M56" s="247"/>
      <c r="N56" s="247"/>
      <c r="O56" s="247"/>
      <c r="P56" s="247"/>
      <c r="R56" s="803">
        <f t="shared" si="4"/>
        <v>0</v>
      </c>
    </row>
    <row r="57" spans="2:18" ht="28.5" customHeight="1" x14ac:dyDescent="0.2">
      <c r="B57" s="1107" t="str">
        <f>"per 31/12/"&amp;$J$13</f>
        <v>per 31/12/2018</v>
      </c>
      <c r="C57" s="1108"/>
      <c r="D57" s="1108"/>
      <c r="E57" s="1109"/>
      <c r="F57" s="167"/>
      <c r="G57" s="247">
        <f>L355</f>
        <v>0</v>
      </c>
      <c r="H57" s="247">
        <f>L356</f>
        <v>0</v>
      </c>
      <c r="I57" s="247"/>
      <c r="J57" s="247"/>
      <c r="K57" s="247"/>
      <c r="L57" s="247"/>
      <c r="M57" s="247"/>
      <c r="N57" s="247"/>
      <c r="O57" s="247"/>
      <c r="P57" s="247"/>
      <c r="R57" s="803">
        <f t="shared" si="4"/>
        <v>0</v>
      </c>
    </row>
    <row r="58" spans="2:18" ht="28.5" customHeight="1" x14ac:dyDescent="0.2">
      <c r="B58" s="1107" t="str">
        <f>"per 31/12/"&amp;$K$13</f>
        <v>per 31/12/2019</v>
      </c>
      <c r="C58" s="1108"/>
      <c r="D58" s="1108"/>
      <c r="E58" s="1109"/>
      <c r="F58" s="167"/>
      <c r="G58" s="247">
        <f>L362</f>
        <v>0</v>
      </c>
      <c r="H58" s="247">
        <f>L363</f>
        <v>0</v>
      </c>
      <c r="I58" s="247">
        <f>L364</f>
        <v>0</v>
      </c>
      <c r="J58" s="247"/>
      <c r="K58" s="247"/>
      <c r="L58" s="247"/>
      <c r="M58" s="247"/>
      <c r="N58" s="247"/>
      <c r="O58" s="247"/>
      <c r="P58" s="247"/>
      <c r="R58" s="803">
        <f t="shared" si="4"/>
        <v>0</v>
      </c>
    </row>
    <row r="59" spans="2:18" ht="28.5" customHeight="1" x14ac:dyDescent="0.2">
      <c r="B59" s="1107" t="str">
        <f>"per 31/12/"&amp;$L$13</f>
        <v>per 31/12/2020</v>
      </c>
      <c r="C59" s="1108"/>
      <c r="D59" s="1108"/>
      <c r="E59" s="1109"/>
      <c r="F59" s="167"/>
      <c r="G59" s="247">
        <f>L370</f>
        <v>0</v>
      </c>
      <c r="H59" s="247">
        <f>L371</f>
        <v>0</v>
      </c>
      <c r="I59" s="247">
        <f>L372</f>
        <v>0</v>
      </c>
      <c r="J59" s="247">
        <f>L373</f>
        <v>0</v>
      </c>
      <c r="K59" s="247"/>
      <c r="L59" s="247"/>
      <c r="M59" s="247"/>
      <c r="N59" s="247"/>
      <c r="O59" s="247"/>
      <c r="P59" s="247"/>
      <c r="R59" s="803">
        <f t="shared" si="4"/>
        <v>0</v>
      </c>
    </row>
    <row r="60" spans="2:18" ht="28.5" customHeight="1" x14ac:dyDescent="0.2">
      <c r="B60" s="1107" t="str">
        <f>"per 31/12/"&amp;$M$13</f>
        <v>per 31/12/2021</v>
      </c>
      <c r="C60" s="1108"/>
      <c r="D60" s="1108"/>
      <c r="E60" s="1109"/>
      <c r="F60" s="167"/>
      <c r="G60" s="247">
        <f>H379</f>
        <v>0</v>
      </c>
      <c r="H60" s="247">
        <f>H380</f>
        <v>0</v>
      </c>
      <c r="I60" s="247">
        <f>H381</f>
        <v>0</v>
      </c>
      <c r="J60" s="247">
        <f>H382</f>
        <v>0</v>
      </c>
      <c r="K60" s="247">
        <f>H383</f>
        <v>0</v>
      </c>
      <c r="L60" s="247"/>
      <c r="M60" s="247"/>
      <c r="N60" s="247"/>
      <c r="O60" s="247"/>
      <c r="P60" s="247"/>
      <c r="R60" s="803">
        <f t="shared" si="4"/>
        <v>0</v>
      </c>
    </row>
    <row r="61" spans="2:18" ht="28.5" customHeight="1" x14ac:dyDescent="0.2">
      <c r="B61" s="1107" t="str">
        <f>"per 31/12/"&amp;$N$13</f>
        <v>per 31/12/2022</v>
      </c>
      <c r="C61" s="1108"/>
      <c r="D61" s="1108"/>
      <c r="E61" s="1109"/>
      <c r="F61" s="167"/>
      <c r="G61" s="247">
        <f>H389</f>
        <v>0</v>
      </c>
      <c r="H61" s="247">
        <f>H390</f>
        <v>0</v>
      </c>
      <c r="I61" s="247">
        <f>H391</f>
        <v>0</v>
      </c>
      <c r="J61" s="247">
        <f>H392</f>
        <v>0</v>
      </c>
      <c r="K61" s="247">
        <f>H393</f>
        <v>0</v>
      </c>
      <c r="L61" s="247">
        <f>H394</f>
        <v>0</v>
      </c>
      <c r="M61" s="247"/>
      <c r="N61" s="247"/>
      <c r="O61" s="247"/>
      <c r="P61" s="247"/>
      <c r="R61" s="803">
        <f t="shared" si="4"/>
        <v>0</v>
      </c>
    </row>
    <row r="62" spans="2:18" ht="28.5" customHeight="1" x14ac:dyDescent="0.2">
      <c r="B62" s="1107" t="str">
        <f>"per 31/12/"&amp;$O$13</f>
        <v>per 31/12/2023</v>
      </c>
      <c r="C62" s="1108"/>
      <c r="D62" s="1108"/>
      <c r="E62" s="1109"/>
      <c r="F62" s="167"/>
      <c r="G62" s="247"/>
      <c r="H62" s="247"/>
      <c r="I62" s="247"/>
      <c r="J62" s="247"/>
      <c r="K62" s="247"/>
      <c r="L62" s="247">
        <f>H400</f>
        <v>0</v>
      </c>
      <c r="M62" s="247">
        <f>H401</f>
        <v>0</v>
      </c>
      <c r="N62" s="247"/>
      <c r="O62" s="247"/>
      <c r="P62" s="247"/>
      <c r="R62" s="803">
        <f t="shared" si="4"/>
        <v>0</v>
      </c>
    </row>
    <row r="63" spans="2:18" ht="28.5" customHeight="1" x14ac:dyDescent="0.2">
      <c r="B63" s="1107" t="str">
        <f>"per 31/12/"&amp;$P$13</f>
        <v>per 31/12/2024</v>
      </c>
      <c r="C63" s="1108"/>
      <c r="D63" s="1108"/>
      <c r="E63" s="1109"/>
      <c r="F63" s="167"/>
      <c r="G63" s="247"/>
      <c r="H63" s="247"/>
      <c r="I63" s="247"/>
      <c r="J63" s="247"/>
      <c r="K63" s="247"/>
      <c r="L63" s="247"/>
      <c r="M63" s="247">
        <f>H407</f>
        <v>0</v>
      </c>
      <c r="N63" s="247">
        <f>H408</f>
        <v>0</v>
      </c>
      <c r="O63" s="247"/>
      <c r="P63" s="247"/>
      <c r="R63" s="803">
        <f t="shared" si="4"/>
        <v>0</v>
      </c>
    </row>
    <row r="64" spans="2:18" ht="33.75" customHeight="1" x14ac:dyDescent="0.2">
      <c r="B64" s="1128" t="s">
        <v>350</v>
      </c>
      <c r="C64" s="1128"/>
      <c r="D64" s="1128"/>
      <c r="E64" s="1128"/>
      <c r="F64" s="167"/>
      <c r="G64" s="804"/>
      <c r="H64" s="804"/>
      <c r="I64" s="804"/>
      <c r="J64" s="804"/>
      <c r="K64" s="804"/>
      <c r="L64" s="804"/>
      <c r="M64" s="804"/>
      <c r="N64" s="804"/>
      <c r="O64" s="804"/>
      <c r="P64" s="804"/>
      <c r="R64" s="804"/>
    </row>
    <row r="65" spans="2:18" ht="28.5" customHeight="1" x14ac:dyDescent="0.2">
      <c r="B65" s="1107" t="str">
        <f>"per 31/12/"&amp;$G$13</f>
        <v>per 31/12/2015</v>
      </c>
      <c r="C65" s="1108"/>
      <c r="D65" s="1108"/>
      <c r="E65" s="1109"/>
      <c r="F65" s="167"/>
      <c r="G65" s="247"/>
      <c r="H65" s="247"/>
      <c r="I65" s="247"/>
      <c r="J65" s="247"/>
      <c r="K65" s="247"/>
      <c r="L65" s="247"/>
      <c r="M65" s="247"/>
      <c r="N65" s="247"/>
      <c r="O65" s="247"/>
      <c r="P65" s="247"/>
      <c r="R65" s="803">
        <f t="shared" ref="R65:R73" si="6">SUM(G65:P65)</f>
        <v>0</v>
      </c>
    </row>
    <row r="66" spans="2:18" ht="28.5" customHeight="1" x14ac:dyDescent="0.2">
      <c r="B66" s="1107" t="str">
        <f>"per 31/12/"&amp;$H$13</f>
        <v>per 31/12/2016</v>
      </c>
      <c r="C66" s="1108"/>
      <c r="D66" s="1108"/>
      <c r="E66" s="1109"/>
      <c r="F66" s="167"/>
      <c r="G66" s="247"/>
      <c r="H66" s="247"/>
      <c r="I66" s="247"/>
      <c r="J66" s="247"/>
      <c r="K66" s="247"/>
      <c r="L66" s="247"/>
      <c r="M66" s="247"/>
      <c r="N66" s="247"/>
      <c r="O66" s="247"/>
      <c r="P66" s="247"/>
      <c r="R66" s="803">
        <f t="shared" si="6"/>
        <v>0</v>
      </c>
    </row>
    <row r="67" spans="2:18" ht="28.5" customHeight="1" x14ac:dyDescent="0.2">
      <c r="B67" s="1107" t="str">
        <f>"per 31/12/"&amp;$I$13</f>
        <v>per 31/12/2017</v>
      </c>
      <c r="C67" s="1108"/>
      <c r="D67" s="1108"/>
      <c r="E67" s="1109"/>
      <c r="F67" s="167"/>
      <c r="G67" s="247">
        <f>+J425</f>
        <v>0</v>
      </c>
      <c r="H67" s="247"/>
      <c r="I67" s="247"/>
      <c r="J67" s="247"/>
      <c r="K67" s="247"/>
      <c r="L67" s="247"/>
      <c r="M67" s="247"/>
      <c r="N67" s="247"/>
      <c r="O67" s="247"/>
      <c r="P67" s="247"/>
      <c r="R67" s="803">
        <f t="shared" si="6"/>
        <v>0</v>
      </c>
    </row>
    <row r="68" spans="2:18" ht="28.5" customHeight="1" x14ac:dyDescent="0.2">
      <c r="B68" s="1107" t="str">
        <f>"per 31/12/"&amp;$J$13</f>
        <v>per 31/12/2018</v>
      </c>
      <c r="C68" s="1108"/>
      <c r="D68" s="1108"/>
      <c r="E68" s="1109"/>
      <c r="F68" s="167"/>
      <c r="G68" s="247">
        <f>+L430</f>
        <v>0</v>
      </c>
      <c r="H68" s="247">
        <f>+L431</f>
        <v>0</v>
      </c>
      <c r="I68" s="247"/>
      <c r="J68" s="247"/>
      <c r="K68" s="247"/>
      <c r="L68" s="247"/>
      <c r="M68" s="247"/>
      <c r="N68" s="247"/>
      <c r="O68" s="247"/>
      <c r="P68" s="247"/>
      <c r="R68" s="803">
        <f t="shared" si="6"/>
        <v>0</v>
      </c>
    </row>
    <row r="69" spans="2:18" ht="28.5" customHeight="1" x14ac:dyDescent="0.2">
      <c r="B69" s="1107" t="str">
        <f>"per 31/12/"&amp;$K$13</f>
        <v>per 31/12/2019</v>
      </c>
      <c r="C69" s="1108"/>
      <c r="D69" s="1108"/>
      <c r="E69" s="1109"/>
      <c r="F69" s="167"/>
      <c r="G69" s="247">
        <f>+L437</f>
        <v>0</v>
      </c>
      <c r="H69" s="247">
        <f>+L438</f>
        <v>0</v>
      </c>
      <c r="I69" s="247">
        <f>+L439</f>
        <v>0</v>
      </c>
      <c r="J69" s="247"/>
      <c r="K69" s="247"/>
      <c r="L69" s="247"/>
      <c r="M69" s="247"/>
      <c r="N69" s="247"/>
      <c r="O69" s="247"/>
      <c r="P69" s="247"/>
      <c r="R69" s="803">
        <f t="shared" si="6"/>
        <v>0</v>
      </c>
    </row>
    <row r="70" spans="2:18" ht="28.5" customHeight="1" x14ac:dyDescent="0.2">
      <c r="B70" s="1107" t="str">
        <f>"per 31/12/"&amp;$L$13</f>
        <v>per 31/12/2020</v>
      </c>
      <c r="C70" s="1108"/>
      <c r="D70" s="1108"/>
      <c r="E70" s="1109"/>
      <c r="F70" s="167"/>
      <c r="G70" s="247">
        <f>+L445</f>
        <v>0</v>
      </c>
      <c r="H70" s="247">
        <f>+L446</f>
        <v>0</v>
      </c>
      <c r="I70" s="247">
        <f>+L447</f>
        <v>0</v>
      </c>
      <c r="J70" s="247">
        <f>+L448</f>
        <v>0</v>
      </c>
      <c r="K70" s="247"/>
      <c r="L70" s="247"/>
      <c r="M70" s="247"/>
      <c r="N70" s="247"/>
      <c r="O70" s="247"/>
      <c r="P70" s="247"/>
      <c r="R70" s="803">
        <f t="shared" si="6"/>
        <v>0</v>
      </c>
    </row>
    <row r="71" spans="2:18" ht="28.5" customHeight="1" x14ac:dyDescent="0.2">
      <c r="B71" s="1107" t="str">
        <f>"per 31/12/"&amp;$M$13</f>
        <v>per 31/12/2021</v>
      </c>
      <c r="C71" s="1108"/>
      <c r="D71" s="1108"/>
      <c r="E71" s="1109"/>
      <c r="F71" s="167"/>
      <c r="G71" s="247">
        <f>+H454</f>
        <v>0</v>
      </c>
      <c r="H71" s="247">
        <f>+H455</f>
        <v>0</v>
      </c>
      <c r="I71" s="247">
        <f>+H456</f>
        <v>0</v>
      </c>
      <c r="J71" s="247">
        <f>+H457</f>
        <v>0</v>
      </c>
      <c r="K71" s="247">
        <f>+H458</f>
        <v>0</v>
      </c>
      <c r="L71" s="247"/>
      <c r="M71" s="247"/>
      <c r="N71" s="247"/>
      <c r="O71" s="247"/>
      <c r="P71" s="247"/>
      <c r="R71" s="803">
        <f t="shared" si="6"/>
        <v>0</v>
      </c>
    </row>
    <row r="72" spans="2:18" ht="28.5" customHeight="1" x14ac:dyDescent="0.2">
      <c r="B72" s="1107" t="str">
        <f>"per 31/12/"&amp;$N$13</f>
        <v>per 31/12/2022</v>
      </c>
      <c r="C72" s="1108"/>
      <c r="D72" s="1108"/>
      <c r="E72" s="1109"/>
      <c r="F72" s="167"/>
      <c r="G72" s="247">
        <f>+H464</f>
        <v>0</v>
      </c>
      <c r="H72" s="247">
        <f>+H465</f>
        <v>0</v>
      </c>
      <c r="I72" s="247">
        <f>+H466</f>
        <v>0</v>
      </c>
      <c r="J72" s="247">
        <f>+H467</f>
        <v>0</v>
      </c>
      <c r="K72" s="247">
        <f>+H468</f>
        <v>0</v>
      </c>
      <c r="L72" s="247">
        <f>+H469</f>
        <v>0</v>
      </c>
      <c r="M72" s="247"/>
      <c r="N72" s="247"/>
      <c r="O72" s="247"/>
      <c r="P72" s="247"/>
      <c r="R72" s="803">
        <f t="shared" si="6"/>
        <v>0</v>
      </c>
    </row>
    <row r="73" spans="2:18" ht="28.5" customHeight="1" x14ac:dyDescent="0.2">
      <c r="B73" s="1107" t="str">
        <f>"per 31/12/"&amp;$O$13</f>
        <v>per 31/12/2023</v>
      </c>
      <c r="C73" s="1108"/>
      <c r="D73" s="1108"/>
      <c r="E73" s="1109"/>
      <c r="F73" s="167"/>
      <c r="G73" s="247"/>
      <c r="H73" s="247"/>
      <c r="I73" s="247"/>
      <c r="J73" s="247"/>
      <c r="K73" s="247"/>
      <c r="L73" s="247">
        <f>+H476</f>
        <v>0</v>
      </c>
      <c r="M73" s="247"/>
      <c r="N73" s="247"/>
      <c r="O73" s="247"/>
      <c r="P73" s="247"/>
      <c r="R73" s="803">
        <f t="shared" si="6"/>
        <v>0</v>
      </c>
    </row>
    <row r="74" spans="2:18" ht="28.5" customHeight="1" x14ac:dyDescent="0.2">
      <c r="B74" s="1112" t="str">
        <f>"per 31/12/"&amp;$P$13</f>
        <v>per 31/12/2024</v>
      </c>
      <c r="C74" s="1113"/>
      <c r="D74" s="1113"/>
      <c r="E74" s="1114"/>
      <c r="F74" s="309"/>
      <c r="G74" s="520"/>
      <c r="H74" s="520"/>
      <c r="I74" s="520"/>
      <c r="J74" s="520"/>
      <c r="K74" s="520"/>
      <c r="L74" s="520"/>
      <c r="M74" s="520"/>
      <c r="N74" s="520"/>
      <c r="O74" s="520"/>
      <c r="P74" s="520"/>
      <c r="R74" s="805"/>
    </row>
    <row r="75" spans="2:18" ht="30" customHeight="1" x14ac:dyDescent="0.2">
      <c r="B75" s="1118" t="s">
        <v>169</v>
      </c>
      <c r="C75" s="1119"/>
      <c r="D75" s="1119"/>
      <c r="E75" s="1120"/>
      <c r="F75" s="167"/>
      <c r="G75" s="804"/>
      <c r="H75" s="804"/>
      <c r="I75" s="804"/>
      <c r="J75" s="804"/>
      <c r="K75" s="804"/>
      <c r="L75" s="804"/>
      <c r="M75" s="804"/>
      <c r="N75" s="804"/>
      <c r="O75" s="804"/>
      <c r="P75" s="804"/>
      <c r="R75" s="804"/>
    </row>
    <row r="76" spans="2:18" ht="28.5" customHeight="1" x14ac:dyDescent="0.2">
      <c r="B76" s="1107" t="str">
        <f>"per 31/12/"&amp;$G$13</f>
        <v>per 31/12/2015</v>
      </c>
      <c r="C76" s="1108"/>
      <c r="D76" s="1108"/>
      <c r="E76" s="1109"/>
      <c r="F76" s="167"/>
      <c r="G76" s="247"/>
      <c r="H76" s="247"/>
      <c r="I76" s="247"/>
      <c r="J76" s="247"/>
      <c r="K76" s="247"/>
      <c r="L76" s="247"/>
      <c r="M76" s="247"/>
      <c r="N76" s="247"/>
      <c r="O76" s="247"/>
      <c r="P76" s="247"/>
      <c r="R76" s="805"/>
    </row>
    <row r="77" spans="2:18" ht="28.5" customHeight="1" x14ac:dyDescent="0.2">
      <c r="B77" s="1107" t="str">
        <f>"per 31/12/"&amp;$H$13</f>
        <v>per 31/12/2016</v>
      </c>
      <c r="C77" s="1108"/>
      <c r="D77" s="1108"/>
      <c r="E77" s="1109"/>
      <c r="F77" s="167"/>
      <c r="G77" s="247"/>
      <c r="H77" s="247"/>
      <c r="I77" s="247"/>
      <c r="J77" s="247"/>
      <c r="K77" s="247"/>
      <c r="L77" s="247"/>
      <c r="M77" s="247"/>
      <c r="N77" s="247"/>
      <c r="O77" s="247"/>
      <c r="P77" s="247"/>
      <c r="R77" s="805"/>
    </row>
    <row r="78" spans="2:18" ht="28.5" customHeight="1" x14ac:dyDescent="0.2">
      <c r="B78" s="1107" t="str">
        <f>"per 31/12/"&amp;$I$13</f>
        <v>per 31/12/2017</v>
      </c>
      <c r="C78" s="1108"/>
      <c r="D78" s="1108"/>
      <c r="E78" s="1109"/>
      <c r="F78" s="167"/>
      <c r="G78" s="520"/>
      <c r="H78" s="247"/>
      <c r="I78" s="247"/>
      <c r="J78" s="247"/>
      <c r="K78" s="247"/>
      <c r="L78" s="247"/>
      <c r="M78" s="247"/>
      <c r="N78" s="247"/>
      <c r="O78" s="247"/>
      <c r="P78" s="247"/>
      <c r="R78" s="805"/>
    </row>
    <row r="79" spans="2:18" ht="28.5" customHeight="1" x14ac:dyDescent="0.2">
      <c r="B79" s="1107" t="str">
        <f>"per 31/12/"&amp;$J$13</f>
        <v>per 31/12/2018</v>
      </c>
      <c r="C79" s="1108"/>
      <c r="D79" s="1108"/>
      <c r="E79" s="1109"/>
      <c r="F79" s="167"/>
      <c r="G79" s="520"/>
      <c r="H79" s="520"/>
      <c r="I79" s="247"/>
      <c r="J79" s="247"/>
      <c r="K79" s="247"/>
      <c r="L79" s="247"/>
      <c r="M79" s="247"/>
      <c r="N79" s="247"/>
      <c r="O79" s="247"/>
      <c r="P79" s="247"/>
      <c r="R79" s="805"/>
    </row>
    <row r="80" spans="2:18" ht="28.5" customHeight="1" x14ac:dyDescent="0.2">
      <c r="B80" s="1107" t="str">
        <f>"per 31/12/"&amp;$K$13</f>
        <v>per 31/12/2019</v>
      </c>
      <c r="C80" s="1108"/>
      <c r="D80" s="1108"/>
      <c r="E80" s="1109"/>
      <c r="F80" s="167"/>
      <c r="G80" s="520"/>
      <c r="H80" s="520"/>
      <c r="I80" s="520"/>
      <c r="J80" s="247"/>
      <c r="K80" s="247"/>
      <c r="L80" s="247"/>
      <c r="M80" s="247"/>
      <c r="N80" s="247"/>
      <c r="O80" s="247"/>
      <c r="P80" s="247"/>
      <c r="R80" s="805"/>
    </row>
    <row r="81" spans="2:18" ht="28.5" customHeight="1" x14ac:dyDescent="0.2">
      <c r="B81" s="1107" t="str">
        <f>"per 31/12/"&amp;$L$13</f>
        <v>per 31/12/2020</v>
      </c>
      <c r="C81" s="1108"/>
      <c r="D81" s="1108"/>
      <c r="E81" s="1109"/>
      <c r="F81" s="167"/>
      <c r="G81" s="520"/>
      <c r="H81" s="520"/>
      <c r="I81" s="520"/>
      <c r="J81" s="520"/>
      <c r="K81" s="247"/>
      <c r="L81" s="247"/>
      <c r="M81" s="247"/>
      <c r="N81" s="247"/>
      <c r="O81" s="247"/>
      <c r="P81" s="247"/>
      <c r="R81" s="805"/>
    </row>
    <row r="82" spans="2:18" ht="28.5" customHeight="1" x14ac:dyDescent="0.2">
      <c r="B82" s="1107" t="str">
        <f>"per 31/12/"&amp;$M$13</f>
        <v>per 31/12/2021</v>
      </c>
      <c r="C82" s="1108"/>
      <c r="D82" s="1108"/>
      <c r="E82" s="1109"/>
      <c r="F82" s="167"/>
      <c r="G82" s="520"/>
      <c r="H82" s="520"/>
      <c r="I82" s="520"/>
      <c r="J82" s="520"/>
      <c r="K82" s="520"/>
      <c r="L82" s="247"/>
      <c r="M82" s="247"/>
      <c r="N82" s="247"/>
      <c r="O82" s="247"/>
      <c r="P82" s="247"/>
      <c r="R82" s="805"/>
    </row>
    <row r="83" spans="2:18" ht="28.5" customHeight="1" x14ac:dyDescent="0.2">
      <c r="B83" s="1107" t="str">
        <f>"per 31/12/"&amp;$N$13</f>
        <v>per 31/12/2022</v>
      </c>
      <c r="C83" s="1108"/>
      <c r="D83" s="1108"/>
      <c r="E83" s="1109"/>
      <c r="F83" s="167"/>
      <c r="G83" s="520"/>
      <c r="H83" s="520"/>
      <c r="I83" s="520"/>
      <c r="J83" s="520"/>
      <c r="K83" s="520"/>
      <c r="L83" s="520"/>
      <c r="M83" s="247"/>
      <c r="N83" s="247"/>
      <c r="O83" s="247"/>
      <c r="P83" s="247"/>
      <c r="R83" s="805"/>
    </row>
    <row r="84" spans="2:18" ht="28.5" customHeight="1" x14ac:dyDescent="0.2">
      <c r="B84" s="1107" t="str">
        <f>"per 31/12/"&amp;$O$13</f>
        <v>per 31/12/2023</v>
      </c>
      <c r="C84" s="1108"/>
      <c r="D84" s="1108"/>
      <c r="E84" s="1109"/>
      <c r="F84" s="167"/>
      <c r="G84" s="247"/>
      <c r="H84" s="247"/>
      <c r="I84" s="247"/>
      <c r="J84" s="247"/>
      <c r="K84" s="247"/>
      <c r="L84" s="520"/>
      <c r="M84" s="520"/>
      <c r="N84" s="247"/>
      <c r="O84" s="247"/>
      <c r="P84" s="247"/>
      <c r="R84" s="805"/>
    </row>
    <row r="85" spans="2:18" ht="28.5" customHeight="1" x14ac:dyDescent="0.2">
      <c r="B85" s="1107" t="str">
        <f>"per 31/12/"&amp;$P$13</f>
        <v>per 31/12/2024</v>
      </c>
      <c r="C85" s="1108"/>
      <c r="D85" s="1108"/>
      <c r="E85" s="1109"/>
      <c r="F85" s="167"/>
      <c r="G85" s="247"/>
      <c r="H85" s="247"/>
      <c r="I85" s="247"/>
      <c r="J85" s="247"/>
      <c r="K85" s="247"/>
      <c r="L85" s="247"/>
      <c r="M85" s="520"/>
      <c r="N85" s="520"/>
      <c r="O85" s="247"/>
      <c r="P85" s="247"/>
      <c r="R85" s="805"/>
    </row>
    <row r="86" spans="2:18" ht="30" customHeight="1" x14ac:dyDescent="0.2">
      <c r="B86" s="1118" t="s">
        <v>67</v>
      </c>
      <c r="C86" s="1119"/>
      <c r="D86" s="1119"/>
      <c r="E86" s="1120"/>
      <c r="F86" s="167"/>
      <c r="G86" s="804"/>
      <c r="H86" s="804"/>
      <c r="I86" s="804"/>
      <c r="J86" s="804"/>
      <c r="K86" s="804"/>
      <c r="L86" s="804"/>
      <c r="M86" s="804"/>
      <c r="N86" s="804"/>
      <c r="O86" s="804"/>
      <c r="P86" s="804"/>
      <c r="R86" s="804"/>
    </row>
    <row r="87" spans="2:18" ht="28.5" customHeight="1" x14ac:dyDescent="0.2">
      <c r="B87" s="1107" t="str">
        <f>"per 31/12/"&amp;$G$13</f>
        <v>per 31/12/2015</v>
      </c>
      <c r="C87" s="1108"/>
      <c r="D87" s="1108"/>
      <c r="E87" s="1109"/>
      <c r="F87" s="167"/>
      <c r="G87" s="247"/>
      <c r="H87" s="247"/>
      <c r="I87" s="247"/>
      <c r="J87" s="247"/>
      <c r="K87" s="247"/>
      <c r="L87" s="247"/>
      <c r="M87" s="247"/>
      <c r="N87" s="247"/>
      <c r="O87" s="247"/>
      <c r="P87" s="247"/>
      <c r="R87" s="803">
        <f t="shared" si="4"/>
        <v>0</v>
      </c>
    </row>
    <row r="88" spans="2:18" ht="28.5" customHeight="1" x14ac:dyDescent="0.2">
      <c r="B88" s="1107" t="str">
        <f>"per 31/12/"&amp;$H$13</f>
        <v>per 31/12/2016</v>
      </c>
      <c r="C88" s="1108"/>
      <c r="D88" s="1108"/>
      <c r="E88" s="1109"/>
      <c r="F88" s="167"/>
      <c r="G88" s="247"/>
      <c r="H88" s="247"/>
      <c r="I88" s="247"/>
      <c r="J88" s="247"/>
      <c r="K88" s="247"/>
      <c r="L88" s="247"/>
      <c r="M88" s="247"/>
      <c r="N88" s="247"/>
      <c r="O88" s="247"/>
      <c r="P88" s="247"/>
      <c r="R88" s="803">
        <f t="shared" si="4"/>
        <v>0</v>
      </c>
    </row>
    <row r="89" spans="2:18" ht="28.5" customHeight="1" x14ac:dyDescent="0.2">
      <c r="B89" s="1107" t="str">
        <f>"per 31/12/"&amp;$I$13</f>
        <v>per 31/12/2017</v>
      </c>
      <c r="C89" s="1108"/>
      <c r="D89" s="1108"/>
      <c r="E89" s="1109"/>
      <c r="F89" s="167"/>
      <c r="G89" s="247">
        <f>J502</f>
        <v>0</v>
      </c>
      <c r="H89" s="247"/>
      <c r="I89" s="247"/>
      <c r="J89" s="247"/>
      <c r="K89" s="247"/>
      <c r="L89" s="247"/>
      <c r="M89" s="247"/>
      <c r="N89" s="247"/>
      <c r="O89" s="247"/>
      <c r="P89" s="247"/>
      <c r="R89" s="803">
        <f t="shared" si="4"/>
        <v>0</v>
      </c>
    </row>
    <row r="90" spans="2:18" ht="28.5" customHeight="1" x14ac:dyDescent="0.2">
      <c r="B90" s="1107" t="str">
        <f>"per 31/12/"&amp;$J$13</f>
        <v>per 31/12/2018</v>
      </c>
      <c r="C90" s="1108"/>
      <c r="D90" s="1108"/>
      <c r="E90" s="1109"/>
      <c r="F90" s="167"/>
      <c r="G90" s="247">
        <f>L507</f>
        <v>0</v>
      </c>
      <c r="H90" s="247">
        <f>L508</f>
        <v>0</v>
      </c>
      <c r="I90" s="247"/>
      <c r="J90" s="247"/>
      <c r="K90" s="247"/>
      <c r="L90" s="247"/>
      <c r="M90" s="247"/>
      <c r="N90" s="247"/>
      <c r="O90" s="247"/>
      <c r="P90" s="247"/>
      <c r="R90" s="803">
        <f t="shared" si="4"/>
        <v>0</v>
      </c>
    </row>
    <row r="91" spans="2:18" ht="28.5" customHeight="1" x14ac:dyDescent="0.2">
      <c r="B91" s="1107" t="str">
        <f>"per 31/12/"&amp;$K$13</f>
        <v>per 31/12/2019</v>
      </c>
      <c r="C91" s="1108"/>
      <c r="D91" s="1108"/>
      <c r="E91" s="1109"/>
      <c r="F91" s="167"/>
      <c r="G91" s="247">
        <f>L514</f>
        <v>0</v>
      </c>
      <c r="H91" s="247">
        <f>L515</f>
        <v>0</v>
      </c>
      <c r="I91" s="247">
        <f>L516</f>
        <v>0</v>
      </c>
      <c r="J91" s="247"/>
      <c r="K91" s="247"/>
      <c r="L91" s="247"/>
      <c r="M91" s="247"/>
      <c r="N91" s="247"/>
      <c r="O91" s="247"/>
      <c r="P91" s="247"/>
      <c r="R91" s="803">
        <f t="shared" si="4"/>
        <v>0</v>
      </c>
    </row>
    <row r="92" spans="2:18" ht="28.5" customHeight="1" x14ac:dyDescent="0.2">
      <c r="B92" s="1107" t="str">
        <f>"per 31/12/"&amp;$L$13</f>
        <v>per 31/12/2020</v>
      </c>
      <c r="C92" s="1108"/>
      <c r="D92" s="1108"/>
      <c r="E92" s="1109"/>
      <c r="F92" s="167"/>
      <c r="G92" s="247">
        <f>L522</f>
        <v>0</v>
      </c>
      <c r="H92" s="247">
        <f>L523</f>
        <v>0</v>
      </c>
      <c r="I92" s="247">
        <f>L524</f>
        <v>0</v>
      </c>
      <c r="J92" s="247">
        <f>L525</f>
        <v>0</v>
      </c>
      <c r="K92" s="247"/>
      <c r="L92" s="247"/>
      <c r="M92" s="247"/>
      <c r="N92" s="247"/>
      <c r="O92" s="247"/>
      <c r="P92" s="247"/>
      <c r="R92" s="803">
        <f t="shared" si="4"/>
        <v>0</v>
      </c>
    </row>
    <row r="93" spans="2:18" ht="28.5" customHeight="1" x14ac:dyDescent="0.2">
      <c r="B93" s="1107" t="str">
        <f>"per 31/12/"&amp;$M$13</f>
        <v>per 31/12/2021</v>
      </c>
      <c r="C93" s="1108"/>
      <c r="D93" s="1108"/>
      <c r="E93" s="1109"/>
      <c r="F93" s="167"/>
      <c r="G93" s="247">
        <f>H531</f>
        <v>0</v>
      </c>
      <c r="H93" s="247">
        <f>H532</f>
        <v>0</v>
      </c>
      <c r="I93" s="247">
        <f>H533</f>
        <v>0</v>
      </c>
      <c r="J93" s="247">
        <f>H534</f>
        <v>0</v>
      </c>
      <c r="K93" s="247">
        <f>H535</f>
        <v>0</v>
      </c>
      <c r="L93" s="247"/>
      <c r="M93" s="247"/>
      <c r="N93" s="247"/>
      <c r="O93" s="247"/>
      <c r="P93" s="247"/>
      <c r="R93" s="803">
        <f t="shared" si="4"/>
        <v>0</v>
      </c>
    </row>
    <row r="94" spans="2:18" ht="28.5" customHeight="1" x14ac:dyDescent="0.2">
      <c r="B94" s="1107" t="str">
        <f>"per 31/12/"&amp;$N$13</f>
        <v>per 31/12/2022</v>
      </c>
      <c r="C94" s="1108"/>
      <c r="D94" s="1108"/>
      <c r="E94" s="1109"/>
      <c r="F94" s="167"/>
      <c r="G94" s="247">
        <f>H541</f>
        <v>0</v>
      </c>
      <c r="H94" s="247">
        <f>H542</f>
        <v>0</v>
      </c>
      <c r="I94" s="247">
        <f>H543</f>
        <v>0</v>
      </c>
      <c r="J94" s="247">
        <f>H544</f>
        <v>0</v>
      </c>
      <c r="K94" s="247">
        <f>H545</f>
        <v>0</v>
      </c>
      <c r="L94" s="247">
        <f>H546</f>
        <v>0</v>
      </c>
      <c r="M94" s="247"/>
      <c r="N94" s="247"/>
      <c r="O94" s="247"/>
      <c r="P94" s="247"/>
      <c r="R94" s="803">
        <f t="shared" si="4"/>
        <v>0</v>
      </c>
    </row>
    <row r="95" spans="2:18" ht="28.5" customHeight="1" x14ac:dyDescent="0.2">
      <c r="B95" s="1107" t="str">
        <f>"per 31/12/"&amp;$O$13</f>
        <v>per 31/12/2023</v>
      </c>
      <c r="C95" s="1108"/>
      <c r="D95" s="1108"/>
      <c r="E95" s="1109"/>
      <c r="F95" s="167"/>
      <c r="G95" s="247"/>
      <c r="H95" s="247"/>
      <c r="I95" s="247"/>
      <c r="J95" s="247"/>
      <c r="K95" s="247"/>
      <c r="L95" s="247">
        <f>H552</f>
        <v>0</v>
      </c>
      <c r="M95" s="247">
        <f>H553</f>
        <v>0</v>
      </c>
      <c r="N95" s="247"/>
      <c r="O95" s="247"/>
      <c r="P95" s="247"/>
      <c r="R95" s="803">
        <f t="shared" si="4"/>
        <v>0</v>
      </c>
    </row>
    <row r="96" spans="2:18" ht="28.5" customHeight="1" x14ac:dyDescent="0.2">
      <c r="B96" s="1107" t="str">
        <f>"per 31/12/"&amp;$P$13</f>
        <v>per 31/12/2024</v>
      </c>
      <c r="C96" s="1108"/>
      <c r="D96" s="1108"/>
      <c r="E96" s="1109"/>
      <c r="F96" s="167"/>
      <c r="G96" s="247"/>
      <c r="H96" s="247"/>
      <c r="I96" s="247"/>
      <c r="J96" s="247"/>
      <c r="K96" s="247"/>
      <c r="L96" s="247"/>
      <c r="M96" s="247">
        <f>H559</f>
        <v>0</v>
      </c>
      <c r="N96" s="247">
        <f>H560</f>
        <v>0</v>
      </c>
      <c r="O96" s="247"/>
      <c r="P96" s="247"/>
      <c r="R96" s="803">
        <f t="shared" si="4"/>
        <v>0</v>
      </c>
    </row>
    <row r="97" spans="2:18" ht="26.25" customHeight="1" x14ac:dyDescent="0.2">
      <c r="B97" s="1118" t="s">
        <v>96</v>
      </c>
      <c r="C97" s="1119"/>
      <c r="D97" s="1119"/>
      <c r="E97" s="1120"/>
      <c r="F97" s="167"/>
      <c r="G97" s="804"/>
      <c r="H97" s="804"/>
      <c r="I97" s="804"/>
      <c r="J97" s="804"/>
      <c r="K97" s="804"/>
      <c r="L97" s="804"/>
      <c r="M97" s="804"/>
      <c r="N97" s="804"/>
      <c r="O97" s="804"/>
      <c r="P97" s="804"/>
      <c r="R97" s="804"/>
    </row>
    <row r="98" spans="2:18" ht="28.5" customHeight="1" x14ac:dyDescent="0.2">
      <c r="B98" s="1107" t="str">
        <f>"per 31/12/"&amp;$G$13</f>
        <v>per 31/12/2015</v>
      </c>
      <c r="C98" s="1108"/>
      <c r="D98" s="1108"/>
      <c r="E98" s="1109"/>
      <c r="F98" s="167"/>
      <c r="G98" s="247"/>
      <c r="H98" s="247"/>
      <c r="I98" s="247"/>
      <c r="J98" s="247"/>
      <c r="K98" s="247"/>
      <c r="L98" s="247"/>
      <c r="M98" s="247"/>
      <c r="N98" s="247"/>
      <c r="O98" s="247"/>
      <c r="P98" s="247"/>
      <c r="R98" s="803">
        <f t="shared" si="4"/>
        <v>0</v>
      </c>
    </row>
    <row r="99" spans="2:18" ht="28.5" customHeight="1" x14ac:dyDescent="0.2">
      <c r="B99" s="1107" t="str">
        <f>"per 31/12/"&amp;$H$13</f>
        <v>per 31/12/2016</v>
      </c>
      <c r="C99" s="1108"/>
      <c r="D99" s="1108"/>
      <c r="E99" s="1109"/>
      <c r="F99" s="167"/>
      <c r="G99" s="247"/>
      <c r="H99" s="247"/>
      <c r="I99" s="247"/>
      <c r="J99" s="247"/>
      <c r="K99" s="247"/>
      <c r="L99" s="247"/>
      <c r="M99" s="247"/>
      <c r="N99" s="247"/>
      <c r="O99" s="247"/>
      <c r="P99" s="247"/>
      <c r="R99" s="803">
        <f t="shared" si="4"/>
        <v>0</v>
      </c>
    </row>
    <row r="100" spans="2:18" ht="28.5" customHeight="1" x14ac:dyDescent="0.2">
      <c r="B100" s="1107" t="str">
        <f>"per 31/12/"&amp;$I$13</f>
        <v>per 31/12/2017</v>
      </c>
      <c r="C100" s="1108"/>
      <c r="D100" s="1108"/>
      <c r="E100" s="1109"/>
      <c r="F100" s="167"/>
      <c r="G100" s="247">
        <f>J577</f>
        <v>0</v>
      </c>
      <c r="H100" s="247"/>
      <c r="I100" s="247"/>
      <c r="J100" s="247"/>
      <c r="K100" s="247"/>
      <c r="L100" s="247"/>
      <c r="M100" s="247"/>
      <c r="N100" s="247"/>
      <c r="O100" s="247"/>
      <c r="P100" s="247"/>
      <c r="R100" s="803">
        <f t="shared" si="4"/>
        <v>0</v>
      </c>
    </row>
    <row r="101" spans="2:18" ht="28.5" customHeight="1" x14ac:dyDescent="0.2">
      <c r="B101" s="1107" t="str">
        <f>"per 31/12/"&amp;$J$13</f>
        <v>per 31/12/2018</v>
      </c>
      <c r="C101" s="1108"/>
      <c r="D101" s="1108"/>
      <c r="E101" s="1109"/>
      <c r="F101" s="167"/>
      <c r="G101" s="247">
        <f>L582</f>
        <v>0</v>
      </c>
      <c r="H101" s="247">
        <f>L583</f>
        <v>0</v>
      </c>
      <c r="I101" s="247"/>
      <c r="J101" s="247"/>
      <c r="K101" s="247"/>
      <c r="L101" s="247"/>
      <c r="M101" s="247"/>
      <c r="N101" s="247"/>
      <c r="O101" s="247"/>
      <c r="P101" s="247"/>
      <c r="R101" s="803">
        <f t="shared" si="4"/>
        <v>0</v>
      </c>
    </row>
    <row r="102" spans="2:18" ht="28.5" customHeight="1" x14ac:dyDescent="0.2">
      <c r="B102" s="1107" t="str">
        <f>"per 31/12/"&amp;$K$13</f>
        <v>per 31/12/2019</v>
      </c>
      <c r="C102" s="1108"/>
      <c r="D102" s="1108"/>
      <c r="E102" s="1109"/>
      <c r="F102" s="167"/>
      <c r="G102" s="247">
        <f>L589</f>
        <v>0</v>
      </c>
      <c r="H102" s="247">
        <f>L590</f>
        <v>0</v>
      </c>
      <c r="I102" s="247">
        <f>L591</f>
        <v>0</v>
      </c>
      <c r="J102" s="247"/>
      <c r="K102" s="247"/>
      <c r="L102" s="247"/>
      <c r="M102" s="247"/>
      <c r="N102" s="247"/>
      <c r="O102" s="247"/>
      <c r="P102" s="247"/>
      <c r="R102" s="803">
        <f t="shared" si="4"/>
        <v>0</v>
      </c>
    </row>
    <row r="103" spans="2:18" ht="28.5" customHeight="1" x14ac:dyDescent="0.2">
      <c r="B103" s="1107" t="str">
        <f>"per 31/12/"&amp;$L$13</f>
        <v>per 31/12/2020</v>
      </c>
      <c r="C103" s="1108"/>
      <c r="D103" s="1108"/>
      <c r="E103" s="1109"/>
      <c r="F103" s="167"/>
      <c r="G103" s="247">
        <f>L597</f>
        <v>0</v>
      </c>
      <c r="H103" s="247">
        <f>L598</f>
        <v>0</v>
      </c>
      <c r="I103" s="247">
        <f>L599</f>
        <v>0</v>
      </c>
      <c r="J103" s="247">
        <f>L600</f>
        <v>0</v>
      </c>
      <c r="K103" s="247"/>
      <c r="L103" s="247"/>
      <c r="M103" s="247"/>
      <c r="N103" s="247"/>
      <c r="O103" s="247"/>
      <c r="P103" s="247"/>
      <c r="R103" s="803">
        <f t="shared" si="4"/>
        <v>0</v>
      </c>
    </row>
    <row r="104" spans="2:18" ht="28.5" customHeight="1" x14ac:dyDescent="0.2">
      <c r="B104" s="1107" t="str">
        <f>"per 31/12/"&amp;$M$13</f>
        <v>per 31/12/2021</v>
      </c>
      <c r="C104" s="1108"/>
      <c r="D104" s="1108"/>
      <c r="E104" s="1109"/>
      <c r="F104" s="167"/>
      <c r="G104" s="247">
        <f>H606</f>
        <v>0</v>
      </c>
      <c r="H104" s="247">
        <f>H607</f>
        <v>0</v>
      </c>
      <c r="I104" s="247">
        <f>H608</f>
        <v>0</v>
      </c>
      <c r="J104" s="247">
        <f>H609</f>
        <v>0</v>
      </c>
      <c r="K104" s="247">
        <f>H610</f>
        <v>0</v>
      </c>
      <c r="L104" s="247"/>
      <c r="M104" s="247"/>
      <c r="N104" s="247"/>
      <c r="O104" s="247"/>
      <c r="P104" s="247"/>
      <c r="R104" s="803">
        <f t="shared" si="4"/>
        <v>0</v>
      </c>
    </row>
    <row r="105" spans="2:18" ht="28.5" customHeight="1" x14ac:dyDescent="0.2">
      <c r="B105" s="1107" t="str">
        <f>"per 31/12/"&amp;$N$13</f>
        <v>per 31/12/2022</v>
      </c>
      <c r="C105" s="1108"/>
      <c r="D105" s="1108"/>
      <c r="E105" s="1109"/>
      <c r="F105" s="167"/>
      <c r="G105" s="247">
        <f>H616</f>
        <v>0</v>
      </c>
      <c r="H105" s="247">
        <f>H617</f>
        <v>0</v>
      </c>
      <c r="I105" s="247">
        <f>H618</f>
        <v>0</v>
      </c>
      <c r="J105" s="247">
        <f>H619</f>
        <v>0</v>
      </c>
      <c r="K105" s="247">
        <f>H620</f>
        <v>0</v>
      </c>
      <c r="L105" s="247">
        <f>H621</f>
        <v>0</v>
      </c>
      <c r="M105" s="247"/>
      <c r="N105" s="247"/>
      <c r="O105" s="247"/>
      <c r="P105" s="247"/>
      <c r="R105" s="803">
        <f t="shared" si="4"/>
        <v>0</v>
      </c>
    </row>
    <row r="106" spans="2:18" ht="28.5" customHeight="1" x14ac:dyDescent="0.2">
      <c r="B106" s="1107" t="str">
        <f>"per 31/12/"&amp;$O$13</f>
        <v>per 31/12/2023</v>
      </c>
      <c r="C106" s="1108"/>
      <c r="D106" s="1108"/>
      <c r="E106" s="1109"/>
      <c r="F106" s="167"/>
      <c r="G106" s="247"/>
      <c r="H106" s="247"/>
      <c r="I106" s="247"/>
      <c r="J106" s="247"/>
      <c r="K106" s="247"/>
      <c r="L106" s="247">
        <f>H627</f>
        <v>0</v>
      </c>
      <c r="M106" s="247">
        <f>H628</f>
        <v>0</v>
      </c>
      <c r="N106" s="247"/>
      <c r="O106" s="247"/>
      <c r="P106" s="247"/>
      <c r="R106" s="803">
        <f t="shared" si="4"/>
        <v>0</v>
      </c>
    </row>
    <row r="107" spans="2:18" ht="28.5" customHeight="1" x14ac:dyDescent="0.2">
      <c r="B107" s="1107" t="str">
        <f>"per 31/12/"&amp;$P$13</f>
        <v>per 31/12/2024</v>
      </c>
      <c r="C107" s="1108"/>
      <c r="D107" s="1108"/>
      <c r="E107" s="1109"/>
      <c r="F107" s="167"/>
      <c r="G107" s="247"/>
      <c r="H107" s="247"/>
      <c r="I107" s="247"/>
      <c r="J107" s="247"/>
      <c r="K107" s="247"/>
      <c r="L107" s="247"/>
      <c r="M107" s="247">
        <f>H634</f>
        <v>0</v>
      </c>
      <c r="N107" s="520"/>
      <c r="O107" s="247"/>
      <c r="P107" s="247"/>
      <c r="R107" s="803">
        <f t="shared" ref="R107" si="7">SUM(G107:P107)</f>
        <v>0</v>
      </c>
    </row>
    <row r="108" spans="2:18" ht="33" customHeight="1" x14ac:dyDescent="0.2">
      <c r="B108" s="1118" t="s">
        <v>357</v>
      </c>
      <c r="C108" s="1119"/>
      <c r="D108" s="1119"/>
      <c r="E108" s="1120"/>
      <c r="F108" s="167"/>
      <c r="G108" s="804"/>
      <c r="H108" s="804"/>
      <c r="I108" s="804"/>
      <c r="J108" s="804"/>
      <c r="K108" s="804"/>
      <c r="L108" s="804"/>
      <c r="M108" s="804"/>
      <c r="N108" s="804"/>
      <c r="O108" s="804"/>
      <c r="P108" s="804"/>
      <c r="R108" s="804"/>
    </row>
    <row r="109" spans="2:18" ht="28.5" customHeight="1" x14ac:dyDescent="0.2">
      <c r="B109" s="1107" t="str">
        <f>"per 31/12/"&amp;$G$13</f>
        <v>per 31/12/2015</v>
      </c>
      <c r="C109" s="1108"/>
      <c r="D109" s="1108"/>
      <c r="E109" s="1109"/>
      <c r="F109" s="167"/>
      <c r="G109" s="247"/>
      <c r="H109" s="247"/>
      <c r="I109" s="247"/>
      <c r="J109" s="247"/>
      <c r="K109" s="247"/>
      <c r="L109" s="247"/>
      <c r="M109" s="247"/>
      <c r="N109" s="247"/>
      <c r="O109" s="247"/>
      <c r="P109" s="247"/>
      <c r="R109" s="803">
        <f t="shared" ref="R109:R118" si="8">SUM(G109:P109)</f>
        <v>0</v>
      </c>
    </row>
    <row r="110" spans="2:18" ht="28.5" customHeight="1" x14ac:dyDescent="0.2">
      <c r="B110" s="1107" t="str">
        <f>"per 31/12/"&amp;$H$13</f>
        <v>per 31/12/2016</v>
      </c>
      <c r="C110" s="1108"/>
      <c r="D110" s="1108"/>
      <c r="E110" s="1109"/>
      <c r="F110" s="167"/>
      <c r="G110" s="247"/>
      <c r="H110" s="247"/>
      <c r="I110" s="247"/>
      <c r="J110" s="247"/>
      <c r="K110" s="247"/>
      <c r="L110" s="247"/>
      <c r="M110" s="247"/>
      <c r="N110" s="247"/>
      <c r="O110" s="247"/>
      <c r="P110" s="247"/>
      <c r="R110" s="803">
        <f t="shared" si="8"/>
        <v>0</v>
      </c>
    </row>
    <row r="111" spans="2:18" ht="28.5" customHeight="1" x14ac:dyDescent="0.2">
      <c r="B111" s="1107" t="str">
        <f>"per 31/12/"&amp;$I$13</f>
        <v>per 31/12/2017</v>
      </c>
      <c r="C111" s="1108"/>
      <c r="D111" s="1108"/>
      <c r="E111" s="1109"/>
      <c r="F111" s="167"/>
      <c r="G111" s="247">
        <f>J651</f>
        <v>0</v>
      </c>
      <c r="H111" s="247"/>
      <c r="I111" s="247"/>
      <c r="J111" s="247"/>
      <c r="K111" s="247"/>
      <c r="L111" s="247"/>
      <c r="M111" s="247"/>
      <c r="N111" s="247"/>
      <c r="O111" s="247"/>
      <c r="P111" s="247"/>
      <c r="R111" s="803">
        <f t="shared" si="8"/>
        <v>0</v>
      </c>
    </row>
    <row r="112" spans="2:18" ht="28.5" customHeight="1" x14ac:dyDescent="0.2">
      <c r="B112" s="1107" t="str">
        <f>"per 31/12/"&amp;$J$13</f>
        <v>per 31/12/2018</v>
      </c>
      <c r="C112" s="1108"/>
      <c r="D112" s="1108"/>
      <c r="E112" s="1109"/>
      <c r="F112" s="167"/>
      <c r="G112" s="247">
        <f>L656</f>
        <v>0</v>
      </c>
      <c r="H112" s="247">
        <f>L657</f>
        <v>0</v>
      </c>
      <c r="I112" s="247"/>
      <c r="J112" s="247"/>
      <c r="K112" s="247"/>
      <c r="L112" s="247"/>
      <c r="M112" s="247"/>
      <c r="N112" s="247"/>
      <c r="O112" s="247"/>
      <c r="P112" s="247"/>
      <c r="R112" s="803">
        <f t="shared" si="8"/>
        <v>0</v>
      </c>
    </row>
    <row r="113" spans="1:18" ht="28.5" customHeight="1" x14ac:dyDescent="0.2">
      <c r="B113" s="1107" t="str">
        <f>"per 31/12/"&amp;$K$13</f>
        <v>per 31/12/2019</v>
      </c>
      <c r="C113" s="1108"/>
      <c r="D113" s="1108"/>
      <c r="E113" s="1109"/>
      <c r="F113" s="167"/>
      <c r="G113" s="247">
        <f>L663</f>
        <v>0</v>
      </c>
      <c r="H113" s="247">
        <f>L664</f>
        <v>0</v>
      </c>
      <c r="I113" s="247">
        <f>L665</f>
        <v>0</v>
      </c>
      <c r="J113" s="247"/>
      <c r="K113" s="247"/>
      <c r="L113" s="247"/>
      <c r="M113" s="247"/>
      <c r="N113" s="247"/>
      <c r="O113" s="247"/>
      <c r="P113" s="247"/>
      <c r="R113" s="803">
        <f t="shared" si="8"/>
        <v>0</v>
      </c>
    </row>
    <row r="114" spans="1:18" ht="28.5" customHeight="1" x14ac:dyDescent="0.2">
      <c r="B114" s="1107" t="str">
        <f>"per 31/12/"&amp;$L$13</f>
        <v>per 31/12/2020</v>
      </c>
      <c r="C114" s="1108"/>
      <c r="D114" s="1108"/>
      <c r="E114" s="1109"/>
      <c r="F114" s="167"/>
      <c r="G114" s="247">
        <f>L671</f>
        <v>0</v>
      </c>
      <c r="H114" s="247">
        <f>L672</f>
        <v>0</v>
      </c>
      <c r="I114" s="247">
        <f>L673</f>
        <v>0</v>
      </c>
      <c r="J114" s="247">
        <f>L674</f>
        <v>0</v>
      </c>
      <c r="K114" s="247"/>
      <c r="L114" s="247"/>
      <c r="M114" s="247"/>
      <c r="N114" s="247"/>
      <c r="O114" s="247"/>
      <c r="P114" s="247"/>
      <c r="R114" s="803">
        <f t="shared" si="8"/>
        <v>0</v>
      </c>
    </row>
    <row r="115" spans="1:18" ht="28.5" customHeight="1" x14ac:dyDescent="0.2">
      <c r="B115" s="1107" t="str">
        <f>"per 31/12/"&amp;$M$13</f>
        <v>per 31/12/2021</v>
      </c>
      <c r="C115" s="1108"/>
      <c r="D115" s="1108"/>
      <c r="E115" s="1109"/>
      <c r="F115" s="167"/>
      <c r="G115" s="247">
        <f>H680</f>
        <v>0</v>
      </c>
      <c r="H115" s="247">
        <f>H681</f>
        <v>0</v>
      </c>
      <c r="I115" s="247">
        <f>H682</f>
        <v>0</v>
      </c>
      <c r="J115" s="247">
        <f>H683</f>
        <v>0</v>
      </c>
      <c r="K115" s="247">
        <f>H684</f>
        <v>0</v>
      </c>
      <c r="L115" s="247"/>
      <c r="M115" s="247"/>
      <c r="N115" s="247"/>
      <c r="O115" s="247"/>
      <c r="P115" s="247"/>
      <c r="R115" s="803">
        <f t="shared" si="8"/>
        <v>0</v>
      </c>
    </row>
    <row r="116" spans="1:18" ht="28.5" customHeight="1" x14ac:dyDescent="0.2">
      <c r="B116" s="1107" t="str">
        <f>"per 31/12/"&amp;$N$13</f>
        <v>per 31/12/2022</v>
      </c>
      <c r="C116" s="1108"/>
      <c r="D116" s="1108"/>
      <c r="E116" s="1109"/>
      <c r="F116" s="167"/>
      <c r="G116" s="247">
        <f>H690</f>
        <v>0</v>
      </c>
      <c r="H116" s="247">
        <f>H691</f>
        <v>0</v>
      </c>
      <c r="I116" s="247">
        <f>H692</f>
        <v>0</v>
      </c>
      <c r="J116" s="247">
        <f>H693</f>
        <v>0</v>
      </c>
      <c r="K116" s="247">
        <f>H694</f>
        <v>0</v>
      </c>
      <c r="L116" s="247">
        <f>H695</f>
        <v>0</v>
      </c>
      <c r="M116" s="247"/>
      <c r="N116" s="247"/>
      <c r="O116" s="247"/>
      <c r="P116" s="247"/>
      <c r="R116" s="803">
        <f t="shared" si="8"/>
        <v>0</v>
      </c>
    </row>
    <row r="117" spans="1:18" ht="28.5" customHeight="1" x14ac:dyDescent="0.2">
      <c r="B117" s="1107" t="str">
        <f>"per 31/12/"&amp;$O$13</f>
        <v>per 31/12/2023</v>
      </c>
      <c r="C117" s="1108"/>
      <c r="D117" s="1108"/>
      <c r="E117" s="1109"/>
      <c r="F117" s="167"/>
      <c r="G117" s="247"/>
      <c r="H117" s="247"/>
      <c r="I117" s="247"/>
      <c r="J117" s="247"/>
      <c r="K117" s="247"/>
      <c r="L117" s="247">
        <f>H701</f>
        <v>0</v>
      </c>
      <c r="M117" s="247">
        <f>H702</f>
        <v>0</v>
      </c>
      <c r="N117" s="247"/>
      <c r="O117" s="247"/>
      <c r="P117" s="247"/>
      <c r="R117" s="803">
        <f t="shared" si="8"/>
        <v>0</v>
      </c>
    </row>
    <row r="118" spans="1:18" ht="28.5" customHeight="1" x14ac:dyDescent="0.2">
      <c r="B118" s="1107" t="str">
        <f>"per 31/12/"&amp;$P$13</f>
        <v>per 31/12/2024</v>
      </c>
      <c r="C118" s="1108"/>
      <c r="D118" s="1108"/>
      <c r="E118" s="1109"/>
      <c r="F118" s="167"/>
      <c r="G118" s="247"/>
      <c r="H118" s="247"/>
      <c r="I118" s="247"/>
      <c r="J118" s="247"/>
      <c r="K118" s="247"/>
      <c r="L118" s="247"/>
      <c r="M118" s="247">
        <f>H708</f>
        <v>0</v>
      </c>
      <c r="N118" s="247">
        <f>H709</f>
        <v>0</v>
      </c>
      <c r="O118" s="247"/>
      <c r="P118" s="247"/>
      <c r="R118" s="803">
        <f t="shared" si="8"/>
        <v>0</v>
      </c>
    </row>
    <row r="119" spans="1:18" x14ac:dyDescent="0.2">
      <c r="G119" s="301"/>
      <c r="H119" s="301"/>
      <c r="I119" s="301"/>
      <c r="J119" s="301"/>
      <c r="K119" s="301"/>
      <c r="L119" s="301"/>
      <c r="M119" s="301"/>
      <c r="N119" s="301"/>
      <c r="O119" s="301"/>
      <c r="P119" s="301"/>
      <c r="R119" s="301"/>
    </row>
    <row r="120" spans="1:18" s="216" customFormat="1" x14ac:dyDescent="0.2">
      <c r="B120" s="1124"/>
      <c r="C120" s="1124"/>
      <c r="D120" s="1124"/>
      <c r="E120" s="1124"/>
      <c r="G120" s="304"/>
      <c r="H120" s="304"/>
      <c r="I120" s="304"/>
      <c r="J120" s="304"/>
      <c r="K120" s="304"/>
      <c r="L120" s="304"/>
      <c r="M120" s="304"/>
      <c r="N120" s="304"/>
      <c r="O120" s="304"/>
      <c r="P120" s="304"/>
      <c r="Q120" s="205"/>
      <c r="R120" s="304"/>
    </row>
    <row r="121" spans="1:18" s="216" customFormat="1" x14ac:dyDescent="0.2">
      <c r="B121" s="310"/>
      <c r="C121" s="311"/>
      <c r="D121" s="311"/>
      <c r="E121" s="312"/>
      <c r="F121" s="275"/>
      <c r="G121" s="784">
        <v>2015</v>
      </c>
      <c r="H121" s="165">
        <f>+G121+1</f>
        <v>2016</v>
      </c>
      <c r="I121" s="165">
        <f>+H121+1</f>
        <v>2017</v>
      </c>
      <c r="J121" s="165">
        <f>+I121+1</f>
        <v>2018</v>
      </c>
      <c r="K121" s="165">
        <f>+J121+1</f>
        <v>2019</v>
      </c>
      <c r="L121" s="165">
        <f t="shared" ref="L121:P121" si="9">+K121+1</f>
        <v>2020</v>
      </c>
      <c r="M121" s="165">
        <f t="shared" si="9"/>
        <v>2021</v>
      </c>
      <c r="N121" s="165">
        <f t="shared" si="9"/>
        <v>2022</v>
      </c>
      <c r="O121" s="165">
        <f t="shared" si="9"/>
        <v>2023</v>
      </c>
      <c r="P121" s="165">
        <f t="shared" si="9"/>
        <v>2024</v>
      </c>
      <c r="Q121" s="203"/>
      <c r="R121" s="165" t="s">
        <v>20</v>
      </c>
    </row>
    <row r="122" spans="1:18" s="212" customFormat="1" ht="26.25" customHeight="1" x14ac:dyDescent="0.2">
      <c r="B122" s="1125" t="s">
        <v>126</v>
      </c>
      <c r="C122" s="1126"/>
      <c r="D122" s="1126"/>
      <c r="E122" s="1127"/>
      <c r="F122" s="171"/>
      <c r="G122" s="170"/>
      <c r="H122" s="170"/>
      <c r="I122" s="170"/>
      <c r="J122" s="170"/>
      <c r="K122" s="170"/>
      <c r="L122" s="170"/>
      <c r="M122" s="170"/>
      <c r="N122" s="170"/>
      <c r="O122" s="170"/>
      <c r="P122" s="170"/>
      <c r="Q122" s="204"/>
      <c r="R122" s="170"/>
    </row>
    <row r="123" spans="1:18" ht="28.5" customHeight="1" x14ac:dyDescent="0.2">
      <c r="A123" s="291"/>
      <c r="B123" s="1115" t="str">
        <f>"per 31/12/"&amp;$G$13</f>
        <v>per 31/12/2015</v>
      </c>
      <c r="C123" s="1116"/>
      <c r="D123" s="1116"/>
      <c r="E123" s="1117"/>
      <c r="F123" s="313"/>
      <c r="G123" s="806"/>
      <c r="H123" s="806"/>
      <c r="I123" s="806"/>
      <c r="J123" s="806"/>
      <c r="K123" s="806"/>
      <c r="L123" s="806"/>
      <c r="M123" s="806"/>
      <c r="N123" s="806"/>
      <c r="O123" s="806"/>
      <c r="P123" s="806"/>
      <c r="R123" s="807">
        <f t="shared" ref="R123:R132" si="10">SUMIFS(R$32:R$118,$B$32:$B$118,$B123)</f>
        <v>0</v>
      </c>
    </row>
    <row r="124" spans="1:18" ht="28.5" customHeight="1" x14ac:dyDescent="0.2">
      <c r="A124" s="291"/>
      <c r="B124" s="1115" t="str">
        <f>"per 31/12/"&amp;$H$13</f>
        <v>per 31/12/2016</v>
      </c>
      <c r="C124" s="1116"/>
      <c r="D124" s="1116"/>
      <c r="E124" s="1117"/>
      <c r="F124" s="313"/>
      <c r="G124" s="806"/>
      <c r="H124" s="806"/>
      <c r="I124" s="806"/>
      <c r="J124" s="806"/>
      <c r="K124" s="806"/>
      <c r="L124" s="806"/>
      <c r="M124" s="806"/>
      <c r="N124" s="806"/>
      <c r="O124" s="806"/>
      <c r="P124" s="806"/>
      <c r="R124" s="807">
        <f t="shared" si="10"/>
        <v>0</v>
      </c>
    </row>
    <row r="125" spans="1:18" ht="28.5" customHeight="1" x14ac:dyDescent="0.2">
      <c r="A125" s="291"/>
      <c r="B125" s="1115" t="str">
        <f>"per 31/12/"&amp;$I$13</f>
        <v>per 31/12/2017</v>
      </c>
      <c r="C125" s="1116"/>
      <c r="D125" s="1116"/>
      <c r="E125" s="1117"/>
      <c r="F125" s="313"/>
      <c r="G125" s="806">
        <f t="shared" ref="G125:G130" si="11">SUMIFS(G$32:G$118,$B$32:$B$118,$B125)</f>
        <v>0</v>
      </c>
      <c r="H125" s="806"/>
      <c r="I125" s="806"/>
      <c r="J125" s="806"/>
      <c r="K125" s="806"/>
      <c r="L125" s="806"/>
      <c r="M125" s="806"/>
      <c r="N125" s="806"/>
      <c r="O125" s="806"/>
      <c r="P125" s="806"/>
      <c r="R125" s="807">
        <f t="shared" si="10"/>
        <v>0</v>
      </c>
    </row>
    <row r="126" spans="1:18" ht="28.5" customHeight="1" x14ac:dyDescent="0.2">
      <c r="A126" s="291"/>
      <c r="B126" s="1115" t="str">
        <f>"per 31/12/"&amp;$J$13</f>
        <v>per 31/12/2018</v>
      </c>
      <c r="C126" s="1116"/>
      <c r="D126" s="1116"/>
      <c r="E126" s="1117"/>
      <c r="F126" s="313"/>
      <c r="G126" s="806">
        <f t="shared" si="11"/>
        <v>0</v>
      </c>
      <c r="H126" s="806">
        <f>SUMIFS(H$32:H$118,$B$32:$B$118,$B126)</f>
        <v>0</v>
      </c>
      <c r="I126" s="806"/>
      <c r="J126" s="806"/>
      <c r="K126" s="806"/>
      <c r="L126" s="806"/>
      <c r="M126" s="806"/>
      <c r="N126" s="806"/>
      <c r="O126" s="806"/>
      <c r="P126" s="806"/>
      <c r="R126" s="807">
        <f t="shared" si="10"/>
        <v>0</v>
      </c>
    </row>
    <row r="127" spans="1:18" ht="28.5" customHeight="1" x14ac:dyDescent="0.2">
      <c r="A127" s="291"/>
      <c r="B127" s="1115" t="str">
        <f>"per 31/12/"&amp;$K$13</f>
        <v>per 31/12/2019</v>
      </c>
      <c r="C127" s="1116"/>
      <c r="D127" s="1116"/>
      <c r="E127" s="1117"/>
      <c r="F127" s="313"/>
      <c r="G127" s="806">
        <f t="shared" si="11"/>
        <v>0</v>
      </c>
      <c r="H127" s="806">
        <f>SUMIFS(H$32:H$118,$B$32:$B$118,$B127)</f>
        <v>0</v>
      </c>
      <c r="I127" s="806">
        <f>SUMIFS(I$32:I$118,$B$32:$B$118,$B127)</f>
        <v>0</v>
      </c>
      <c r="J127" s="806"/>
      <c r="K127" s="806"/>
      <c r="L127" s="806"/>
      <c r="M127" s="806"/>
      <c r="N127" s="806"/>
      <c r="O127" s="806"/>
      <c r="P127" s="806"/>
      <c r="R127" s="807">
        <f t="shared" si="10"/>
        <v>0</v>
      </c>
    </row>
    <row r="128" spans="1:18" ht="28.5" customHeight="1" x14ac:dyDescent="0.2">
      <c r="A128" s="291"/>
      <c r="B128" s="1115" t="str">
        <f>"per 31/12/"&amp;$L$13</f>
        <v>per 31/12/2020</v>
      </c>
      <c r="C128" s="1116"/>
      <c r="D128" s="1116"/>
      <c r="E128" s="1117"/>
      <c r="F128" s="313"/>
      <c r="G128" s="806">
        <f t="shared" si="11"/>
        <v>0</v>
      </c>
      <c r="H128" s="806">
        <f>SUMIFS(H$32:H$118,$B$32:$B$118,$B128)</f>
        <v>0</v>
      </c>
      <c r="I128" s="806">
        <f>SUMIFS(I$32:I$118,$B$32:$B$118,$B128)</f>
        <v>0</v>
      </c>
      <c r="J128" s="806">
        <f>SUMIFS(J$32:J$118,$B$32:$B$118,$B128)</f>
        <v>0</v>
      </c>
      <c r="K128" s="806"/>
      <c r="L128" s="806"/>
      <c r="M128" s="806"/>
      <c r="N128" s="806"/>
      <c r="O128" s="806"/>
      <c r="P128" s="806"/>
      <c r="R128" s="807">
        <f t="shared" si="10"/>
        <v>0</v>
      </c>
    </row>
    <row r="129" spans="1:18" ht="28.5" customHeight="1" x14ac:dyDescent="0.2">
      <c r="A129" s="291"/>
      <c r="B129" s="1115" t="str">
        <f>"per 31/12/"&amp;$M$13</f>
        <v>per 31/12/2021</v>
      </c>
      <c r="C129" s="1116"/>
      <c r="D129" s="1116"/>
      <c r="E129" s="1117"/>
      <c r="F129" s="313"/>
      <c r="G129" s="806">
        <f t="shared" si="11"/>
        <v>0</v>
      </c>
      <c r="H129" s="806">
        <f>SUMIFS(H$32:H$118,$B$32:$B$118,$B129)</f>
        <v>0</v>
      </c>
      <c r="I129" s="806">
        <f>SUMIFS(I$32:I$118,$B$32:$B$118,$B129)</f>
        <v>0</v>
      </c>
      <c r="J129" s="806">
        <f>SUMIFS(J$32:J$118,$B$32:$B$118,$B129)</f>
        <v>0</v>
      </c>
      <c r="K129" s="806">
        <f>SUMIFS(K$32:K$118,$B$32:$B$118,$B129)</f>
        <v>0</v>
      </c>
      <c r="L129" s="806"/>
      <c r="M129" s="806"/>
      <c r="N129" s="806"/>
      <c r="O129" s="806"/>
      <c r="P129" s="806"/>
      <c r="R129" s="807">
        <f t="shared" si="10"/>
        <v>0</v>
      </c>
    </row>
    <row r="130" spans="1:18" ht="28.5" customHeight="1" x14ac:dyDescent="0.2">
      <c r="A130" s="291"/>
      <c r="B130" s="1115" t="str">
        <f>"per 31/12/"&amp;$N$13</f>
        <v>per 31/12/2022</v>
      </c>
      <c r="C130" s="1116"/>
      <c r="D130" s="1116"/>
      <c r="E130" s="1117"/>
      <c r="F130" s="313"/>
      <c r="G130" s="806">
        <f t="shared" si="11"/>
        <v>0</v>
      </c>
      <c r="H130" s="806">
        <f>SUMIFS(H$32:H$118,$B$32:$B$118,$B130)</f>
        <v>0</v>
      </c>
      <c r="I130" s="806">
        <f>SUMIFS(I$32:I$118,$B$32:$B$118,$B130)</f>
        <v>0</v>
      </c>
      <c r="J130" s="806">
        <f>SUMIFS(J$32:J$118,$B$32:$B$118,$B130)</f>
        <v>0</v>
      </c>
      <c r="K130" s="806">
        <f>SUMIFS(K$32:K$118,$B$32:$B$118,$B130)</f>
        <v>0</v>
      </c>
      <c r="L130" s="806">
        <f>SUMIFS(L$32:L$118,$B$32:$B$118,$B130)</f>
        <v>0</v>
      </c>
      <c r="M130" s="806"/>
      <c r="N130" s="806"/>
      <c r="O130" s="806"/>
      <c r="P130" s="806"/>
      <c r="R130" s="807">
        <f t="shared" si="10"/>
        <v>0</v>
      </c>
    </row>
    <row r="131" spans="1:18" ht="28.5" customHeight="1" x14ac:dyDescent="0.2">
      <c r="A131" s="291"/>
      <c r="B131" s="1115" t="str">
        <f>"per 31/12/"&amp;$O$13</f>
        <v>per 31/12/2023</v>
      </c>
      <c r="C131" s="1116"/>
      <c r="D131" s="1116"/>
      <c r="E131" s="1117"/>
      <c r="F131" s="313"/>
      <c r="G131" s="806"/>
      <c r="H131" s="806"/>
      <c r="I131" s="806"/>
      <c r="J131" s="806"/>
      <c r="K131" s="806"/>
      <c r="L131" s="806">
        <f>SUMIFS(L$32:L$118,$B$32:$B$118,$B131)</f>
        <v>0</v>
      </c>
      <c r="M131" s="806">
        <f>SUMIFS(M$32:M$118,$B$32:$B$118,$B131)</f>
        <v>0</v>
      </c>
      <c r="N131" s="806"/>
      <c r="O131" s="806"/>
      <c r="P131" s="806"/>
      <c r="R131" s="807">
        <f t="shared" si="10"/>
        <v>0</v>
      </c>
    </row>
    <row r="132" spans="1:18" ht="28.5" customHeight="1" x14ac:dyDescent="0.2">
      <c r="A132" s="291"/>
      <c r="B132" s="1115" t="str">
        <f>"per 31/12/"&amp;$P$13</f>
        <v>per 31/12/2024</v>
      </c>
      <c r="C132" s="1116"/>
      <c r="D132" s="1116"/>
      <c r="E132" s="1117"/>
      <c r="F132" s="313"/>
      <c r="G132" s="806"/>
      <c r="H132" s="806"/>
      <c r="I132" s="806"/>
      <c r="J132" s="806"/>
      <c r="K132" s="806"/>
      <c r="L132" s="806"/>
      <c r="M132" s="806">
        <f>SUMIFS(M$32:M$118,$B$32:$B$118,$B132)</f>
        <v>0</v>
      </c>
      <c r="N132" s="806">
        <f>SUMIFS(N$32:N$118,$B$32:$B$118,$B132)</f>
        <v>0</v>
      </c>
      <c r="O132" s="806"/>
      <c r="P132" s="806"/>
      <c r="R132" s="807">
        <f t="shared" si="10"/>
        <v>0</v>
      </c>
    </row>
    <row r="133" spans="1:18" s="216" customFormat="1" x14ac:dyDescent="0.2">
      <c r="B133" s="1110"/>
      <c r="C133" s="1110"/>
      <c r="D133" s="1110"/>
      <c r="E133" s="1110"/>
      <c r="G133" s="314"/>
      <c r="H133" s="314"/>
      <c r="I133" s="314"/>
      <c r="J133" s="314"/>
      <c r="K133" s="304"/>
      <c r="L133" s="304"/>
      <c r="M133" s="304"/>
      <c r="N133" s="304"/>
      <c r="O133" s="304"/>
      <c r="P133" s="304"/>
      <c r="Q133" s="205"/>
      <c r="R133" s="304"/>
    </row>
    <row r="135" spans="1:18" x14ac:dyDescent="0.2">
      <c r="G135" s="123" t="s">
        <v>132</v>
      </c>
    </row>
    <row r="136" spans="1:18" x14ac:dyDescent="0.2">
      <c r="G136" s="92" t="s">
        <v>101</v>
      </c>
    </row>
    <row r="137" spans="1:18" ht="69.75" customHeight="1" x14ac:dyDescent="0.2">
      <c r="B137" s="1101" t="s">
        <v>206</v>
      </c>
      <c r="C137" s="1102"/>
      <c r="D137" s="1102"/>
      <c r="E137" s="1103"/>
      <c r="F137" s="274"/>
      <c r="G137" s="165">
        <v>2015</v>
      </c>
      <c r="H137" s="165">
        <f>+G137+1</f>
        <v>2016</v>
      </c>
      <c r="I137" s="165">
        <f>+H137+1</f>
        <v>2017</v>
      </c>
      <c r="J137" s="165">
        <f>+I137+1</f>
        <v>2018</v>
      </c>
      <c r="K137" s="165">
        <f>+J137+1</f>
        <v>2019</v>
      </c>
      <c r="L137" s="165">
        <f t="shared" ref="L137:O137" si="12">+K137+1</f>
        <v>2020</v>
      </c>
      <c r="M137" s="165">
        <f t="shared" si="12"/>
        <v>2021</v>
      </c>
      <c r="N137" s="165">
        <f t="shared" si="12"/>
        <v>2022</v>
      </c>
      <c r="O137" s="165">
        <f t="shared" si="12"/>
        <v>2023</v>
      </c>
      <c r="P137" s="165">
        <f>+K137+1</f>
        <v>2020</v>
      </c>
      <c r="R137" s="165" t="s">
        <v>20</v>
      </c>
    </row>
    <row r="138" spans="1:18" s="296" customFormat="1" ht="12" customHeight="1" x14ac:dyDescent="0.2">
      <c r="B138" s="315"/>
      <c r="C138" s="315"/>
      <c r="D138" s="315"/>
      <c r="E138" s="315"/>
      <c r="F138" s="316"/>
      <c r="G138" s="317"/>
      <c r="H138" s="318"/>
      <c r="I138" s="318"/>
      <c r="J138" s="319"/>
      <c r="K138" s="319"/>
      <c r="L138" s="319"/>
      <c r="M138" s="319"/>
      <c r="N138" s="319"/>
      <c r="O138" s="319"/>
      <c r="P138" s="319"/>
      <c r="Q138" s="300"/>
      <c r="R138" s="319"/>
    </row>
    <row r="139" spans="1:18" ht="36" customHeight="1" x14ac:dyDescent="0.2">
      <c r="B139" s="1118" t="s">
        <v>201</v>
      </c>
      <c r="C139" s="1119"/>
      <c r="D139" s="1119"/>
      <c r="E139" s="1120"/>
      <c r="F139" s="167"/>
      <c r="G139" s="804"/>
      <c r="H139" s="804"/>
      <c r="I139" s="804"/>
      <c r="J139" s="804"/>
      <c r="K139" s="804"/>
      <c r="L139" s="804"/>
      <c r="M139" s="804"/>
      <c r="N139" s="804"/>
      <c r="O139" s="804"/>
      <c r="P139" s="804"/>
      <c r="R139" s="804"/>
    </row>
    <row r="140" spans="1:18" ht="28.5" customHeight="1" x14ac:dyDescent="0.2">
      <c r="B140" s="1107" t="str">
        <f>"per 31/12/"&amp;$G$13</f>
        <v>per 31/12/2015</v>
      </c>
      <c r="C140" s="1108"/>
      <c r="D140" s="1108"/>
      <c r="E140" s="1109"/>
      <c r="F140" s="167"/>
      <c r="G140" s="247">
        <f>+G$15+G32</f>
        <v>0</v>
      </c>
      <c r="H140" s="247"/>
      <c r="I140" s="247"/>
      <c r="J140" s="247"/>
      <c r="K140" s="247"/>
      <c r="L140" s="247"/>
      <c r="M140" s="247"/>
      <c r="N140" s="247"/>
      <c r="O140" s="247"/>
      <c r="P140" s="247"/>
      <c r="R140" s="803">
        <f t="shared" ref="R140:R214" si="13">SUM(G140:P140)</f>
        <v>0</v>
      </c>
    </row>
    <row r="141" spans="1:18" ht="28.5" customHeight="1" x14ac:dyDescent="0.2">
      <c r="B141" s="1107" t="str">
        <f>"per 31/12/"&amp;$H$13</f>
        <v>per 31/12/2016</v>
      </c>
      <c r="C141" s="1108"/>
      <c r="D141" s="1108"/>
      <c r="E141" s="1109"/>
      <c r="F141" s="167"/>
      <c r="G141" s="247">
        <f t="shared" ref="G141:G147" si="14">+G140+G33</f>
        <v>0</v>
      </c>
      <c r="H141" s="247">
        <f>+$H$15+H33</f>
        <v>0</v>
      </c>
      <c r="I141" s="247"/>
      <c r="J141" s="247"/>
      <c r="K141" s="247"/>
      <c r="L141" s="247"/>
      <c r="M141" s="247"/>
      <c r="N141" s="247"/>
      <c r="O141" s="247"/>
      <c r="P141" s="247"/>
      <c r="R141" s="803">
        <f t="shared" si="13"/>
        <v>0</v>
      </c>
    </row>
    <row r="142" spans="1:18" ht="28.5" customHeight="1" x14ac:dyDescent="0.2">
      <c r="B142" s="1107" t="str">
        <f>"per 31/12/"&amp;$I$13</f>
        <v>per 31/12/2017</v>
      </c>
      <c r="C142" s="1108"/>
      <c r="D142" s="1108"/>
      <c r="E142" s="1109"/>
      <c r="F142" s="167"/>
      <c r="G142" s="247">
        <f t="shared" si="14"/>
        <v>0</v>
      </c>
      <c r="H142" s="247">
        <f t="shared" ref="H142:H147" si="15">+H141+H34</f>
        <v>0</v>
      </c>
      <c r="I142" s="247">
        <f>+$I$15+I34</f>
        <v>0</v>
      </c>
      <c r="J142" s="247"/>
      <c r="K142" s="247"/>
      <c r="L142" s="247"/>
      <c r="M142" s="247"/>
      <c r="N142" s="247"/>
      <c r="O142" s="247"/>
      <c r="P142" s="247"/>
      <c r="R142" s="803">
        <f t="shared" si="13"/>
        <v>0</v>
      </c>
    </row>
    <row r="143" spans="1:18" ht="28.5" customHeight="1" x14ac:dyDescent="0.2">
      <c r="B143" s="1107" t="str">
        <f>"per 31/12/"&amp;$J$13</f>
        <v>per 31/12/2018</v>
      </c>
      <c r="C143" s="1108"/>
      <c r="D143" s="1108"/>
      <c r="E143" s="1109"/>
      <c r="F143" s="167"/>
      <c r="G143" s="247">
        <f t="shared" si="14"/>
        <v>0</v>
      </c>
      <c r="H143" s="247">
        <f t="shared" si="15"/>
        <v>0</v>
      </c>
      <c r="I143" s="247">
        <f>+I142+I35</f>
        <v>0</v>
      </c>
      <c r="J143" s="247">
        <f>+$J$15+J35</f>
        <v>0</v>
      </c>
      <c r="K143" s="247"/>
      <c r="L143" s="247"/>
      <c r="M143" s="247"/>
      <c r="N143" s="247"/>
      <c r="O143" s="247"/>
      <c r="P143" s="247"/>
      <c r="R143" s="803">
        <f t="shared" si="13"/>
        <v>0</v>
      </c>
    </row>
    <row r="144" spans="1:18" ht="28.5" customHeight="1" x14ac:dyDescent="0.2">
      <c r="B144" s="1107" t="str">
        <f>"per 31/12/"&amp;$K$13</f>
        <v>per 31/12/2019</v>
      </c>
      <c r="C144" s="1108"/>
      <c r="D144" s="1108"/>
      <c r="E144" s="1109"/>
      <c r="F144" s="167"/>
      <c r="G144" s="247">
        <f t="shared" si="14"/>
        <v>0</v>
      </c>
      <c r="H144" s="247">
        <f t="shared" si="15"/>
        <v>0</v>
      </c>
      <c r="I144" s="247">
        <f>+I143+I36</f>
        <v>0</v>
      </c>
      <c r="J144" s="247">
        <f>+J143+J36</f>
        <v>0</v>
      </c>
      <c r="K144" s="247">
        <f>+$K$15+K36</f>
        <v>0</v>
      </c>
      <c r="L144" s="247"/>
      <c r="M144" s="247"/>
      <c r="N144" s="247"/>
      <c r="O144" s="247"/>
      <c r="P144" s="247"/>
      <c r="R144" s="803">
        <f t="shared" si="13"/>
        <v>0</v>
      </c>
    </row>
    <row r="145" spans="2:18" ht="28.5" customHeight="1" x14ac:dyDescent="0.2">
      <c r="B145" s="1107" t="str">
        <f>"per 31/12/"&amp;$L$13</f>
        <v>per 31/12/2020</v>
      </c>
      <c r="C145" s="1108"/>
      <c r="D145" s="1108"/>
      <c r="E145" s="1109"/>
      <c r="F145" s="167"/>
      <c r="G145" s="247">
        <f t="shared" si="14"/>
        <v>0</v>
      </c>
      <c r="H145" s="247">
        <f t="shared" si="15"/>
        <v>0</v>
      </c>
      <c r="I145" s="247">
        <f>+I144+I37</f>
        <v>0</v>
      </c>
      <c r="J145" s="247">
        <f>+J144+J37</f>
        <v>0</v>
      </c>
      <c r="K145" s="247">
        <f>+K144+K37</f>
        <v>0</v>
      </c>
      <c r="L145" s="247">
        <f>+L$15+L37</f>
        <v>0</v>
      </c>
      <c r="M145" s="247"/>
      <c r="N145" s="247"/>
      <c r="O145" s="247"/>
      <c r="P145" s="247"/>
      <c r="R145" s="803">
        <f t="shared" si="13"/>
        <v>0</v>
      </c>
    </row>
    <row r="146" spans="2:18" ht="28.5" customHeight="1" x14ac:dyDescent="0.2">
      <c r="B146" s="1107" t="str">
        <f>"per 31/12/"&amp;$M$13</f>
        <v>per 31/12/2021</v>
      </c>
      <c r="C146" s="1108"/>
      <c r="D146" s="1108"/>
      <c r="E146" s="1109"/>
      <c r="F146" s="167"/>
      <c r="G146" s="247">
        <f t="shared" si="14"/>
        <v>0</v>
      </c>
      <c r="H146" s="247">
        <f t="shared" si="15"/>
        <v>0</v>
      </c>
      <c r="I146" s="247">
        <f>+I145+I38</f>
        <v>0</v>
      </c>
      <c r="J146" s="247">
        <f>+J145+J38</f>
        <v>0</v>
      </c>
      <c r="K146" s="247">
        <f>+K145+K38</f>
        <v>0</v>
      </c>
      <c r="L146" s="247">
        <f>+L145+L38</f>
        <v>0</v>
      </c>
      <c r="M146" s="247">
        <f>+M$15+M38</f>
        <v>0</v>
      </c>
      <c r="N146" s="247"/>
      <c r="O146" s="247"/>
      <c r="P146" s="247"/>
      <c r="R146" s="803">
        <f t="shared" si="13"/>
        <v>0</v>
      </c>
    </row>
    <row r="147" spans="2:18" ht="28.5" customHeight="1" x14ac:dyDescent="0.2">
      <c r="B147" s="1107" t="str">
        <f>"per 31/12/"&amp;$N$13</f>
        <v>per 31/12/2022</v>
      </c>
      <c r="C147" s="1108"/>
      <c r="D147" s="1108"/>
      <c r="E147" s="1109"/>
      <c r="F147" s="167"/>
      <c r="G147" s="247">
        <f t="shared" si="14"/>
        <v>0</v>
      </c>
      <c r="H147" s="247">
        <f t="shared" si="15"/>
        <v>0</v>
      </c>
      <c r="I147" s="247">
        <f>+I146+I39</f>
        <v>0</v>
      </c>
      <c r="J147" s="247">
        <f>+J146+J39</f>
        <v>0</v>
      </c>
      <c r="K147" s="247">
        <f>+K146+K39</f>
        <v>0</v>
      </c>
      <c r="L147" s="247">
        <f>+L146+L39</f>
        <v>0</v>
      </c>
      <c r="M147" s="247">
        <f>+M146+M39</f>
        <v>0</v>
      </c>
      <c r="N147" s="247">
        <f>+N$15+N39</f>
        <v>0</v>
      </c>
      <c r="O147" s="247"/>
      <c r="P147" s="247"/>
      <c r="R147" s="803">
        <f t="shared" si="13"/>
        <v>0</v>
      </c>
    </row>
    <row r="148" spans="2:18" ht="28.5" customHeight="1" x14ac:dyDescent="0.2">
      <c r="B148" s="1107" t="str">
        <f>"per 31/12/"&amp;$O$13</f>
        <v>per 31/12/2023</v>
      </c>
      <c r="C148" s="1108"/>
      <c r="D148" s="1108"/>
      <c r="E148" s="1109"/>
      <c r="F148" s="167"/>
      <c r="G148" s="247"/>
      <c r="H148" s="247"/>
      <c r="I148" s="247"/>
      <c r="J148" s="247"/>
      <c r="K148" s="247"/>
      <c r="L148" s="247">
        <f>+L147+L40</f>
        <v>0</v>
      </c>
      <c r="M148" s="247">
        <f>+M147+M40</f>
        <v>0</v>
      </c>
      <c r="N148" s="247">
        <f>+N147+N40</f>
        <v>0</v>
      </c>
      <c r="O148" s="247">
        <f>+O$15+O40</f>
        <v>0</v>
      </c>
      <c r="P148" s="247"/>
      <c r="R148" s="803">
        <f t="shared" si="13"/>
        <v>0</v>
      </c>
    </row>
    <row r="149" spans="2:18" ht="28.5" customHeight="1" x14ac:dyDescent="0.2">
      <c r="B149" s="1107" t="str">
        <f>"per 31/12/"&amp;$P$13</f>
        <v>per 31/12/2024</v>
      </c>
      <c r="C149" s="1108"/>
      <c r="D149" s="1108"/>
      <c r="E149" s="1109"/>
      <c r="F149" s="167"/>
      <c r="G149" s="247"/>
      <c r="H149" s="247"/>
      <c r="I149" s="247"/>
      <c r="J149" s="247"/>
      <c r="K149" s="247"/>
      <c r="L149" s="247"/>
      <c r="M149" s="247">
        <f>+M148+M41</f>
        <v>0</v>
      </c>
      <c r="N149" s="247">
        <f>+N148+N41</f>
        <v>0</v>
      </c>
      <c r="O149" s="247">
        <f>+O148+O41</f>
        <v>0</v>
      </c>
      <c r="P149" s="247">
        <f>+P$15+P41</f>
        <v>0</v>
      </c>
      <c r="R149" s="803">
        <f t="shared" si="13"/>
        <v>0</v>
      </c>
    </row>
    <row r="150" spans="2:18" ht="36" customHeight="1" x14ac:dyDescent="0.2">
      <c r="B150" s="1118" t="s">
        <v>347</v>
      </c>
      <c r="C150" s="1119"/>
      <c r="D150" s="1119"/>
      <c r="E150" s="1120"/>
      <c r="F150" s="167"/>
      <c r="G150" s="804"/>
      <c r="H150" s="804"/>
      <c r="I150" s="804"/>
      <c r="J150" s="804"/>
      <c r="K150" s="804"/>
      <c r="L150" s="804"/>
      <c r="M150" s="804"/>
      <c r="N150" s="804"/>
      <c r="O150" s="804"/>
      <c r="P150" s="804"/>
      <c r="R150" s="804"/>
    </row>
    <row r="151" spans="2:18" ht="28.5" customHeight="1" x14ac:dyDescent="0.2">
      <c r="B151" s="1112" t="str">
        <f>"per 31/12/"&amp;$G$13</f>
        <v>per 31/12/2015</v>
      </c>
      <c r="C151" s="1113"/>
      <c r="D151" s="1113"/>
      <c r="E151" s="1114"/>
      <c r="F151" s="167"/>
      <c r="G151" s="520"/>
      <c r="H151" s="247"/>
      <c r="I151" s="247"/>
      <c r="J151" s="247"/>
      <c r="K151" s="247"/>
      <c r="L151" s="247"/>
      <c r="M151" s="247"/>
      <c r="N151" s="247"/>
      <c r="O151" s="247"/>
      <c r="P151" s="247"/>
      <c r="R151" s="805"/>
    </row>
    <row r="152" spans="2:18" ht="28.5" customHeight="1" x14ac:dyDescent="0.2">
      <c r="B152" s="1112" t="str">
        <f>"per 31/12/"&amp;$H$13</f>
        <v>per 31/12/2016</v>
      </c>
      <c r="C152" s="1113"/>
      <c r="D152" s="1113"/>
      <c r="E152" s="1114"/>
      <c r="F152" s="167"/>
      <c r="G152" s="520"/>
      <c r="H152" s="520"/>
      <c r="I152" s="247"/>
      <c r="J152" s="247"/>
      <c r="K152" s="247"/>
      <c r="L152" s="247"/>
      <c r="M152" s="247"/>
      <c r="N152" s="247"/>
      <c r="O152" s="247"/>
      <c r="P152" s="247"/>
      <c r="R152" s="805"/>
    </row>
    <row r="153" spans="2:18" ht="28.5" customHeight="1" x14ac:dyDescent="0.2">
      <c r="B153" s="1112" t="str">
        <f>"per 31/12/"&amp;$I$13</f>
        <v>per 31/12/2017</v>
      </c>
      <c r="C153" s="1113"/>
      <c r="D153" s="1113"/>
      <c r="E153" s="1114"/>
      <c r="F153" s="167"/>
      <c r="G153" s="520"/>
      <c r="H153" s="520"/>
      <c r="I153" s="520"/>
      <c r="J153" s="247"/>
      <c r="K153" s="247"/>
      <c r="L153" s="247"/>
      <c r="M153" s="247"/>
      <c r="N153" s="247"/>
      <c r="O153" s="247"/>
      <c r="P153" s="247"/>
      <c r="R153" s="805"/>
    </row>
    <row r="154" spans="2:18" ht="28.5" customHeight="1" x14ac:dyDescent="0.2">
      <c r="B154" s="1112" t="str">
        <f>"per 31/12/"&amp;$J$13</f>
        <v>per 31/12/2018</v>
      </c>
      <c r="C154" s="1113"/>
      <c r="D154" s="1113"/>
      <c r="E154" s="1114"/>
      <c r="F154" s="167"/>
      <c r="G154" s="520"/>
      <c r="H154" s="520"/>
      <c r="I154" s="520"/>
      <c r="J154" s="520"/>
      <c r="K154" s="247"/>
      <c r="L154" s="247"/>
      <c r="M154" s="247"/>
      <c r="N154" s="247"/>
      <c r="O154" s="247"/>
      <c r="P154" s="247"/>
      <c r="R154" s="805"/>
    </row>
    <row r="155" spans="2:18" ht="28.5" customHeight="1" x14ac:dyDescent="0.2">
      <c r="B155" s="1112" t="str">
        <f>"per 31/12/"&amp;$K$13</f>
        <v>per 31/12/2019</v>
      </c>
      <c r="C155" s="1113"/>
      <c r="D155" s="1113"/>
      <c r="E155" s="1114"/>
      <c r="F155" s="167"/>
      <c r="G155" s="520"/>
      <c r="H155" s="520"/>
      <c r="I155" s="520"/>
      <c r="J155" s="520"/>
      <c r="K155" s="520"/>
      <c r="L155" s="247"/>
      <c r="M155" s="247"/>
      <c r="N155" s="247"/>
      <c r="O155" s="247"/>
      <c r="P155" s="247"/>
      <c r="R155" s="805"/>
    </row>
    <row r="156" spans="2:18" ht="28.5" customHeight="1" x14ac:dyDescent="0.2">
      <c r="B156" s="1112" t="str">
        <f>"per 31/12/"&amp;$L$13</f>
        <v>per 31/12/2020</v>
      </c>
      <c r="C156" s="1113"/>
      <c r="D156" s="1113"/>
      <c r="E156" s="1114"/>
      <c r="F156" s="167"/>
      <c r="G156" s="520"/>
      <c r="H156" s="520"/>
      <c r="I156" s="520"/>
      <c r="J156" s="520"/>
      <c r="K156" s="520"/>
      <c r="L156" s="520"/>
      <c r="M156" s="247"/>
      <c r="N156" s="247"/>
      <c r="O156" s="247"/>
      <c r="P156" s="247"/>
      <c r="R156" s="805"/>
    </row>
    <row r="157" spans="2:18" ht="28.5" customHeight="1" x14ac:dyDescent="0.2">
      <c r="B157" s="1112" t="str">
        <f>"per 31/12/"&amp;$M$13</f>
        <v>per 31/12/2021</v>
      </c>
      <c r="C157" s="1113"/>
      <c r="D157" s="1113"/>
      <c r="E157" s="1114"/>
      <c r="F157" s="167"/>
      <c r="G157" s="520"/>
      <c r="H157" s="520"/>
      <c r="I157" s="520"/>
      <c r="J157" s="520"/>
      <c r="K157" s="520"/>
      <c r="L157" s="520"/>
      <c r="M157" s="520"/>
      <c r="N157" s="247"/>
      <c r="O157" s="247"/>
      <c r="P157" s="247"/>
      <c r="R157" s="805"/>
    </row>
    <row r="158" spans="2:18" ht="28.5" customHeight="1" x14ac:dyDescent="0.2">
      <c r="B158" s="1107" t="str">
        <f>"per 31/12/"&amp;$N$13</f>
        <v>per 31/12/2022</v>
      </c>
      <c r="C158" s="1108"/>
      <c r="D158" s="1108"/>
      <c r="E158" s="1109"/>
      <c r="F158" s="167"/>
      <c r="G158" s="520"/>
      <c r="H158" s="520"/>
      <c r="I158" s="520"/>
      <c r="J158" s="520"/>
      <c r="K158" s="520"/>
      <c r="L158" s="520"/>
      <c r="M158" s="520"/>
      <c r="N158" s="247">
        <f>+N$16+N50</f>
        <v>0</v>
      </c>
      <c r="O158" s="247"/>
      <c r="P158" s="247"/>
      <c r="R158" s="803">
        <f t="shared" ref="R158:R160" si="16">SUM(G158:P158)</f>
        <v>0</v>
      </c>
    </row>
    <row r="159" spans="2:18" ht="28.5" customHeight="1" x14ac:dyDescent="0.2">
      <c r="B159" s="1107" t="str">
        <f>"per 31/12/"&amp;$O$13</f>
        <v>per 31/12/2023</v>
      </c>
      <c r="C159" s="1108"/>
      <c r="D159" s="1108"/>
      <c r="E159" s="1109"/>
      <c r="F159" s="167"/>
      <c r="G159" s="247"/>
      <c r="H159" s="247"/>
      <c r="I159" s="247"/>
      <c r="J159" s="247"/>
      <c r="K159" s="247"/>
      <c r="L159" s="520"/>
      <c r="M159" s="520"/>
      <c r="N159" s="247">
        <f>+N158+N51</f>
        <v>0</v>
      </c>
      <c r="O159" s="247">
        <f>+O$16+O51</f>
        <v>0</v>
      </c>
      <c r="P159" s="247"/>
      <c r="R159" s="803">
        <f t="shared" si="16"/>
        <v>0</v>
      </c>
    </row>
    <row r="160" spans="2:18" ht="28.5" customHeight="1" x14ac:dyDescent="0.2">
      <c r="B160" s="1107" t="str">
        <f>"per 31/12/"&amp;$P$13</f>
        <v>per 31/12/2024</v>
      </c>
      <c r="C160" s="1108"/>
      <c r="D160" s="1108"/>
      <c r="E160" s="1109"/>
      <c r="F160" s="167"/>
      <c r="G160" s="247"/>
      <c r="H160" s="247"/>
      <c r="I160" s="247"/>
      <c r="J160" s="247"/>
      <c r="K160" s="247"/>
      <c r="L160" s="247"/>
      <c r="M160" s="520"/>
      <c r="N160" s="247">
        <f>+N159+N52</f>
        <v>0</v>
      </c>
      <c r="O160" s="247">
        <f>+O159+O52</f>
        <v>0</v>
      </c>
      <c r="P160" s="247">
        <f>+P$16+P52</f>
        <v>0</v>
      </c>
      <c r="R160" s="803">
        <f t="shared" si="16"/>
        <v>0</v>
      </c>
    </row>
    <row r="161" spans="2:18" ht="27.75" customHeight="1" x14ac:dyDescent="0.2">
      <c r="B161" s="1118" t="s">
        <v>66</v>
      </c>
      <c r="C161" s="1119"/>
      <c r="D161" s="1119"/>
      <c r="E161" s="1120"/>
      <c r="F161" s="167"/>
      <c r="G161" s="804"/>
      <c r="H161" s="804"/>
      <c r="I161" s="804"/>
      <c r="J161" s="804"/>
      <c r="K161" s="804"/>
      <c r="L161" s="804"/>
      <c r="M161" s="804"/>
      <c r="N161" s="804"/>
      <c r="O161" s="804"/>
      <c r="P161" s="804"/>
      <c r="R161" s="804"/>
    </row>
    <row r="162" spans="2:18" ht="28.5" customHeight="1" x14ac:dyDescent="0.2">
      <c r="B162" s="1107" t="str">
        <f>"per 31/12/"&amp;$G$13</f>
        <v>per 31/12/2015</v>
      </c>
      <c r="C162" s="1108"/>
      <c r="D162" s="1108"/>
      <c r="E162" s="1109"/>
      <c r="F162" s="167"/>
      <c r="G162" s="247">
        <f>+G$17+G54</f>
        <v>0</v>
      </c>
      <c r="H162" s="247"/>
      <c r="I162" s="247"/>
      <c r="J162" s="247"/>
      <c r="K162" s="247"/>
      <c r="L162" s="247"/>
      <c r="M162" s="247"/>
      <c r="N162" s="247"/>
      <c r="O162" s="247"/>
      <c r="P162" s="247"/>
      <c r="R162" s="803">
        <f t="shared" si="13"/>
        <v>0</v>
      </c>
    </row>
    <row r="163" spans="2:18" ht="28.5" customHeight="1" x14ac:dyDescent="0.2">
      <c r="B163" s="1107" t="str">
        <f>"per 31/12/"&amp;$H$13</f>
        <v>per 31/12/2016</v>
      </c>
      <c r="C163" s="1108"/>
      <c r="D163" s="1108"/>
      <c r="E163" s="1109"/>
      <c r="F163" s="167"/>
      <c r="G163" s="247">
        <f t="shared" ref="G163:G169" si="17">+G162+G55</f>
        <v>0</v>
      </c>
      <c r="H163" s="247">
        <f>+H$17+H55</f>
        <v>0</v>
      </c>
      <c r="I163" s="247"/>
      <c r="J163" s="247"/>
      <c r="K163" s="247"/>
      <c r="L163" s="247"/>
      <c r="M163" s="247"/>
      <c r="N163" s="247"/>
      <c r="O163" s="247"/>
      <c r="P163" s="247"/>
      <c r="R163" s="803">
        <f t="shared" si="13"/>
        <v>0</v>
      </c>
    </row>
    <row r="164" spans="2:18" ht="28.5" customHeight="1" x14ac:dyDescent="0.2">
      <c r="B164" s="1107" t="str">
        <f>"per 31/12/"&amp;$I$13</f>
        <v>per 31/12/2017</v>
      </c>
      <c r="C164" s="1108"/>
      <c r="D164" s="1108"/>
      <c r="E164" s="1109"/>
      <c r="F164" s="167"/>
      <c r="G164" s="247">
        <f t="shared" si="17"/>
        <v>0</v>
      </c>
      <c r="H164" s="247">
        <f t="shared" ref="H164:H169" si="18">+H163+H56</f>
        <v>0</v>
      </c>
      <c r="I164" s="247">
        <f>+I$17+I56</f>
        <v>0</v>
      </c>
      <c r="J164" s="247"/>
      <c r="K164" s="247"/>
      <c r="L164" s="247"/>
      <c r="M164" s="247"/>
      <c r="N164" s="247"/>
      <c r="O164" s="247"/>
      <c r="P164" s="247"/>
      <c r="R164" s="803">
        <f t="shared" si="13"/>
        <v>0</v>
      </c>
    </row>
    <row r="165" spans="2:18" ht="28.5" customHeight="1" x14ac:dyDescent="0.2">
      <c r="B165" s="1107" t="str">
        <f>"per 31/12/"&amp;$J$13</f>
        <v>per 31/12/2018</v>
      </c>
      <c r="C165" s="1108"/>
      <c r="D165" s="1108"/>
      <c r="E165" s="1109"/>
      <c r="F165" s="167"/>
      <c r="G165" s="247">
        <f t="shared" si="17"/>
        <v>0</v>
      </c>
      <c r="H165" s="247">
        <f t="shared" si="18"/>
        <v>0</v>
      </c>
      <c r="I165" s="247">
        <f>+I164+I57</f>
        <v>0</v>
      </c>
      <c r="J165" s="247">
        <f>+J$17+J57</f>
        <v>0</v>
      </c>
      <c r="K165" s="247"/>
      <c r="L165" s="247"/>
      <c r="M165" s="247"/>
      <c r="N165" s="247"/>
      <c r="O165" s="247"/>
      <c r="P165" s="247"/>
      <c r="R165" s="803">
        <f t="shared" si="13"/>
        <v>0</v>
      </c>
    </row>
    <row r="166" spans="2:18" ht="28.5" customHeight="1" x14ac:dyDescent="0.2">
      <c r="B166" s="1107" t="str">
        <f>"per 31/12/"&amp;$K$13</f>
        <v>per 31/12/2019</v>
      </c>
      <c r="C166" s="1108"/>
      <c r="D166" s="1108"/>
      <c r="E166" s="1109"/>
      <c r="F166" s="167"/>
      <c r="G166" s="247">
        <f t="shared" si="17"/>
        <v>0</v>
      </c>
      <c r="H166" s="247">
        <f t="shared" si="18"/>
        <v>0</v>
      </c>
      <c r="I166" s="247">
        <f>+I165+I58</f>
        <v>0</v>
      </c>
      <c r="J166" s="247">
        <f>+J165+J58</f>
        <v>0</v>
      </c>
      <c r="K166" s="247">
        <f>+K$17+K58</f>
        <v>0</v>
      </c>
      <c r="L166" s="247"/>
      <c r="M166" s="247"/>
      <c r="N166" s="247"/>
      <c r="O166" s="247"/>
      <c r="P166" s="247"/>
      <c r="R166" s="803">
        <f t="shared" si="13"/>
        <v>0</v>
      </c>
    </row>
    <row r="167" spans="2:18" ht="28.5" customHeight="1" x14ac:dyDescent="0.2">
      <c r="B167" s="1107" t="str">
        <f>"per 31/12/"&amp;$L$13</f>
        <v>per 31/12/2020</v>
      </c>
      <c r="C167" s="1108"/>
      <c r="D167" s="1108"/>
      <c r="E167" s="1109"/>
      <c r="F167" s="167"/>
      <c r="G167" s="247">
        <f t="shared" si="17"/>
        <v>0</v>
      </c>
      <c r="H167" s="247">
        <f t="shared" si="18"/>
        <v>0</v>
      </c>
      <c r="I167" s="247">
        <f>+I166+I59</f>
        <v>0</v>
      </c>
      <c r="J167" s="247">
        <f>+J166+J59</f>
        <v>0</v>
      </c>
      <c r="K167" s="247">
        <f>+K166+K59</f>
        <v>0</v>
      </c>
      <c r="L167" s="247">
        <f>+L$17+L59</f>
        <v>0</v>
      </c>
      <c r="M167" s="247"/>
      <c r="N167" s="247"/>
      <c r="O167" s="247"/>
      <c r="P167" s="247"/>
      <c r="R167" s="803">
        <f t="shared" si="13"/>
        <v>0</v>
      </c>
    </row>
    <row r="168" spans="2:18" ht="28.5" customHeight="1" x14ac:dyDescent="0.2">
      <c r="B168" s="1107" t="str">
        <f>"per 31/12/"&amp;$M$13</f>
        <v>per 31/12/2021</v>
      </c>
      <c r="C168" s="1108"/>
      <c r="D168" s="1108"/>
      <c r="E168" s="1109"/>
      <c r="F168" s="167"/>
      <c r="G168" s="247">
        <f t="shared" si="17"/>
        <v>0</v>
      </c>
      <c r="H168" s="247">
        <f t="shared" si="18"/>
        <v>0</v>
      </c>
      <c r="I168" s="247">
        <f>+I167+I60</f>
        <v>0</v>
      </c>
      <c r="J168" s="247">
        <f>+J167+J60</f>
        <v>0</v>
      </c>
      <c r="K168" s="247">
        <f>+K167+K60</f>
        <v>0</v>
      </c>
      <c r="L168" s="247">
        <f>+L167+L60</f>
        <v>0</v>
      </c>
      <c r="M168" s="247">
        <f>+M$17+M60</f>
        <v>0</v>
      </c>
      <c r="N168" s="247"/>
      <c r="O168" s="247"/>
      <c r="P168" s="247"/>
      <c r="R168" s="803">
        <f t="shared" si="13"/>
        <v>0</v>
      </c>
    </row>
    <row r="169" spans="2:18" ht="28.5" customHeight="1" x14ac:dyDescent="0.2">
      <c r="B169" s="1107" t="str">
        <f>"per 31/12/"&amp;$N$13</f>
        <v>per 31/12/2022</v>
      </c>
      <c r="C169" s="1108"/>
      <c r="D169" s="1108"/>
      <c r="E169" s="1109"/>
      <c r="F169" s="167"/>
      <c r="G169" s="247">
        <f t="shared" si="17"/>
        <v>0</v>
      </c>
      <c r="H169" s="247">
        <f t="shared" si="18"/>
        <v>0</v>
      </c>
      <c r="I169" s="247">
        <f>+I168+I61</f>
        <v>0</v>
      </c>
      <c r="J169" s="247">
        <f>+J168+J61</f>
        <v>0</v>
      </c>
      <c r="K169" s="247">
        <f>+K168+K61</f>
        <v>0</v>
      </c>
      <c r="L169" s="247">
        <f>+L168+L61</f>
        <v>0</v>
      </c>
      <c r="M169" s="247">
        <f>+M168+M61</f>
        <v>0</v>
      </c>
      <c r="N169" s="247">
        <f>+N$17+N61</f>
        <v>0</v>
      </c>
      <c r="O169" s="247"/>
      <c r="P169" s="247"/>
      <c r="R169" s="803">
        <f t="shared" si="13"/>
        <v>0</v>
      </c>
    </row>
    <row r="170" spans="2:18" ht="28.5" customHeight="1" x14ac:dyDescent="0.2">
      <c r="B170" s="1107" t="str">
        <f>"per 31/12/"&amp;$O$13</f>
        <v>per 31/12/2023</v>
      </c>
      <c r="C170" s="1108"/>
      <c r="D170" s="1108"/>
      <c r="E170" s="1109"/>
      <c r="F170" s="167"/>
      <c r="G170" s="247"/>
      <c r="H170" s="247"/>
      <c r="I170" s="247"/>
      <c r="J170" s="247"/>
      <c r="K170" s="247"/>
      <c r="L170" s="247">
        <f>+L169+L62</f>
        <v>0</v>
      </c>
      <c r="M170" s="247">
        <f>+M169+M62</f>
        <v>0</v>
      </c>
      <c r="N170" s="247">
        <f>+N169+N62</f>
        <v>0</v>
      </c>
      <c r="O170" s="247">
        <f>+O$17+O62</f>
        <v>0</v>
      </c>
      <c r="P170" s="247"/>
      <c r="R170" s="803">
        <f t="shared" si="13"/>
        <v>0</v>
      </c>
    </row>
    <row r="171" spans="2:18" ht="28.5" customHeight="1" x14ac:dyDescent="0.2">
      <c r="B171" s="1107" t="str">
        <f>"per 31/12/"&amp;$P$13</f>
        <v>per 31/12/2024</v>
      </c>
      <c r="C171" s="1108"/>
      <c r="D171" s="1108"/>
      <c r="E171" s="1109"/>
      <c r="F171" s="167"/>
      <c r="G171" s="247"/>
      <c r="H171" s="247"/>
      <c r="I171" s="247"/>
      <c r="J171" s="247"/>
      <c r="K171" s="247"/>
      <c r="L171" s="247"/>
      <c r="M171" s="247">
        <f>+M170+M63</f>
        <v>0</v>
      </c>
      <c r="N171" s="247">
        <f>+N170+N63</f>
        <v>0</v>
      </c>
      <c r="O171" s="247">
        <f>+O170+O63</f>
        <v>0</v>
      </c>
      <c r="P171" s="247">
        <f>+P$17+P63</f>
        <v>0</v>
      </c>
      <c r="R171" s="803">
        <f t="shared" si="13"/>
        <v>0</v>
      </c>
    </row>
    <row r="172" spans="2:18" ht="27" customHeight="1" x14ac:dyDescent="0.2">
      <c r="B172" s="1128" t="s">
        <v>350</v>
      </c>
      <c r="C172" s="1128"/>
      <c r="D172" s="1128"/>
      <c r="E172" s="1128"/>
      <c r="F172" s="167"/>
      <c r="G172" s="804"/>
      <c r="H172" s="804"/>
      <c r="I172" s="804"/>
      <c r="J172" s="804"/>
      <c r="K172" s="804"/>
      <c r="L172" s="804"/>
      <c r="M172" s="804"/>
      <c r="N172" s="804"/>
      <c r="O172" s="804"/>
      <c r="P172" s="804"/>
      <c r="R172" s="804"/>
    </row>
    <row r="173" spans="2:18" ht="28.5" customHeight="1" x14ac:dyDescent="0.2">
      <c r="B173" s="1107" t="str">
        <f>"per 31/12/"&amp;$G$13</f>
        <v>per 31/12/2015</v>
      </c>
      <c r="C173" s="1108"/>
      <c r="D173" s="1108"/>
      <c r="E173" s="1109"/>
      <c r="F173" s="167"/>
      <c r="G173" s="247">
        <f>+G$18+G65</f>
        <v>0</v>
      </c>
      <c r="H173" s="247"/>
      <c r="I173" s="247"/>
      <c r="J173" s="247"/>
      <c r="K173" s="247"/>
      <c r="L173" s="247"/>
      <c r="M173" s="247"/>
      <c r="N173" s="247"/>
      <c r="O173" s="247"/>
      <c r="P173" s="247"/>
      <c r="R173" s="803">
        <f t="shared" ref="R173:R181" si="19">SUM(G173:P173)</f>
        <v>0</v>
      </c>
    </row>
    <row r="174" spans="2:18" ht="28.5" customHeight="1" x14ac:dyDescent="0.2">
      <c r="B174" s="1107" t="str">
        <f>"per 31/12/"&amp;$H$13</f>
        <v>per 31/12/2016</v>
      </c>
      <c r="C174" s="1108"/>
      <c r="D174" s="1108"/>
      <c r="E174" s="1109"/>
      <c r="F174" s="167"/>
      <c r="G174" s="247">
        <f t="shared" ref="G174:G180" si="20">+G173+G66</f>
        <v>0</v>
      </c>
      <c r="H174" s="247">
        <f>+H$18+H66</f>
        <v>0</v>
      </c>
      <c r="I174" s="247"/>
      <c r="J174" s="247"/>
      <c r="K174" s="247"/>
      <c r="L174" s="247"/>
      <c r="M174" s="247"/>
      <c r="N174" s="247"/>
      <c r="O174" s="247"/>
      <c r="P174" s="247"/>
      <c r="R174" s="803">
        <f t="shared" si="19"/>
        <v>0</v>
      </c>
    </row>
    <row r="175" spans="2:18" ht="28.5" customHeight="1" x14ac:dyDescent="0.2">
      <c r="B175" s="1107" t="str">
        <f>"per 31/12/"&amp;$I$13</f>
        <v>per 31/12/2017</v>
      </c>
      <c r="C175" s="1108"/>
      <c r="D175" s="1108"/>
      <c r="E175" s="1109"/>
      <c r="F175" s="167"/>
      <c r="G175" s="247">
        <f t="shared" si="20"/>
        <v>0</v>
      </c>
      <c r="H175" s="247">
        <f t="shared" ref="H175:H180" si="21">+H174+H67</f>
        <v>0</v>
      </c>
      <c r="I175" s="247">
        <f>+I$18+I67</f>
        <v>0</v>
      </c>
      <c r="J175" s="247"/>
      <c r="K175" s="247"/>
      <c r="L175" s="247"/>
      <c r="M175" s="247"/>
      <c r="N175" s="247"/>
      <c r="O175" s="247"/>
      <c r="P175" s="247"/>
      <c r="R175" s="803">
        <f t="shared" si="19"/>
        <v>0</v>
      </c>
    </row>
    <row r="176" spans="2:18" ht="28.5" customHeight="1" x14ac:dyDescent="0.2">
      <c r="B176" s="1107" t="str">
        <f>"per 31/12/"&amp;$J$13</f>
        <v>per 31/12/2018</v>
      </c>
      <c r="C176" s="1108"/>
      <c r="D176" s="1108"/>
      <c r="E176" s="1109"/>
      <c r="F176" s="167"/>
      <c r="G176" s="247">
        <f t="shared" si="20"/>
        <v>0</v>
      </c>
      <c r="H176" s="247">
        <f t="shared" si="21"/>
        <v>0</v>
      </c>
      <c r="I176" s="247">
        <f>+I175+I68</f>
        <v>0</v>
      </c>
      <c r="J176" s="247">
        <f>+J$18+J68</f>
        <v>0</v>
      </c>
      <c r="K176" s="247"/>
      <c r="L176" s="247"/>
      <c r="M176" s="247"/>
      <c r="N176" s="247"/>
      <c r="O176" s="247"/>
      <c r="P176" s="247"/>
      <c r="R176" s="803">
        <f t="shared" si="19"/>
        <v>0</v>
      </c>
    </row>
    <row r="177" spans="2:18" ht="28.5" customHeight="1" x14ac:dyDescent="0.2">
      <c r="B177" s="1107" t="str">
        <f>"per 31/12/"&amp;$K$13</f>
        <v>per 31/12/2019</v>
      </c>
      <c r="C177" s="1108"/>
      <c r="D177" s="1108"/>
      <c r="E177" s="1109"/>
      <c r="F177" s="167"/>
      <c r="G177" s="247">
        <f t="shared" si="20"/>
        <v>0</v>
      </c>
      <c r="H177" s="247">
        <f t="shared" si="21"/>
        <v>0</v>
      </c>
      <c r="I177" s="247">
        <f>+I176+I69</f>
        <v>0</v>
      </c>
      <c r="J177" s="247">
        <f>+J176+J69</f>
        <v>0</v>
      </c>
      <c r="K177" s="247">
        <f>+K$18+K69</f>
        <v>0</v>
      </c>
      <c r="L177" s="247"/>
      <c r="M177" s="247"/>
      <c r="N177" s="247"/>
      <c r="O177" s="247"/>
      <c r="P177" s="247"/>
      <c r="R177" s="803">
        <f t="shared" si="19"/>
        <v>0</v>
      </c>
    </row>
    <row r="178" spans="2:18" ht="28.5" customHeight="1" x14ac:dyDescent="0.2">
      <c r="B178" s="1107" t="str">
        <f>"per 31/12/"&amp;$L$13</f>
        <v>per 31/12/2020</v>
      </c>
      <c r="C178" s="1108"/>
      <c r="D178" s="1108"/>
      <c r="E178" s="1109"/>
      <c r="F178" s="167"/>
      <c r="G178" s="247">
        <f t="shared" si="20"/>
        <v>0</v>
      </c>
      <c r="H178" s="247">
        <f t="shared" si="21"/>
        <v>0</v>
      </c>
      <c r="I178" s="247">
        <f>+I177+I70</f>
        <v>0</v>
      </c>
      <c r="J178" s="247">
        <f>+J177+J70</f>
        <v>0</v>
      </c>
      <c r="K178" s="247">
        <f>+K177+K70</f>
        <v>0</v>
      </c>
      <c r="L178" s="247">
        <f>+L$18+L70</f>
        <v>0</v>
      </c>
      <c r="M178" s="247"/>
      <c r="N178" s="247"/>
      <c r="O178" s="247"/>
      <c r="P178" s="247"/>
      <c r="R178" s="803">
        <f t="shared" si="19"/>
        <v>0</v>
      </c>
    </row>
    <row r="179" spans="2:18" ht="28.5" customHeight="1" x14ac:dyDescent="0.2">
      <c r="B179" s="1107" t="str">
        <f>"per 31/12/"&amp;$M$13</f>
        <v>per 31/12/2021</v>
      </c>
      <c r="C179" s="1108"/>
      <c r="D179" s="1108"/>
      <c r="E179" s="1109"/>
      <c r="F179" s="167"/>
      <c r="G179" s="247">
        <f t="shared" si="20"/>
        <v>0</v>
      </c>
      <c r="H179" s="247">
        <f t="shared" si="21"/>
        <v>0</v>
      </c>
      <c r="I179" s="247">
        <f>+I178+I71</f>
        <v>0</v>
      </c>
      <c r="J179" s="247">
        <f>+J178+J71</f>
        <v>0</v>
      </c>
      <c r="K179" s="247">
        <f>+K178+K71</f>
        <v>0</v>
      </c>
      <c r="L179" s="247">
        <f>+L178+L71</f>
        <v>0</v>
      </c>
      <c r="M179" s="520"/>
      <c r="N179" s="247"/>
      <c r="O179" s="247"/>
      <c r="P179" s="247"/>
      <c r="R179" s="803">
        <f t="shared" si="19"/>
        <v>0</v>
      </c>
    </row>
    <row r="180" spans="2:18" ht="28.5" customHeight="1" x14ac:dyDescent="0.2">
      <c r="B180" s="1107" t="str">
        <f>"per 31/12/"&amp;$N$13</f>
        <v>per 31/12/2022</v>
      </c>
      <c r="C180" s="1108"/>
      <c r="D180" s="1108"/>
      <c r="E180" s="1109"/>
      <c r="F180" s="167"/>
      <c r="G180" s="247">
        <f t="shared" si="20"/>
        <v>0</v>
      </c>
      <c r="H180" s="247">
        <f t="shared" si="21"/>
        <v>0</v>
      </c>
      <c r="I180" s="247">
        <f>+I179+I72</f>
        <v>0</v>
      </c>
      <c r="J180" s="247">
        <f>+J179+J72</f>
        <v>0</v>
      </c>
      <c r="K180" s="247">
        <f>+K179+K72</f>
        <v>0</v>
      </c>
      <c r="L180" s="247">
        <f>+L179+L72</f>
        <v>0</v>
      </c>
      <c r="M180" s="520"/>
      <c r="N180" s="520"/>
      <c r="O180" s="247"/>
      <c r="P180" s="247"/>
      <c r="R180" s="803">
        <f t="shared" si="19"/>
        <v>0</v>
      </c>
    </row>
    <row r="181" spans="2:18" ht="28.5" customHeight="1" x14ac:dyDescent="0.2">
      <c r="B181" s="1107" t="str">
        <f>"per 31/12/"&amp;$O$13</f>
        <v>per 31/12/2023</v>
      </c>
      <c r="C181" s="1108"/>
      <c r="D181" s="1108"/>
      <c r="E181" s="1109"/>
      <c r="F181" s="167"/>
      <c r="G181" s="247"/>
      <c r="H181" s="247"/>
      <c r="I181" s="247"/>
      <c r="J181" s="247"/>
      <c r="K181" s="247"/>
      <c r="L181" s="247">
        <f>+L180+L73</f>
        <v>0</v>
      </c>
      <c r="M181" s="520"/>
      <c r="N181" s="520"/>
      <c r="O181" s="520"/>
      <c r="P181" s="247"/>
      <c r="R181" s="803">
        <f t="shared" si="19"/>
        <v>0</v>
      </c>
    </row>
    <row r="182" spans="2:18" ht="28.5" customHeight="1" x14ac:dyDescent="0.2">
      <c r="B182" s="1107" t="str">
        <f>"per 31/12/"&amp;$P$13</f>
        <v>per 31/12/2024</v>
      </c>
      <c r="C182" s="1108"/>
      <c r="D182" s="1108"/>
      <c r="E182" s="1109"/>
      <c r="F182" s="167"/>
      <c r="G182" s="247"/>
      <c r="H182" s="247"/>
      <c r="I182" s="247"/>
      <c r="J182" s="247"/>
      <c r="K182" s="247"/>
      <c r="L182" s="247"/>
      <c r="M182" s="520"/>
      <c r="N182" s="520"/>
      <c r="O182" s="520"/>
      <c r="P182" s="520"/>
      <c r="R182" s="805"/>
    </row>
    <row r="183" spans="2:18" ht="30" customHeight="1" x14ac:dyDescent="0.2">
      <c r="B183" s="1118" t="s">
        <v>169</v>
      </c>
      <c r="C183" s="1119"/>
      <c r="D183" s="1119"/>
      <c r="E183" s="1120"/>
      <c r="F183" s="167"/>
      <c r="G183" s="804"/>
      <c r="H183" s="804"/>
      <c r="I183" s="804"/>
      <c r="J183" s="804"/>
      <c r="K183" s="804"/>
      <c r="L183" s="804"/>
      <c r="M183" s="804"/>
      <c r="N183" s="804"/>
      <c r="O183" s="804"/>
      <c r="P183" s="804"/>
      <c r="R183" s="804"/>
    </row>
    <row r="184" spans="2:18" ht="28.5" customHeight="1" x14ac:dyDescent="0.2">
      <c r="B184" s="1107" t="str">
        <f>"per 31/12/"&amp;$G$13</f>
        <v>per 31/12/2015</v>
      </c>
      <c r="C184" s="1108"/>
      <c r="D184" s="1108"/>
      <c r="E184" s="1109"/>
      <c r="F184" s="167"/>
      <c r="G184" s="520"/>
      <c r="H184" s="247"/>
      <c r="I184" s="247"/>
      <c r="J184" s="247"/>
      <c r="K184" s="247"/>
      <c r="L184" s="247"/>
      <c r="M184" s="247"/>
      <c r="N184" s="247"/>
      <c r="O184" s="247"/>
      <c r="P184" s="247"/>
      <c r="R184" s="805"/>
    </row>
    <row r="185" spans="2:18" ht="28.5" customHeight="1" x14ac:dyDescent="0.2">
      <c r="B185" s="1107" t="str">
        <f>"per 31/12/"&amp;$H$13</f>
        <v>per 31/12/2016</v>
      </c>
      <c r="C185" s="1108"/>
      <c r="D185" s="1108"/>
      <c r="E185" s="1109"/>
      <c r="F185" s="167"/>
      <c r="G185" s="520"/>
      <c r="H185" s="520"/>
      <c r="I185" s="247"/>
      <c r="J185" s="247"/>
      <c r="K185" s="247"/>
      <c r="L185" s="247"/>
      <c r="M185" s="247"/>
      <c r="N185" s="247"/>
      <c r="O185" s="247"/>
      <c r="P185" s="247"/>
      <c r="R185" s="805"/>
    </row>
    <row r="186" spans="2:18" ht="28.5" customHeight="1" x14ac:dyDescent="0.2">
      <c r="B186" s="1107" t="str">
        <f>"per 31/12/"&amp;$I$13</f>
        <v>per 31/12/2017</v>
      </c>
      <c r="C186" s="1108"/>
      <c r="D186" s="1108"/>
      <c r="E186" s="1109"/>
      <c r="F186" s="167"/>
      <c r="G186" s="520"/>
      <c r="H186" s="520"/>
      <c r="I186" s="520"/>
      <c r="J186" s="247"/>
      <c r="K186" s="247"/>
      <c r="L186" s="247"/>
      <c r="M186" s="247"/>
      <c r="N186" s="247"/>
      <c r="O186" s="247"/>
      <c r="P186" s="247"/>
      <c r="R186" s="805"/>
    </row>
    <row r="187" spans="2:18" ht="28.5" customHeight="1" x14ac:dyDescent="0.2">
      <c r="B187" s="1107" t="str">
        <f>"per 31/12/"&amp;$J$13</f>
        <v>per 31/12/2018</v>
      </c>
      <c r="C187" s="1108"/>
      <c r="D187" s="1108"/>
      <c r="E187" s="1109"/>
      <c r="F187" s="167"/>
      <c r="G187" s="520"/>
      <c r="H187" s="520"/>
      <c r="I187" s="520"/>
      <c r="J187" s="520"/>
      <c r="K187" s="247"/>
      <c r="L187" s="247"/>
      <c r="M187" s="247"/>
      <c r="N187" s="247"/>
      <c r="O187" s="247"/>
      <c r="P187" s="247"/>
      <c r="R187" s="805"/>
    </row>
    <row r="188" spans="2:18" ht="28.5" customHeight="1" x14ac:dyDescent="0.2">
      <c r="B188" s="1107" t="str">
        <f>"per 31/12/"&amp;$K$13</f>
        <v>per 31/12/2019</v>
      </c>
      <c r="C188" s="1108"/>
      <c r="D188" s="1108"/>
      <c r="E188" s="1109"/>
      <c r="F188" s="167"/>
      <c r="G188" s="520"/>
      <c r="H188" s="520"/>
      <c r="I188" s="520"/>
      <c r="J188" s="520"/>
      <c r="K188" s="520"/>
      <c r="L188" s="247"/>
      <c r="M188" s="247"/>
      <c r="N188" s="247"/>
      <c r="O188" s="247"/>
      <c r="P188" s="247"/>
      <c r="R188" s="805"/>
    </row>
    <row r="189" spans="2:18" ht="28.5" customHeight="1" x14ac:dyDescent="0.2">
      <c r="B189" s="1107" t="str">
        <f>"per 31/12/"&amp;$L$13</f>
        <v>per 31/12/2020</v>
      </c>
      <c r="C189" s="1108"/>
      <c r="D189" s="1108"/>
      <c r="E189" s="1109"/>
      <c r="F189" s="167"/>
      <c r="G189" s="520"/>
      <c r="H189" s="520"/>
      <c r="I189" s="520"/>
      <c r="J189" s="520"/>
      <c r="K189" s="520"/>
      <c r="L189" s="520"/>
      <c r="M189" s="247"/>
      <c r="N189" s="247"/>
      <c r="O189" s="247"/>
      <c r="P189" s="247"/>
      <c r="R189" s="805"/>
    </row>
    <row r="190" spans="2:18" ht="28.5" customHeight="1" x14ac:dyDescent="0.2">
      <c r="B190" s="1107" t="str">
        <f>"per 31/12/"&amp;$M$13</f>
        <v>per 31/12/2021</v>
      </c>
      <c r="C190" s="1108"/>
      <c r="D190" s="1108"/>
      <c r="E190" s="1109"/>
      <c r="F190" s="167"/>
      <c r="G190" s="520"/>
      <c r="H190" s="520"/>
      <c r="I190" s="520"/>
      <c r="J190" s="520"/>
      <c r="K190" s="520"/>
      <c r="L190" s="520"/>
      <c r="M190" s="520"/>
      <c r="N190" s="247"/>
      <c r="O190" s="247"/>
      <c r="P190" s="247"/>
      <c r="R190" s="805"/>
    </row>
    <row r="191" spans="2:18" ht="28.5" customHeight="1" x14ac:dyDescent="0.2">
      <c r="B191" s="1107" t="str">
        <f>"per 31/12/"&amp;$N$13</f>
        <v>per 31/12/2022</v>
      </c>
      <c r="C191" s="1108"/>
      <c r="D191" s="1108"/>
      <c r="E191" s="1109"/>
      <c r="F191" s="167"/>
      <c r="G191" s="520"/>
      <c r="H191" s="520"/>
      <c r="I191" s="520"/>
      <c r="J191" s="520"/>
      <c r="K191" s="520"/>
      <c r="L191" s="520"/>
      <c r="M191" s="520"/>
      <c r="N191" s="520"/>
      <c r="O191" s="247"/>
      <c r="P191" s="247"/>
      <c r="R191" s="805"/>
    </row>
    <row r="192" spans="2:18" ht="28.5" customHeight="1" x14ac:dyDescent="0.2">
      <c r="B192" s="1107" t="str">
        <f>"per 31/12/"&amp;$O$13</f>
        <v>per 31/12/2023</v>
      </c>
      <c r="C192" s="1108"/>
      <c r="D192" s="1108"/>
      <c r="E192" s="1109"/>
      <c r="F192" s="167"/>
      <c r="G192" s="247"/>
      <c r="H192" s="247"/>
      <c r="I192" s="247"/>
      <c r="J192" s="247"/>
      <c r="K192" s="247"/>
      <c r="L192" s="520"/>
      <c r="M192" s="520"/>
      <c r="N192" s="520"/>
      <c r="O192" s="520"/>
      <c r="P192" s="247"/>
      <c r="R192" s="805"/>
    </row>
    <row r="193" spans="2:18" ht="28.5" customHeight="1" x14ac:dyDescent="0.2">
      <c r="B193" s="1107" t="str">
        <f>"per 31/12/"&amp;$P$13</f>
        <v>per 31/12/2024</v>
      </c>
      <c r="C193" s="1108"/>
      <c r="D193" s="1108"/>
      <c r="E193" s="1109"/>
      <c r="F193" s="167"/>
      <c r="G193" s="247"/>
      <c r="H193" s="247"/>
      <c r="I193" s="247"/>
      <c r="J193" s="247"/>
      <c r="K193" s="247"/>
      <c r="L193" s="247"/>
      <c r="M193" s="520"/>
      <c r="N193" s="520"/>
      <c r="O193" s="520"/>
      <c r="P193" s="520"/>
      <c r="R193" s="805"/>
    </row>
    <row r="194" spans="2:18" ht="30" customHeight="1" x14ac:dyDescent="0.2">
      <c r="B194" s="1118" t="s">
        <v>67</v>
      </c>
      <c r="C194" s="1119"/>
      <c r="D194" s="1119"/>
      <c r="E194" s="1120"/>
      <c r="F194" s="167"/>
      <c r="G194" s="804"/>
      <c r="H194" s="804"/>
      <c r="I194" s="804"/>
      <c r="J194" s="804"/>
      <c r="K194" s="804"/>
      <c r="L194" s="804"/>
      <c r="M194" s="804"/>
      <c r="N194" s="804"/>
      <c r="O194" s="804"/>
      <c r="P194" s="804"/>
      <c r="R194" s="804"/>
    </row>
    <row r="195" spans="2:18" ht="28.5" customHeight="1" x14ac:dyDescent="0.2">
      <c r="B195" s="1107" t="str">
        <f>"per 31/12/"&amp;$G$13</f>
        <v>per 31/12/2015</v>
      </c>
      <c r="C195" s="1108"/>
      <c r="D195" s="1108"/>
      <c r="E195" s="1109"/>
      <c r="F195" s="167"/>
      <c r="G195" s="247">
        <f>+G$20+G87</f>
        <v>0</v>
      </c>
      <c r="H195" s="247"/>
      <c r="I195" s="247"/>
      <c r="J195" s="247"/>
      <c r="K195" s="247"/>
      <c r="L195" s="247"/>
      <c r="M195" s="247"/>
      <c r="N195" s="247"/>
      <c r="O195" s="247"/>
      <c r="P195" s="247"/>
      <c r="R195" s="803">
        <f t="shared" si="13"/>
        <v>0</v>
      </c>
    </row>
    <row r="196" spans="2:18" ht="28.5" customHeight="1" x14ac:dyDescent="0.2">
      <c r="B196" s="1107" t="str">
        <f>"per 31/12/"&amp;$H$13</f>
        <v>per 31/12/2016</v>
      </c>
      <c r="C196" s="1108"/>
      <c r="D196" s="1108"/>
      <c r="E196" s="1109"/>
      <c r="F196" s="167"/>
      <c r="G196" s="247">
        <f t="shared" ref="G196:G202" si="22">+G195+G88</f>
        <v>0</v>
      </c>
      <c r="H196" s="247">
        <f>+H$20+H88</f>
        <v>0</v>
      </c>
      <c r="I196" s="247"/>
      <c r="J196" s="247"/>
      <c r="K196" s="247"/>
      <c r="L196" s="247"/>
      <c r="M196" s="247"/>
      <c r="N196" s="247"/>
      <c r="O196" s="247"/>
      <c r="P196" s="247"/>
      <c r="R196" s="803">
        <f t="shared" si="13"/>
        <v>0</v>
      </c>
    </row>
    <row r="197" spans="2:18" ht="28.5" customHeight="1" x14ac:dyDescent="0.2">
      <c r="B197" s="1107" t="str">
        <f>"per 31/12/"&amp;$I$13</f>
        <v>per 31/12/2017</v>
      </c>
      <c r="C197" s="1108"/>
      <c r="D197" s="1108"/>
      <c r="E197" s="1109"/>
      <c r="F197" s="167"/>
      <c r="G197" s="247">
        <f t="shared" si="22"/>
        <v>0</v>
      </c>
      <c r="H197" s="247">
        <f t="shared" ref="H197:H202" si="23">+H196+H89</f>
        <v>0</v>
      </c>
      <c r="I197" s="247">
        <f>+I$20+I89</f>
        <v>0</v>
      </c>
      <c r="J197" s="247"/>
      <c r="K197" s="247"/>
      <c r="L197" s="247"/>
      <c r="M197" s="247"/>
      <c r="N197" s="247"/>
      <c r="O197" s="247"/>
      <c r="P197" s="247"/>
      <c r="R197" s="803">
        <f t="shared" si="13"/>
        <v>0</v>
      </c>
    </row>
    <row r="198" spans="2:18" ht="28.5" customHeight="1" x14ac:dyDescent="0.2">
      <c r="B198" s="1107" t="str">
        <f>"per 31/12/"&amp;$J$13</f>
        <v>per 31/12/2018</v>
      </c>
      <c r="C198" s="1108"/>
      <c r="D198" s="1108"/>
      <c r="E198" s="1109"/>
      <c r="F198" s="167"/>
      <c r="G198" s="247">
        <f t="shared" si="22"/>
        <v>0</v>
      </c>
      <c r="H198" s="247">
        <f t="shared" si="23"/>
        <v>0</v>
      </c>
      <c r="I198" s="247">
        <f>+I197+I90</f>
        <v>0</v>
      </c>
      <c r="J198" s="247">
        <f>+J$20+J90</f>
        <v>0</v>
      </c>
      <c r="K198" s="247"/>
      <c r="L198" s="247"/>
      <c r="M198" s="247"/>
      <c r="N198" s="247"/>
      <c r="O198" s="247"/>
      <c r="P198" s="247"/>
      <c r="R198" s="803">
        <f t="shared" si="13"/>
        <v>0</v>
      </c>
    </row>
    <row r="199" spans="2:18" ht="28.5" customHeight="1" x14ac:dyDescent="0.2">
      <c r="B199" s="1107" t="str">
        <f>"per 31/12/"&amp;$K$13</f>
        <v>per 31/12/2019</v>
      </c>
      <c r="C199" s="1108"/>
      <c r="D199" s="1108"/>
      <c r="E199" s="1109"/>
      <c r="F199" s="167"/>
      <c r="G199" s="247">
        <f t="shared" si="22"/>
        <v>0</v>
      </c>
      <c r="H199" s="247">
        <f t="shared" si="23"/>
        <v>0</v>
      </c>
      <c r="I199" s="247">
        <f>+I198+I91</f>
        <v>0</v>
      </c>
      <c r="J199" s="247">
        <f>+J198+J91</f>
        <v>0</v>
      </c>
      <c r="K199" s="247">
        <f>+K$20+K91</f>
        <v>0</v>
      </c>
      <c r="L199" s="247"/>
      <c r="M199" s="247"/>
      <c r="N199" s="247"/>
      <c r="O199" s="247"/>
      <c r="P199" s="247"/>
      <c r="R199" s="803">
        <f t="shared" si="13"/>
        <v>0</v>
      </c>
    </row>
    <row r="200" spans="2:18" ht="28.5" customHeight="1" x14ac:dyDescent="0.2">
      <c r="B200" s="1107" t="str">
        <f>"per 31/12/"&amp;$L$13</f>
        <v>per 31/12/2020</v>
      </c>
      <c r="C200" s="1108"/>
      <c r="D200" s="1108"/>
      <c r="E200" s="1109"/>
      <c r="F200" s="167"/>
      <c r="G200" s="247">
        <f t="shared" si="22"/>
        <v>0</v>
      </c>
      <c r="H200" s="247">
        <f t="shared" si="23"/>
        <v>0</v>
      </c>
      <c r="I200" s="247">
        <f>+I199+I92</f>
        <v>0</v>
      </c>
      <c r="J200" s="247">
        <f>+J199+J92</f>
        <v>0</v>
      </c>
      <c r="K200" s="247">
        <f>+K199+K92</f>
        <v>0</v>
      </c>
      <c r="L200" s="247">
        <f>+L$20+L92</f>
        <v>0</v>
      </c>
      <c r="M200" s="247"/>
      <c r="N200" s="247"/>
      <c r="O200" s="247"/>
      <c r="P200" s="247"/>
      <c r="R200" s="803">
        <f t="shared" si="13"/>
        <v>0</v>
      </c>
    </row>
    <row r="201" spans="2:18" ht="28.5" customHeight="1" x14ac:dyDescent="0.2">
      <c r="B201" s="1107" t="str">
        <f>"per 31/12/"&amp;$M$13</f>
        <v>per 31/12/2021</v>
      </c>
      <c r="C201" s="1108"/>
      <c r="D201" s="1108"/>
      <c r="E201" s="1109"/>
      <c r="F201" s="167"/>
      <c r="G201" s="247">
        <f t="shared" si="22"/>
        <v>0</v>
      </c>
      <c r="H201" s="247">
        <f t="shared" si="23"/>
        <v>0</v>
      </c>
      <c r="I201" s="247">
        <f>+I200+I93</f>
        <v>0</v>
      </c>
      <c r="J201" s="247">
        <f>+J200+J93</f>
        <v>0</v>
      </c>
      <c r="K201" s="247">
        <f>+K200+K93</f>
        <v>0</v>
      </c>
      <c r="L201" s="247">
        <f>+L200+L93</f>
        <v>0</v>
      </c>
      <c r="M201" s="247">
        <f>+M$20+M93</f>
        <v>0</v>
      </c>
      <c r="N201" s="247"/>
      <c r="O201" s="247"/>
      <c r="P201" s="247"/>
      <c r="R201" s="803">
        <f t="shared" si="13"/>
        <v>0</v>
      </c>
    </row>
    <row r="202" spans="2:18" ht="28.5" customHeight="1" x14ac:dyDescent="0.2">
      <c r="B202" s="1107" t="str">
        <f>"per 31/12/"&amp;$N$13</f>
        <v>per 31/12/2022</v>
      </c>
      <c r="C202" s="1108"/>
      <c r="D202" s="1108"/>
      <c r="E202" s="1109"/>
      <c r="F202" s="167"/>
      <c r="G202" s="247">
        <f t="shared" si="22"/>
        <v>0</v>
      </c>
      <c r="H202" s="247">
        <f t="shared" si="23"/>
        <v>0</v>
      </c>
      <c r="I202" s="247">
        <f>+I201+I94</f>
        <v>0</v>
      </c>
      <c r="J202" s="247">
        <f>+J201+J94</f>
        <v>0</v>
      </c>
      <c r="K202" s="247">
        <f>+K201+K94</f>
        <v>0</v>
      </c>
      <c r="L202" s="247">
        <f>+L201+L94</f>
        <v>0</v>
      </c>
      <c r="M202" s="247">
        <f>+M201+M94</f>
        <v>0</v>
      </c>
      <c r="N202" s="247">
        <f>+N$20+N94</f>
        <v>0</v>
      </c>
      <c r="O202" s="247"/>
      <c r="P202" s="247"/>
      <c r="R202" s="803">
        <f t="shared" si="13"/>
        <v>0</v>
      </c>
    </row>
    <row r="203" spans="2:18" ht="28.5" customHeight="1" x14ac:dyDescent="0.2">
      <c r="B203" s="1107" t="str">
        <f>"per 31/12/"&amp;$O$13</f>
        <v>per 31/12/2023</v>
      </c>
      <c r="C203" s="1108"/>
      <c r="D203" s="1108"/>
      <c r="E203" s="1109"/>
      <c r="F203" s="167"/>
      <c r="G203" s="247"/>
      <c r="H203" s="247"/>
      <c r="I203" s="247"/>
      <c r="J203" s="247"/>
      <c r="K203" s="247"/>
      <c r="L203" s="247">
        <f>+L202+L95</f>
        <v>0</v>
      </c>
      <c r="M203" s="247">
        <f>+M202+M95</f>
        <v>0</v>
      </c>
      <c r="N203" s="247">
        <f>+N202+N95</f>
        <v>0</v>
      </c>
      <c r="O203" s="247">
        <f>+O$20+O95</f>
        <v>0</v>
      </c>
      <c r="P203" s="247"/>
      <c r="R203" s="803">
        <f t="shared" si="13"/>
        <v>0</v>
      </c>
    </row>
    <row r="204" spans="2:18" ht="28.5" customHeight="1" x14ac:dyDescent="0.2">
      <c r="B204" s="1107" t="str">
        <f>"per 31/12/"&amp;$P$13</f>
        <v>per 31/12/2024</v>
      </c>
      <c r="C204" s="1108"/>
      <c r="D204" s="1108"/>
      <c r="E204" s="1109"/>
      <c r="F204" s="167"/>
      <c r="G204" s="247"/>
      <c r="H204" s="247"/>
      <c r="I204" s="247"/>
      <c r="J204" s="247"/>
      <c r="K204" s="247"/>
      <c r="L204" s="247"/>
      <c r="M204" s="247">
        <f>+M203+M96</f>
        <v>0</v>
      </c>
      <c r="N204" s="247">
        <f>+N203+N96</f>
        <v>0</v>
      </c>
      <c r="O204" s="247">
        <f>+O203+O96</f>
        <v>0</v>
      </c>
      <c r="P204" s="247">
        <f>+P$20+P96</f>
        <v>0</v>
      </c>
      <c r="R204" s="803">
        <f t="shared" si="13"/>
        <v>0</v>
      </c>
    </row>
    <row r="205" spans="2:18" ht="26.25" customHeight="1" x14ac:dyDescent="0.2">
      <c r="B205" s="1118" t="s">
        <v>96</v>
      </c>
      <c r="C205" s="1119"/>
      <c r="D205" s="1119"/>
      <c r="E205" s="1120"/>
      <c r="F205" s="167"/>
      <c r="G205" s="804"/>
      <c r="H205" s="804"/>
      <c r="I205" s="804"/>
      <c r="J205" s="804"/>
      <c r="K205" s="804"/>
      <c r="L205" s="804"/>
      <c r="M205" s="804"/>
      <c r="N205" s="804"/>
      <c r="O205" s="804"/>
      <c r="P205" s="804"/>
      <c r="R205" s="804"/>
    </row>
    <row r="206" spans="2:18" ht="28.5" customHeight="1" x14ac:dyDescent="0.2">
      <c r="B206" s="1107" t="str">
        <f>"per 31/12/"&amp;$G$13</f>
        <v>per 31/12/2015</v>
      </c>
      <c r="C206" s="1108"/>
      <c r="D206" s="1108"/>
      <c r="E206" s="1109"/>
      <c r="F206" s="167"/>
      <c r="G206" s="247">
        <f>+G$21+G98</f>
        <v>0</v>
      </c>
      <c r="H206" s="247"/>
      <c r="I206" s="247"/>
      <c r="J206" s="247"/>
      <c r="K206" s="247"/>
      <c r="L206" s="247"/>
      <c r="M206" s="247"/>
      <c r="N206" s="247"/>
      <c r="O206" s="247"/>
      <c r="P206" s="247"/>
      <c r="R206" s="803">
        <f t="shared" si="13"/>
        <v>0</v>
      </c>
    </row>
    <row r="207" spans="2:18" ht="28.5" customHeight="1" x14ac:dyDescent="0.2">
      <c r="B207" s="1107" t="str">
        <f>"per 31/12/"&amp;$H$13</f>
        <v>per 31/12/2016</v>
      </c>
      <c r="C207" s="1108"/>
      <c r="D207" s="1108"/>
      <c r="E207" s="1109"/>
      <c r="F207" s="167"/>
      <c r="G207" s="247">
        <f t="shared" ref="G207:G213" si="24">G206+G99</f>
        <v>0</v>
      </c>
      <c r="H207" s="247">
        <f>+H$21+H99</f>
        <v>0</v>
      </c>
      <c r="I207" s="247"/>
      <c r="J207" s="247"/>
      <c r="K207" s="247"/>
      <c r="L207" s="247"/>
      <c r="M207" s="247"/>
      <c r="N207" s="247"/>
      <c r="O207" s="247"/>
      <c r="P207" s="247"/>
      <c r="R207" s="803">
        <f t="shared" si="13"/>
        <v>0</v>
      </c>
    </row>
    <row r="208" spans="2:18" ht="28.5" customHeight="1" x14ac:dyDescent="0.2">
      <c r="B208" s="1107" t="str">
        <f>"per 31/12/"&amp;$I$13</f>
        <v>per 31/12/2017</v>
      </c>
      <c r="C208" s="1108"/>
      <c r="D208" s="1108"/>
      <c r="E208" s="1109"/>
      <c r="F208" s="167"/>
      <c r="G208" s="247">
        <f t="shared" si="24"/>
        <v>0</v>
      </c>
      <c r="H208" s="247">
        <f t="shared" ref="H208:H213" si="25">H207+H100</f>
        <v>0</v>
      </c>
      <c r="I208" s="247">
        <f>+I$21+I100</f>
        <v>0</v>
      </c>
      <c r="J208" s="247"/>
      <c r="K208" s="247"/>
      <c r="L208" s="247"/>
      <c r="M208" s="247"/>
      <c r="N208" s="247"/>
      <c r="O208" s="247"/>
      <c r="P208" s="247"/>
      <c r="R208" s="803">
        <f t="shared" si="13"/>
        <v>0</v>
      </c>
    </row>
    <row r="209" spans="2:18" ht="28.5" customHeight="1" x14ac:dyDescent="0.2">
      <c r="B209" s="1107" t="str">
        <f>"per 31/12/"&amp;$J$13</f>
        <v>per 31/12/2018</v>
      </c>
      <c r="C209" s="1108"/>
      <c r="D209" s="1108"/>
      <c r="E209" s="1109"/>
      <c r="F209" s="167"/>
      <c r="G209" s="247">
        <f t="shared" si="24"/>
        <v>0</v>
      </c>
      <c r="H209" s="247">
        <f t="shared" si="25"/>
        <v>0</v>
      </c>
      <c r="I209" s="247">
        <f>I208+I101</f>
        <v>0</v>
      </c>
      <c r="J209" s="247">
        <f>+J$21+J101</f>
        <v>0</v>
      </c>
      <c r="K209" s="247"/>
      <c r="L209" s="247"/>
      <c r="M209" s="247"/>
      <c r="N209" s="247"/>
      <c r="O209" s="247"/>
      <c r="P209" s="247"/>
      <c r="R209" s="803">
        <f t="shared" si="13"/>
        <v>0</v>
      </c>
    </row>
    <row r="210" spans="2:18" ht="28.5" customHeight="1" x14ac:dyDescent="0.2">
      <c r="B210" s="1107" t="str">
        <f>"per 31/12/"&amp;$K$13</f>
        <v>per 31/12/2019</v>
      </c>
      <c r="C210" s="1108"/>
      <c r="D210" s="1108"/>
      <c r="E210" s="1109"/>
      <c r="F210" s="167"/>
      <c r="G210" s="247">
        <f t="shared" si="24"/>
        <v>0</v>
      </c>
      <c r="H210" s="247">
        <f t="shared" si="25"/>
        <v>0</v>
      </c>
      <c r="I210" s="247">
        <f>I209+I102</f>
        <v>0</v>
      </c>
      <c r="J210" s="247">
        <f>J209+J102</f>
        <v>0</v>
      </c>
      <c r="K210" s="247">
        <f>+K$21+K102</f>
        <v>0</v>
      </c>
      <c r="L210" s="247"/>
      <c r="M210" s="247"/>
      <c r="N210" s="247"/>
      <c r="O210" s="247"/>
      <c r="P210" s="247"/>
      <c r="R210" s="803">
        <f t="shared" si="13"/>
        <v>0</v>
      </c>
    </row>
    <row r="211" spans="2:18" ht="28.5" customHeight="1" x14ac:dyDescent="0.2">
      <c r="B211" s="1107" t="str">
        <f>"per 31/12/"&amp;$L$13</f>
        <v>per 31/12/2020</v>
      </c>
      <c r="C211" s="1108"/>
      <c r="D211" s="1108"/>
      <c r="E211" s="1109"/>
      <c r="F211" s="167"/>
      <c r="G211" s="247">
        <f t="shared" si="24"/>
        <v>0</v>
      </c>
      <c r="H211" s="247">
        <f t="shared" si="25"/>
        <v>0</v>
      </c>
      <c r="I211" s="247">
        <f>I210+I103</f>
        <v>0</v>
      </c>
      <c r="J211" s="247">
        <f>J210+J103</f>
        <v>0</v>
      </c>
      <c r="K211" s="247">
        <f>K210+K103</f>
        <v>0</v>
      </c>
      <c r="L211" s="247">
        <f>+L$21+L103</f>
        <v>0</v>
      </c>
      <c r="M211" s="247"/>
      <c r="N211" s="247"/>
      <c r="O211" s="247"/>
      <c r="P211" s="247"/>
      <c r="R211" s="803">
        <f t="shared" si="13"/>
        <v>0</v>
      </c>
    </row>
    <row r="212" spans="2:18" ht="28.5" customHeight="1" x14ac:dyDescent="0.2">
      <c r="B212" s="1107" t="str">
        <f>"per 31/12/"&amp;$M$13</f>
        <v>per 31/12/2021</v>
      </c>
      <c r="C212" s="1108"/>
      <c r="D212" s="1108"/>
      <c r="E212" s="1109"/>
      <c r="F212" s="167"/>
      <c r="G212" s="247">
        <f t="shared" si="24"/>
        <v>0</v>
      </c>
      <c r="H212" s="247">
        <f t="shared" si="25"/>
        <v>0</v>
      </c>
      <c r="I212" s="247">
        <f>I211+I104</f>
        <v>0</v>
      </c>
      <c r="J212" s="247">
        <f>J211+J104</f>
        <v>0</v>
      </c>
      <c r="K212" s="247">
        <f>K211+K104</f>
        <v>0</v>
      </c>
      <c r="L212" s="247">
        <f>L211+L104</f>
        <v>0</v>
      </c>
      <c r="M212" s="247">
        <f>+M$21+M104</f>
        <v>0</v>
      </c>
      <c r="N212" s="247"/>
      <c r="O212" s="247"/>
      <c r="P212" s="247"/>
      <c r="R212" s="803">
        <f t="shared" si="13"/>
        <v>0</v>
      </c>
    </row>
    <row r="213" spans="2:18" ht="28.5" customHeight="1" x14ac:dyDescent="0.2">
      <c r="B213" s="1107" t="str">
        <f>"per 31/12/"&amp;$N$13</f>
        <v>per 31/12/2022</v>
      </c>
      <c r="C213" s="1108"/>
      <c r="D213" s="1108"/>
      <c r="E213" s="1109"/>
      <c r="F213" s="167"/>
      <c r="G213" s="247">
        <f t="shared" si="24"/>
        <v>0</v>
      </c>
      <c r="H213" s="247">
        <f t="shared" si="25"/>
        <v>0</v>
      </c>
      <c r="I213" s="247">
        <f>I212+I105</f>
        <v>0</v>
      </c>
      <c r="J213" s="247">
        <f>J212+J105</f>
        <v>0</v>
      </c>
      <c r="K213" s="247">
        <f>K212+K105</f>
        <v>0</v>
      </c>
      <c r="L213" s="247">
        <f>L212+L105</f>
        <v>0</v>
      </c>
      <c r="M213" s="247">
        <f>M212+M105</f>
        <v>0</v>
      </c>
      <c r="N213" s="520"/>
      <c r="O213" s="247"/>
      <c r="P213" s="247"/>
      <c r="R213" s="803">
        <f t="shared" si="13"/>
        <v>0</v>
      </c>
    </row>
    <row r="214" spans="2:18" ht="28.5" customHeight="1" x14ac:dyDescent="0.2">
      <c r="B214" s="1107" t="str">
        <f>"per 31/12/"&amp;$O$13</f>
        <v>per 31/12/2023</v>
      </c>
      <c r="C214" s="1108"/>
      <c r="D214" s="1108"/>
      <c r="E214" s="1109"/>
      <c r="F214" s="167"/>
      <c r="G214" s="247"/>
      <c r="H214" s="247"/>
      <c r="I214" s="247"/>
      <c r="J214" s="247"/>
      <c r="K214" s="247"/>
      <c r="L214" s="247">
        <f>L213+L106</f>
        <v>0</v>
      </c>
      <c r="M214" s="247">
        <f>M213+M106</f>
        <v>0</v>
      </c>
      <c r="N214" s="520"/>
      <c r="O214" s="520"/>
      <c r="P214" s="247"/>
      <c r="R214" s="803">
        <f t="shared" si="13"/>
        <v>0</v>
      </c>
    </row>
    <row r="215" spans="2:18" ht="28.5" customHeight="1" x14ac:dyDescent="0.2">
      <c r="B215" s="1107" t="str">
        <f>"per 31/12/"&amp;$P$13</f>
        <v>per 31/12/2024</v>
      </c>
      <c r="C215" s="1108"/>
      <c r="D215" s="1108"/>
      <c r="E215" s="1109"/>
      <c r="F215" s="167"/>
      <c r="G215" s="247"/>
      <c r="H215" s="247"/>
      <c r="I215" s="247"/>
      <c r="J215" s="247"/>
      <c r="K215" s="247"/>
      <c r="L215" s="247"/>
      <c r="M215" s="247">
        <f>M214+M107</f>
        <v>0</v>
      </c>
      <c r="N215" s="520"/>
      <c r="O215" s="520"/>
      <c r="P215" s="520"/>
      <c r="R215" s="803">
        <f t="shared" ref="R215" si="26">SUM(G215:P215)</f>
        <v>0</v>
      </c>
    </row>
    <row r="216" spans="2:18" ht="33" customHeight="1" x14ac:dyDescent="0.2">
      <c r="B216" s="1118" t="s">
        <v>357</v>
      </c>
      <c r="C216" s="1119"/>
      <c r="D216" s="1119"/>
      <c r="E216" s="1120"/>
      <c r="F216" s="167"/>
      <c r="G216" s="804"/>
      <c r="H216" s="804"/>
      <c r="I216" s="804"/>
      <c r="J216" s="804"/>
      <c r="K216" s="804"/>
      <c r="L216" s="804"/>
      <c r="M216" s="804"/>
      <c r="N216" s="804"/>
      <c r="O216" s="804"/>
      <c r="P216" s="804"/>
      <c r="R216" s="804"/>
    </row>
    <row r="217" spans="2:18" ht="28.5" customHeight="1" x14ac:dyDescent="0.2">
      <c r="B217" s="1107" t="str">
        <f>"per 31/12/"&amp;$G$13</f>
        <v>per 31/12/2015</v>
      </c>
      <c r="C217" s="1108"/>
      <c r="D217" s="1108"/>
      <c r="E217" s="1109"/>
      <c r="F217" s="167"/>
      <c r="G217" s="808">
        <f>+G$22+G109</f>
        <v>0</v>
      </c>
      <c r="H217" s="247"/>
      <c r="I217" s="247"/>
      <c r="J217" s="247"/>
      <c r="K217" s="247"/>
      <c r="L217" s="247"/>
      <c r="M217" s="247"/>
      <c r="N217" s="247"/>
      <c r="O217" s="247"/>
      <c r="P217" s="247"/>
      <c r="R217" s="803">
        <f t="shared" ref="R217:R226" si="27">SUM(G217:P217)</f>
        <v>0</v>
      </c>
    </row>
    <row r="218" spans="2:18" ht="28.5" customHeight="1" x14ac:dyDescent="0.2">
      <c r="B218" s="1107" t="str">
        <f>"per 31/12/"&amp;$H$13</f>
        <v>per 31/12/2016</v>
      </c>
      <c r="C218" s="1108"/>
      <c r="D218" s="1108"/>
      <c r="E218" s="1109"/>
      <c r="F218" s="167"/>
      <c r="G218" s="247">
        <f t="shared" ref="G218:G224" si="28">+G217+G110</f>
        <v>0</v>
      </c>
      <c r="H218" s="247">
        <f>+H$22+H110</f>
        <v>0</v>
      </c>
      <c r="I218" s="247"/>
      <c r="J218" s="247"/>
      <c r="K218" s="247"/>
      <c r="L218" s="247"/>
      <c r="M218" s="247"/>
      <c r="N218" s="247"/>
      <c r="O218" s="247"/>
      <c r="P218" s="247"/>
      <c r="R218" s="803">
        <f t="shared" si="27"/>
        <v>0</v>
      </c>
    </row>
    <row r="219" spans="2:18" ht="28.5" customHeight="1" x14ac:dyDescent="0.2">
      <c r="B219" s="1107" t="str">
        <f>"per 31/12/"&amp;$I$13</f>
        <v>per 31/12/2017</v>
      </c>
      <c r="C219" s="1108"/>
      <c r="D219" s="1108"/>
      <c r="E219" s="1109"/>
      <c r="F219" s="167"/>
      <c r="G219" s="247">
        <f t="shared" si="28"/>
        <v>0</v>
      </c>
      <c r="H219" s="247">
        <f t="shared" ref="H219:H224" si="29">+H218+H111</f>
        <v>0</v>
      </c>
      <c r="I219" s="247">
        <f>+I$22+I111</f>
        <v>0</v>
      </c>
      <c r="J219" s="247"/>
      <c r="K219" s="247"/>
      <c r="L219" s="247"/>
      <c r="M219" s="247"/>
      <c r="N219" s="247"/>
      <c r="O219" s="247"/>
      <c r="P219" s="247"/>
      <c r="R219" s="803">
        <f t="shared" si="27"/>
        <v>0</v>
      </c>
    </row>
    <row r="220" spans="2:18" ht="28.5" customHeight="1" x14ac:dyDescent="0.2">
      <c r="B220" s="1107" t="str">
        <f>"per 31/12/"&amp;$J$13</f>
        <v>per 31/12/2018</v>
      </c>
      <c r="C220" s="1108"/>
      <c r="D220" s="1108"/>
      <c r="E220" s="1109"/>
      <c r="F220" s="167"/>
      <c r="G220" s="247">
        <f t="shared" si="28"/>
        <v>0</v>
      </c>
      <c r="H220" s="247">
        <f t="shared" si="29"/>
        <v>0</v>
      </c>
      <c r="I220" s="247">
        <f>+I219+I112</f>
        <v>0</v>
      </c>
      <c r="J220" s="247">
        <f>+J$22+J112</f>
        <v>0</v>
      </c>
      <c r="K220" s="247"/>
      <c r="L220" s="247"/>
      <c r="M220" s="247"/>
      <c r="N220" s="247"/>
      <c r="O220" s="247"/>
      <c r="P220" s="247"/>
      <c r="R220" s="803">
        <f t="shared" si="27"/>
        <v>0</v>
      </c>
    </row>
    <row r="221" spans="2:18" ht="28.5" customHeight="1" x14ac:dyDescent="0.2">
      <c r="B221" s="1107" t="str">
        <f>"per 31/12/"&amp;$K$13</f>
        <v>per 31/12/2019</v>
      </c>
      <c r="C221" s="1108"/>
      <c r="D221" s="1108"/>
      <c r="E221" s="1109"/>
      <c r="F221" s="167"/>
      <c r="G221" s="247">
        <f t="shared" si="28"/>
        <v>0</v>
      </c>
      <c r="H221" s="247">
        <f t="shared" si="29"/>
        <v>0</v>
      </c>
      <c r="I221" s="247">
        <f>+I220+I113</f>
        <v>0</v>
      </c>
      <c r="J221" s="247">
        <f>+J220+J113</f>
        <v>0</v>
      </c>
      <c r="K221" s="247">
        <f>+K$22+K113</f>
        <v>0</v>
      </c>
      <c r="L221" s="247"/>
      <c r="M221" s="247"/>
      <c r="N221" s="247"/>
      <c r="O221" s="247"/>
      <c r="P221" s="247"/>
      <c r="R221" s="803">
        <f t="shared" si="27"/>
        <v>0</v>
      </c>
    </row>
    <row r="222" spans="2:18" ht="28.5" customHeight="1" x14ac:dyDescent="0.2">
      <c r="B222" s="1107" t="str">
        <f>"per 31/12/"&amp;$L$13</f>
        <v>per 31/12/2020</v>
      </c>
      <c r="C222" s="1108"/>
      <c r="D222" s="1108"/>
      <c r="E222" s="1109"/>
      <c r="F222" s="167"/>
      <c r="G222" s="247">
        <f t="shared" si="28"/>
        <v>0</v>
      </c>
      <c r="H222" s="247">
        <f t="shared" si="29"/>
        <v>0</v>
      </c>
      <c r="I222" s="247">
        <f>+I221+I114</f>
        <v>0</v>
      </c>
      <c r="J222" s="247">
        <f>+J221+J114</f>
        <v>0</v>
      </c>
      <c r="K222" s="247">
        <f>+K221+K114</f>
        <v>0</v>
      </c>
      <c r="L222" s="247">
        <f>+L$22+L114</f>
        <v>0</v>
      </c>
      <c r="M222" s="247"/>
      <c r="N222" s="247"/>
      <c r="O222" s="247"/>
      <c r="P222" s="247"/>
      <c r="R222" s="803">
        <f t="shared" si="27"/>
        <v>0</v>
      </c>
    </row>
    <row r="223" spans="2:18" ht="28.5" customHeight="1" x14ac:dyDescent="0.2">
      <c r="B223" s="1107" t="str">
        <f>"per 31/12/"&amp;$M$13</f>
        <v>per 31/12/2021</v>
      </c>
      <c r="C223" s="1108"/>
      <c r="D223" s="1108"/>
      <c r="E223" s="1109"/>
      <c r="F223" s="167"/>
      <c r="G223" s="247">
        <f t="shared" si="28"/>
        <v>0</v>
      </c>
      <c r="H223" s="247">
        <f t="shared" si="29"/>
        <v>0</v>
      </c>
      <c r="I223" s="247">
        <f>+I222+I115</f>
        <v>0</v>
      </c>
      <c r="J223" s="247">
        <f>+J222+J115</f>
        <v>0</v>
      </c>
      <c r="K223" s="247">
        <f>+K222+K115</f>
        <v>0</v>
      </c>
      <c r="L223" s="247">
        <f>+L222+L115</f>
        <v>0</v>
      </c>
      <c r="M223" s="247">
        <f>+M$22+M115</f>
        <v>0</v>
      </c>
      <c r="N223" s="247"/>
      <c r="O223" s="247"/>
      <c r="P223" s="247"/>
      <c r="R223" s="803">
        <f t="shared" si="27"/>
        <v>0</v>
      </c>
    </row>
    <row r="224" spans="2:18" ht="28.5" customHeight="1" x14ac:dyDescent="0.2">
      <c r="B224" s="1107" t="str">
        <f>"per 31/12/"&amp;$N$13</f>
        <v>per 31/12/2022</v>
      </c>
      <c r="C224" s="1108"/>
      <c r="D224" s="1108"/>
      <c r="E224" s="1109"/>
      <c r="F224" s="167"/>
      <c r="G224" s="247">
        <f t="shared" si="28"/>
        <v>0</v>
      </c>
      <c r="H224" s="247">
        <f t="shared" si="29"/>
        <v>0</v>
      </c>
      <c r="I224" s="247">
        <f>+I223+I116</f>
        <v>0</v>
      </c>
      <c r="J224" s="247">
        <f>+J223+J116</f>
        <v>0</v>
      </c>
      <c r="K224" s="247">
        <f>+K223+K116</f>
        <v>0</v>
      </c>
      <c r="L224" s="247">
        <f>+L223+L116</f>
        <v>0</v>
      </c>
      <c r="M224" s="247">
        <f>+M223+M116</f>
        <v>0</v>
      </c>
      <c r="N224" s="247">
        <f>+N$22+N116</f>
        <v>0</v>
      </c>
      <c r="O224" s="247"/>
      <c r="P224" s="247"/>
      <c r="R224" s="803">
        <f t="shared" si="27"/>
        <v>0</v>
      </c>
    </row>
    <row r="225" spans="1:18" ht="28.5" customHeight="1" x14ac:dyDescent="0.2">
      <c r="B225" s="1107" t="str">
        <f>"per 31/12/"&amp;$O$13</f>
        <v>per 31/12/2023</v>
      </c>
      <c r="C225" s="1108"/>
      <c r="D225" s="1108"/>
      <c r="E225" s="1109"/>
      <c r="F225" s="167"/>
      <c r="G225" s="247"/>
      <c r="H225" s="247"/>
      <c r="I225" s="247"/>
      <c r="J225" s="247"/>
      <c r="K225" s="247"/>
      <c r="L225" s="247">
        <f>+L224+L117</f>
        <v>0</v>
      </c>
      <c r="M225" s="247">
        <f>+M224+M117</f>
        <v>0</v>
      </c>
      <c r="N225" s="247">
        <f>+N224+N117</f>
        <v>0</v>
      </c>
      <c r="O225" s="247">
        <f>+O$22+O117</f>
        <v>0</v>
      </c>
      <c r="P225" s="247"/>
      <c r="R225" s="803">
        <f t="shared" si="27"/>
        <v>0</v>
      </c>
    </row>
    <row r="226" spans="1:18" ht="28.5" customHeight="1" x14ac:dyDescent="0.2">
      <c r="B226" s="1107" t="str">
        <f>"per 31/12/"&amp;$P$13</f>
        <v>per 31/12/2024</v>
      </c>
      <c r="C226" s="1108"/>
      <c r="D226" s="1108"/>
      <c r="E226" s="1109"/>
      <c r="F226" s="167"/>
      <c r="G226" s="247"/>
      <c r="H226" s="247"/>
      <c r="I226" s="247"/>
      <c r="J226" s="247"/>
      <c r="K226" s="247"/>
      <c r="L226" s="247"/>
      <c r="M226" s="247">
        <f>+M225+M118</f>
        <v>0</v>
      </c>
      <c r="N226" s="247">
        <f>+N225+N118</f>
        <v>0</v>
      </c>
      <c r="O226" s="247">
        <f>+O225+O118</f>
        <v>0</v>
      </c>
      <c r="P226" s="247">
        <f>+P$22+P118</f>
        <v>0</v>
      </c>
      <c r="R226" s="803">
        <f t="shared" si="27"/>
        <v>0</v>
      </c>
    </row>
    <row r="227" spans="1:18" x14ac:dyDescent="0.2">
      <c r="G227" s="301"/>
      <c r="H227" s="301"/>
      <c r="I227" s="301"/>
      <c r="J227" s="301"/>
      <c r="K227" s="301"/>
      <c r="L227" s="301"/>
      <c r="M227" s="301"/>
      <c r="N227" s="301"/>
      <c r="O227" s="301"/>
      <c r="P227" s="301"/>
      <c r="R227" s="302"/>
    </row>
    <row r="228" spans="1:18" s="216" customFormat="1" x14ac:dyDescent="0.2">
      <c r="B228" s="310"/>
      <c r="C228" s="311"/>
      <c r="D228" s="311"/>
      <c r="E228" s="312"/>
      <c r="F228" s="275"/>
      <c r="G228" s="784">
        <v>2015</v>
      </c>
      <c r="H228" s="165">
        <f>+G228+1</f>
        <v>2016</v>
      </c>
      <c r="I228" s="165">
        <f>+H228+1</f>
        <v>2017</v>
      </c>
      <c r="J228" s="165">
        <f>+I228+1</f>
        <v>2018</v>
      </c>
      <c r="K228" s="165">
        <f>+J228+1</f>
        <v>2019</v>
      </c>
      <c r="L228" s="165">
        <f t="shared" ref="L228:P228" si="30">+K228+1</f>
        <v>2020</v>
      </c>
      <c r="M228" s="165">
        <f t="shared" si="30"/>
        <v>2021</v>
      </c>
      <c r="N228" s="165">
        <f t="shared" si="30"/>
        <v>2022</v>
      </c>
      <c r="O228" s="165">
        <f t="shared" si="30"/>
        <v>2023</v>
      </c>
      <c r="P228" s="165">
        <f t="shared" si="30"/>
        <v>2024</v>
      </c>
      <c r="Q228" s="203"/>
      <c r="R228" s="165" t="s">
        <v>20</v>
      </c>
    </row>
    <row r="229" spans="1:18" ht="20.25" customHeight="1" x14ac:dyDescent="0.2">
      <c r="B229" s="1125" t="s">
        <v>125</v>
      </c>
      <c r="C229" s="1126"/>
      <c r="D229" s="1126"/>
      <c r="E229" s="1127"/>
      <c r="F229" s="169"/>
      <c r="G229" s="170"/>
      <c r="H229" s="170"/>
      <c r="I229" s="170"/>
      <c r="J229" s="170"/>
      <c r="K229" s="170"/>
      <c r="L229" s="170"/>
      <c r="M229" s="170"/>
      <c r="N229" s="170"/>
      <c r="O229" s="170"/>
      <c r="P229" s="170"/>
      <c r="R229" s="170"/>
    </row>
    <row r="230" spans="1:18" ht="28.5" customHeight="1" x14ac:dyDescent="0.2">
      <c r="A230" s="203">
        <v>2015</v>
      </c>
      <c r="B230" s="1115" t="str">
        <f>"per 31/12/"&amp;$G$13</f>
        <v>per 31/12/2015</v>
      </c>
      <c r="C230" s="1116"/>
      <c r="D230" s="1116"/>
      <c r="E230" s="1117"/>
      <c r="F230" s="313"/>
      <c r="G230" s="806">
        <f t="shared" ref="G230:G237" si="31">SUMIFS(G$140:G$226,$B$140:$B$226,$B230)</f>
        <v>0</v>
      </c>
      <c r="H230" s="806"/>
      <c r="I230" s="806"/>
      <c r="J230" s="806"/>
      <c r="K230" s="806"/>
      <c r="L230" s="806"/>
      <c r="M230" s="806"/>
      <c r="N230" s="806"/>
      <c r="O230" s="806"/>
      <c r="P230" s="806"/>
      <c r="R230" s="807">
        <f t="shared" ref="R230:R239" si="32">SUMIFS(R$140:R$226,$B$140:$B$226,$B230)</f>
        <v>0</v>
      </c>
    </row>
    <row r="231" spans="1:18" ht="28.5" customHeight="1" x14ac:dyDescent="0.2">
      <c r="A231" s="203">
        <v>2016</v>
      </c>
      <c r="B231" s="1115" t="str">
        <f>"per 31/12/"&amp;$H$13</f>
        <v>per 31/12/2016</v>
      </c>
      <c r="C231" s="1116"/>
      <c r="D231" s="1116"/>
      <c r="E231" s="1117"/>
      <c r="F231" s="313"/>
      <c r="G231" s="806">
        <f t="shared" si="31"/>
        <v>0</v>
      </c>
      <c r="H231" s="806">
        <f t="shared" ref="H231:H237" si="33">SUMIFS(H$140:H$226,$B$140:$B$226,$B231)</f>
        <v>0</v>
      </c>
      <c r="I231" s="806"/>
      <c r="J231" s="806"/>
      <c r="K231" s="806"/>
      <c r="L231" s="806"/>
      <c r="M231" s="806"/>
      <c r="N231" s="806"/>
      <c r="O231" s="806"/>
      <c r="P231" s="806"/>
      <c r="R231" s="807">
        <f t="shared" si="32"/>
        <v>0</v>
      </c>
    </row>
    <row r="232" spans="1:18" ht="28.5" customHeight="1" x14ac:dyDescent="0.2">
      <c r="A232" s="203">
        <v>2017</v>
      </c>
      <c r="B232" s="1115" t="str">
        <f>"per 31/12/"&amp;$I$13</f>
        <v>per 31/12/2017</v>
      </c>
      <c r="C232" s="1116"/>
      <c r="D232" s="1116"/>
      <c r="E232" s="1117"/>
      <c r="F232" s="313"/>
      <c r="G232" s="806">
        <f t="shared" si="31"/>
        <v>0</v>
      </c>
      <c r="H232" s="806">
        <f t="shared" si="33"/>
        <v>0</v>
      </c>
      <c r="I232" s="806">
        <f t="shared" ref="I232:I237" si="34">SUMIFS(I$140:I$226,$B$140:$B$226,$B232)</f>
        <v>0</v>
      </c>
      <c r="J232" s="806"/>
      <c r="K232" s="806"/>
      <c r="L232" s="806"/>
      <c r="M232" s="806"/>
      <c r="N232" s="806"/>
      <c r="O232" s="806"/>
      <c r="P232" s="806"/>
      <c r="R232" s="807">
        <f t="shared" si="32"/>
        <v>0</v>
      </c>
    </row>
    <row r="233" spans="1:18" ht="28.5" customHeight="1" x14ac:dyDescent="0.2">
      <c r="A233" s="203">
        <v>2018</v>
      </c>
      <c r="B233" s="1115" t="str">
        <f>"per 31/12/"&amp;$J$13</f>
        <v>per 31/12/2018</v>
      </c>
      <c r="C233" s="1116"/>
      <c r="D233" s="1116"/>
      <c r="E233" s="1117"/>
      <c r="F233" s="313"/>
      <c r="G233" s="806">
        <f t="shared" si="31"/>
        <v>0</v>
      </c>
      <c r="H233" s="806">
        <f t="shared" si="33"/>
        <v>0</v>
      </c>
      <c r="I233" s="806">
        <f t="shared" si="34"/>
        <v>0</v>
      </c>
      <c r="J233" s="806">
        <f>SUMIFS(J$140:J$226,$B$140:$B$226,$B233)</f>
        <v>0</v>
      </c>
      <c r="K233" s="806"/>
      <c r="L233" s="806"/>
      <c r="M233" s="806"/>
      <c r="N233" s="806"/>
      <c r="O233" s="806"/>
      <c r="P233" s="806"/>
      <c r="R233" s="807">
        <f t="shared" si="32"/>
        <v>0</v>
      </c>
    </row>
    <row r="234" spans="1:18" ht="28.5" customHeight="1" x14ac:dyDescent="0.2">
      <c r="A234" s="203">
        <v>2019</v>
      </c>
      <c r="B234" s="1115" t="str">
        <f>"per 31/12/"&amp;$K$13</f>
        <v>per 31/12/2019</v>
      </c>
      <c r="C234" s="1116"/>
      <c r="D234" s="1116"/>
      <c r="E234" s="1117"/>
      <c r="F234" s="313"/>
      <c r="G234" s="806">
        <f t="shared" si="31"/>
        <v>0</v>
      </c>
      <c r="H234" s="806">
        <f t="shared" si="33"/>
        <v>0</v>
      </c>
      <c r="I234" s="806">
        <f t="shared" si="34"/>
        <v>0</v>
      </c>
      <c r="J234" s="806">
        <f>SUMIFS(J$140:J$226,$B$140:$B$226,$B234)</f>
        <v>0</v>
      </c>
      <c r="K234" s="806">
        <f>SUMIFS(K$140:K$226,$B$140:$B$226,$B234)</f>
        <v>0</v>
      </c>
      <c r="L234" s="806"/>
      <c r="M234" s="806"/>
      <c r="N234" s="806"/>
      <c r="O234" s="806"/>
      <c r="P234" s="806"/>
      <c r="R234" s="807">
        <f t="shared" si="32"/>
        <v>0</v>
      </c>
    </row>
    <row r="235" spans="1:18" ht="28.5" customHeight="1" x14ac:dyDescent="0.2">
      <c r="A235" s="203">
        <v>2020</v>
      </c>
      <c r="B235" s="1115" t="str">
        <f>"per 31/12/"&amp;$L$13</f>
        <v>per 31/12/2020</v>
      </c>
      <c r="C235" s="1116"/>
      <c r="D235" s="1116"/>
      <c r="E235" s="1117"/>
      <c r="F235" s="313"/>
      <c r="G235" s="806">
        <f t="shared" si="31"/>
        <v>0</v>
      </c>
      <c r="H235" s="806">
        <f t="shared" si="33"/>
        <v>0</v>
      </c>
      <c r="I235" s="806">
        <f t="shared" si="34"/>
        <v>0</v>
      </c>
      <c r="J235" s="806">
        <f>SUMIFS(J$140:J$226,$B$140:$B$226,$B235)</f>
        <v>0</v>
      </c>
      <c r="K235" s="806">
        <f>SUMIFS(K$140:K$226,$B$140:$B$226,$B235)</f>
        <v>0</v>
      </c>
      <c r="L235" s="806">
        <f>SUMIFS(L$140:L$226,$B$140:$B$226,$B235)</f>
        <v>0</v>
      </c>
      <c r="M235" s="806"/>
      <c r="N235" s="806"/>
      <c r="O235" s="806"/>
      <c r="P235" s="806"/>
      <c r="R235" s="807">
        <f t="shared" si="32"/>
        <v>0</v>
      </c>
    </row>
    <row r="236" spans="1:18" ht="28.5" customHeight="1" x14ac:dyDescent="0.2">
      <c r="A236" s="203">
        <v>2021</v>
      </c>
      <c r="B236" s="1115" t="str">
        <f>"per 31/12/"&amp;$M$13</f>
        <v>per 31/12/2021</v>
      </c>
      <c r="C236" s="1116"/>
      <c r="D236" s="1116"/>
      <c r="E236" s="1117"/>
      <c r="F236" s="313"/>
      <c r="G236" s="806">
        <f t="shared" si="31"/>
        <v>0</v>
      </c>
      <c r="H236" s="806">
        <f t="shared" si="33"/>
        <v>0</v>
      </c>
      <c r="I236" s="806">
        <f t="shared" si="34"/>
        <v>0</v>
      </c>
      <c r="J236" s="806">
        <f>SUMIFS(J$140:J$226,$B$140:$B$226,$B236)</f>
        <v>0</v>
      </c>
      <c r="K236" s="806">
        <f>SUMIFS(K$140:K$226,$B$140:$B$226,$B236)</f>
        <v>0</v>
      </c>
      <c r="L236" s="806">
        <f>SUMIFS(L$140:L$226,$B$140:$B$226,$B236)</f>
        <v>0</v>
      </c>
      <c r="M236" s="806">
        <f>SUMIFS(M$140:M$226,$B$140:$B$226,$B236)</f>
        <v>0</v>
      </c>
      <c r="N236" s="806"/>
      <c r="O236" s="806"/>
      <c r="P236" s="806"/>
      <c r="R236" s="807">
        <f t="shared" si="32"/>
        <v>0</v>
      </c>
    </row>
    <row r="237" spans="1:18" ht="28.5" customHeight="1" x14ac:dyDescent="0.2">
      <c r="A237" s="203">
        <v>2022</v>
      </c>
      <c r="B237" s="1115" t="str">
        <f>"per 31/12/"&amp;$N$13</f>
        <v>per 31/12/2022</v>
      </c>
      <c r="C237" s="1116"/>
      <c r="D237" s="1116"/>
      <c r="E237" s="1117"/>
      <c r="F237" s="313"/>
      <c r="G237" s="806">
        <f t="shared" si="31"/>
        <v>0</v>
      </c>
      <c r="H237" s="806">
        <f t="shared" si="33"/>
        <v>0</v>
      </c>
      <c r="I237" s="806">
        <f t="shared" si="34"/>
        <v>0</v>
      </c>
      <c r="J237" s="806">
        <f>SUMIFS(J$140:J$226,$B$140:$B$226,$B237)</f>
        <v>0</v>
      </c>
      <c r="K237" s="806">
        <f>SUMIFS(K$140:K$226,$B$140:$B$226,$B237)</f>
        <v>0</v>
      </c>
      <c r="L237" s="806">
        <f>SUMIFS(L$140:L$226,$B$140:$B$226,$B237)</f>
        <v>0</v>
      </c>
      <c r="M237" s="806">
        <f>SUMIFS(M$140:M$226,$B$140:$B$226,$B237)</f>
        <v>0</v>
      </c>
      <c r="N237" s="806">
        <f>SUMIFS(N$140:N$226,$B$140:$B$226,$B237)</f>
        <v>0</v>
      </c>
      <c r="O237" s="806"/>
      <c r="P237" s="806"/>
      <c r="R237" s="807">
        <f t="shared" si="32"/>
        <v>0</v>
      </c>
    </row>
    <row r="238" spans="1:18" ht="28.5" customHeight="1" x14ac:dyDescent="0.2">
      <c r="A238" s="203">
        <v>2023</v>
      </c>
      <c r="B238" s="1115" t="str">
        <f>"per 31/12/"&amp;$O$13</f>
        <v>per 31/12/2023</v>
      </c>
      <c r="C238" s="1116"/>
      <c r="D238" s="1116"/>
      <c r="E238" s="1117"/>
      <c r="F238" s="313"/>
      <c r="G238" s="806"/>
      <c r="H238" s="806"/>
      <c r="I238" s="806"/>
      <c r="J238" s="806"/>
      <c r="K238" s="806"/>
      <c r="L238" s="806">
        <f>SUMIFS(L$140:L$226,$B$140:$B$226,$B238)</f>
        <v>0</v>
      </c>
      <c r="M238" s="806">
        <f>SUMIFS(M$140:M$226,$B$140:$B$226,$B238)</f>
        <v>0</v>
      </c>
      <c r="N238" s="806">
        <f>SUMIFS(N$140:N$226,$B$140:$B$226,$B238)</f>
        <v>0</v>
      </c>
      <c r="O238" s="806">
        <f>SUMIFS(O$140:O$226,$B$140:$B$226,$B238)</f>
        <v>0</v>
      </c>
      <c r="P238" s="806"/>
      <c r="R238" s="807">
        <f t="shared" si="32"/>
        <v>0</v>
      </c>
    </row>
    <row r="239" spans="1:18" ht="28.5" customHeight="1" x14ac:dyDescent="0.2">
      <c r="A239" s="203">
        <v>2024</v>
      </c>
      <c r="B239" s="1115" t="str">
        <f>"per 31/12/"&amp;$P$13</f>
        <v>per 31/12/2024</v>
      </c>
      <c r="C239" s="1116"/>
      <c r="D239" s="1116"/>
      <c r="E239" s="1117"/>
      <c r="F239" s="313"/>
      <c r="G239" s="806"/>
      <c r="H239" s="806"/>
      <c r="I239" s="806"/>
      <c r="J239" s="806"/>
      <c r="K239" s="806"/>
      <c r="L239" s="806"/>
      <c r="M239" s="806">
        <f>SUMIFS(M$140:M$226,$B$140:$B$226,$B239)</f>
        <v>0</v>
      </c>
      <c r="N239" s="806">
        <f>SUMIFS(N$140:N$226,$B$140:$B$226,$B239)</f>
        <v>0</v>
      </c>
      <c r="O239" s="806">
        <f>SUMIFS(O$140:O$226,$B$140:$B$226,$B239)</f>
        <v>0</v>
      </c>
      <c r="P239" s="806">
        <f>SUMIFS(P$140:P$226,$B$140:$B$226,$B239)</f>
        <v>0</v>
      </c>
      <c r="R239" s="807">
        <f t="shared" si="32"/>
        <v>0</v>
      </c>
    </row>
    <row r="240" spans="1:18" s="216" customFormat="1" x14ac:dyDescent="0.2">
      <c r="B240" s="1110" t="s">
        <v>98</v>
      </c>
      <c r="C240" s="1110"/>
      <c r="D240" s="1110"/>
      <c r="E240" s="1110"/>
      <c r="G240" s="304">
        <f>IF($E$2="ex-ante",(INDEX(G$230:G$239,MATCH($D$2,$A$230:$A$239,0),1))-T5A!C67,IF($E$2="ex-post",(INDEX(G$230:G$239,MATCH($D$2,$A$230:$A$239,0),1))-T5A!C67+SUMIFS(T5A!C$73:C$82,T5A!$B$73:$B$82,$D$2+1),"FOUT"))</f>
        <v>0</v>
      </c>
      <c r="H240" s="304">
        <f>IF($E$2="ex-ante",(INDEX(H$230:H$239,MATCH($D$2,$A$230:$A$239,0),1))-T5A!D67,IF($E$2="ex-post",(INDEX(H$230:H$239,MATCH($D$2,$A$230:$A$239,0),1))-T5A!D67+SUMIFS(T5A!D$73:D$82,T5A!$B$73:$B$82,$D$2+1),"FOUT"))</f>
        <v>0</v>
      </c>
      <c r="I240" s="304">
        <f>IF($E$2="ex-ante",(INDEX(I$230:I$239,MATCH($D$2,$A$230:$A$239,0),1))-T5A!E67,IF($E$2="ex-post",(INDEX(I$230:I$239,MATCH($D$2,$A$230:$A$239,0),1))-T5A!E67+SUMIFS(T5A!E$73:E$82,T5A!$B$73:$B$82,$D$2+1),"FOUT"))</f>
        <v>0</v>
      </c>
      <c r="J240" s="304">
        <f>IF($E$2="ex-ante",(INDEX(J$230:J$239,MATCH($D$2,$A$230:$A$239,0),1))-T5A!F67,IF($E$2="ex-post",(INDEX(J$230:J$239,MATCH($D$2,$A$230:$A$239,0),1))-T5A!F67+SUMIFS(T5A!F$73:F$82,T5A!$B$73:$B$82,$D$2+1),"FOUT"))</f>
        <v>0</v>
      </c>
      <c r="K240" s="304">
        <f>IF($E$2="ex-ante",(INDEX(K$230:K$239,MATCH($D$2,$A$230:$A$239,0),1))-T5A!G67,IF($E$2="ex-post",(INDEX(K$230:K$239,MATCH($D$2,$A$230:$A$239,0),1))-T5A!G67+SUMIFS(T5A!G$73:G$82,T5A!$B$73:$B$82,$D$2+1),"FOUT"))</f>
        <v>0</v>
      </c>
      <c r="L240" s="304">
        <f>IF($E$2="ex-ante",(INDEX(L$230:L$239,MATCH($D$2,$A$230:$A$239,0),1))-T5A!H67,IF($E$2="ex-post",(INDEX(L$230:L$239,MATCH($D$2,$A$230:$A$239,0),1))-T5A!H67+SUMIFS(T5A!H$73:H$82,T5A!$B$73:$B$82,$D$2+1),"FOUT"))</f>
        <v>0</v>
      </c>
      <c r="M240" s="304">
        <f>IF($E$2="ex-ante",(INDEX(M$230:M$239,MATCH($D$2,$A$230:$A$239,0),1))-T5A!I67,IF($E$2="ex-post",(INDEX(M$230:M$239,MATCH($D$2,$A$230:$A$239,0),1))-T5A!I67+SUMIFS(T5A!I$73:I$82,T5A!$B$73:$B$82,$D$2+1),"FOUT"))</f>
        <v>0</v>
      </c>
      <c r="N240" s="304">
        <f>IF($E$2="ex-ante",(INDEX(N$230:N$239,MATCH($D$2,$A$230:$A$239,0),1))-T5A!J67,IF($E$2="ex-post",(INDEX(N$230:N$239,MATCH($D$2,$A$230:$A$239,0),1))-T5A!J67+SUMIFS(T5A!J$73:J$82,T5A!$B$73:$B$82,$D$2+1),"FOUT"))</f>
        <v>0</v>
      </c>
      <c r="O240" s="304">
        <f>IF($E$2="ex-ante",(INDEX(O$230:O$239,MATCH($D$2,$A$230:$A$239,0),1))-T5A!K67,IF($E$2="ex-post",(INDEX(O$230:O$239,MATCH($D$2,$A$230:$A$239,0),1))-T5A!K67+SUMIFS(T5A!K$73:K$82,T5A!$B$73:$B$82,$D$2+1),"FOUT"))</f>
        <v>0</v>
      </c>
      <c r="P240" s="304">
        <f>IF($E$2="ex-ante",(INDEX(P$230:P$239,MATCH($D$2,$A$230:$A$239,0),1))-T5A!L67,IF($E$2="ex-post",(INDEX(P$230:P$239,MATCH($D$2,$A$230:$A$239,0),1))-T5A!L67+SUMIFS(T5A!L$73:L$82,T5A!$B$73:$B$82,$D$2+1),"FOUT"))</f>
        <v>0</v>
      </c>
      <c r="Q240" s="205"/>
      <c r="R240" s="304">
        <f>IF($E$2="ex-ante",(INDEX(R$230:R$239,MATCH($D$2,$A$230:$A$239,0),1))-T5A!N67,IF($E$2="ex-post",(INDEX(R$230:R$239,MATCH($D$2,$A$230:$A$239,0),1))-T5A!N67+SUMIFS(T5A!N$73:N$82,T5A!$B$73:$B$82,$D$2+1),"FOUT"))</f>
        <v>0</v>
      </c>
    </row>
    <row r="241" spans="2:18" x14ac:dyDescent="0.2">
      <c r="B241" s="305"/>
      <c r="C241" s="305"/>
      <c r="D241" s="305"/>
      <c r="E241" s="305"/>
      <c r="F241" s="306"/>
      <c r="G241" s="307"/>
      <c r="H241" s="307"/>
      <c r="I241" s="307"/>
      <c r="J241" s="307"/>
      <c r="K241" s="307"/>
      <c r="L241" s="307"/>
      <c r="M241" s="307"/>
      <c r="N241" s="307"/>
      <c r="O241" s="307"/>
      <c r="P241" s="307"/>
      <c r="R241" s="307"/>
    </row>
    <row r="242" spans="2:18" x14ac:dyDescent="0.2">
      <c r="B242" s="305"/>
      <c r="C242" s="305"/>
      <c r="D242" s="305"/>
      <c r="E242" s="305"/>
      <c r="F242" s="306"/>
      <c r="G242" s="307"/>
      <c r="H242" s="307"/>
      <c r="I242" s="307"/>
      <c r="J242" s="307"/>
      <c r="K242" s="307"/>
      <c r="L242" s="307"/>
      <c r="M242" s="307"/>
      <c r="N242" s="307"/>
      <c r="O242" s="307"/>
      <c r="P242" s="307"/>
      <c r="R242" s="307"/>
    </row>
    <row r="243" spans="2:18" x14ac:dyDescent="0.2">
      <c r="B243" s="305"/>
      <c r="C243" s="305"/>
      <c r="D243" s="305"/>
      <c r="E243" s="305"/>
      <c r="F243" s="306"/>
      <c r="G243" s="308" t="s">
        <v>32</v>
      </c>
      <c r="H243" s="307"/>
      <c r="I243" s="307"/>
      <c r="J243" s="307"/>
      <c r="K243" s="307"/>
      <c r="L243" s="307"/>
      <c r="M243" s="307"/>
      <c r="N243" s="307"/>
      <c r="O243" s="307"/>
      <c r="P243" s="307"/>
      <c r="R243" s="307"/>
    </row>
    <row r="244" spans="2:18" x14ac:dyDescent="0.2">
      <c r="G244" s="308" t="s">
        <v>33</v>
      </c>
      <c r="H244" s="307"/>
      <c r="I244" s="307"/>
      <c r="J244" s="307"/>
    </row>
    <row r="245" spans="2:18" ht="71.099999999999994" customHeight="1" x14ac:dyDescent="0.2">
      <c r="B245" s="1132" t="s">
        <v>65</v>
      </c>
      <c r="C245" s="1133"/>
      <c r="D245" s="1133"/>
      <c r="E245" s="1134"/>
      <c r="F245" s="167"/>
      <c r="G245" s="165" t="str">
        <f>"Afbouw van het regulatoir saldo inzake volumeverschillen op te nemen in het toegelaten inkomen voor boekjaar "&amp;D2</f>
        <v>Afbouw van het regulatoir saldo inzake volumeverschillen op te nemen in het toegelaten inkomen voor boekjaar 2022</v>
      </c>
      <c r="H245" s="307"/>
      <c r="I245" s="307"/>
      <c r="J245" s="307"/>
    </row>
    <row r="246" spans="2:18" x14ac:dyDescent="0.2">
      <c r="B246" s="320"/>
      <c r="C246" s="297"/>
      <c r="D246" s="297"/>
      <c r="E246" s="297"/>
      <c r="F246" s="298"/>
      <c r="G246" s="787"/>
      <c r="H246" s="307"/>
      <c r="I246" s="307"/>
      <c r="J246" s="307"/>
    </row>
    <row r="247" spans="2:18" ht="30" customHeight="1" x14ac:dyDescent="0.2">
      <c r="B247" s="1111" t="s">
        <v>369</v>
      </c>
      <c r="C247" s="1111"/>
      <c r="D247" s="1111"/>
      <c r="E247" s="1111"/>
      <c r="F247" s="167"/>
      <c r="G247" s="247">
        <f>+IF($B$7="elektriciteit",VLOOKUP(D2,B323:C326,2,FALSE)+VLOOKUP(D2,B339:C342,2,FALSE)+VLOOKUP(D2,B414:C417,2,FALSE)+VLOOKUP(D2,B480:C483,2,FALSE)+VLOOKUP(D2,B491:C494,2,FALSE)+VLOOKUP(D2,B640:C643,2,FALSE),IF($B$7="gas",VLOOKUP(D2,B323:C326,2,FALSE)+VLOOKUP(D2,B491:C494,2,FALSE),"FOUT"))</f>
        <v>0</v>
      </c>
      <c r="H247" s="307"/>
      <c r="I247" s="307"/>
      <c r="J247" s="307"/>
    </row>
    <row r="248" spans="2:18" ht="30" customHeight="1" x14ac:dyDescent="0.2">
      <c r="B248" s="1111" t="s">
        <v>353</v>
      </c>
      <c r="C248" s="1111"/>
      <c r="D248" s="1111"/>
      <c r="E248" s="1111"/>
      <c r="F248" s="167"/>
      <c r="G248" s="247">
        <f>+IF($B$7="elektriciteit",0,IF($B$7="gas",VLOOKUP(D2,B414:C417,2,FALSE),"FOUT"))</f>
        <v>0</v>
      </c>
      <c r="H248" s="307"/>
      <c r="I248" s="307"/>
      <c r="J248" s="307"/>
    </row>
    <row r="249" spans="2:18" ht="30" customHeight="1" x14ac:dyDescent="0.2">
      <c r="B249" s="1111" t="s">
        <v>354</v>
      </c>
      <c r="C249" s="1111"/>
      <c r="D249" s="1111"/>
      <c r="E249" s="1111"/>
      <c r="F249" s="167"/>
      <c r="G249" s="247">
        <f>+VLOOKUP(D2,B566:C569,2,FALSE)</f>
        <v>0</v>
      </c>
      <c r="H249" s="307"/>
      <c r="I249" s="307"/>
      <c r="J249" s="307"/>
    </row>
    <row r="250" spans="2:18" ht="30" customHeight="1" x14ac:dyDescent="0.2">
      <c r="B250" s="1111" t="s">
        <v>356</v>
      </c>
      <c r="C250" s="1111"/>
      <c r="D250" s="1111"/>
      <c r="E250" s="1111"/>
      <c r="F250" s="167"/>
      <c r="G250" s="247">
        <f>VLOOKUP(D2,B715:C718,2,FALSE)</f>
        <v>0</v>
      </c>
      <c r="H250" s="307"/>
      <c r="I250" s="307"/>
      <c r="J250" s="307"/>
    </row>
    <row r="251" spans="2:18" x14ac:dyDescent="0.2">
      <c r="H251" s="307"/>
      <c r="I251" s="307"/>
      <c r="J251" s="307"/>
    </row>
    <row r="252" spans="2:18" x14ac:dyDescent="0.2">
      <c r="B252" s="1121" t="s">
        <v>22</v>
      </c>
      <c r="C252" s="1122"/>
      <c r="D252" s="1122"/>
      <c r="E252" s="1123"/>
      <c r="F252" s="181"/>
      <c r="G252" s="168">
        <f>SUM(G247:G250)</f>
        <v>0</v>
      </c>
      <c r="H252" s="307"/>
      <c r="I252" s="307"/>
      <c r="J252" s="307"/>
    </row>
    <row r="253" spans="2:18" x14ac:dyDescent="0.2">
      <c r="Q253" s="206"/>
    </row>
    <row r="254" spans="2:18" x14ac:dyDescent="0.2">
      <c r="Q254" s="206"/>
    </row>
    <row r="255" spans="2:18" x14ac:dyDescent="0.2">
      <c r="B255" s="321" t="s">
        <v>201</v>
      </c>
      <c r="C255" s="322"/>
      <c r="D255" s="322"/>
      <c r="E255" s="322"/>
      <c r="F255" s="323"/>
      <c r="G255" s="323"/>
      <c r="H255" s="323"/>
      <c r="I255" s="323"/>
      <c r="J255" s="323"/>
      <c r="K255" s="323"/>
      <c r="L255" s="323"/>
      <c r="M255" s="323"/>
      <c r="N255" s="323"/>
      <c r="O255" s="323"/>
      <c r="P255" s="323"/>
      <c r="Q255" s="324"/>
      <c r="R255" s="323"/>
    </row>
    <row r="256" spans="2:18" x14ac:dyDescent="0.2">
      <c r="Q256" s="206"/>
    </row>
    <row r="257" spans="2:17" x14ac:dyDescent="0.2">
      <c r="B257" s="273" t="s">
        <v>139</v>
      </c>
      <c r="F257" s="810">
        <v>2017</v>
      </c>
      <c r="Q257" s="206"/>
    </row>
    <row r="258" spans="2:17" x14ac:dyDescent="0.2">
      <c r="P258" s="206"/>
      <c r="Q258" s="166"/>
    </row>
    <row r="259" spans="2:17" ht="82.5" customHeight="1" x14ac:dyDescent="0.2">
      <c r="B259" s="1101" t="s">
        <v>140</v>
      </c>
      <c r="C259" s="1102"/>
      <c r="D259" s="1102"/>
      <c r="E259" s="1103"/>
      <c r="F259" s="274"/>
      <c r="G259" s="165" t="str">
        <f>"Nog af te bouwen regulatoir saldo einde "&amp;F257-1</f>
        <v>Nog af te bouwen regulatoir saldo einde 2016</v>
      </c>
      <c r="H259" s="165" t="str">
        <f>"Afbouw oudste openstaande regulatoir saldo vanaf boekjaar "&amp;F257-3&amp;" en vroeger, door aanwending van compensatie met regulatoir saldo ontstaan over boekjaar "&amp;F257-2</f>
        <v>Afbouw oudste openstaande regulatoir saldo vanaf boekjaar 2014 en vroeger, door aanwending van compensatie met regulatoir saldo ontstaan over boekjaar 2015</v>
      </c>
      <c r="I259" s="165" t="str">
        <f>"Nog af te bouwen regulatoir saldo na compensatie einde "&amp;F257-1</f>
        <v>Nog af te bouwen regulatoir saldo na compensatie einde 2016</v>
      </c>
      <c r="J259" s="165" t="str">
        <f>"Aanwending van "&amp;IF($B$7="elektriciteit","75%",IF($B$7="gas","40%","FALSE"))&amp;" van het geaccumuleerd regulatoir saldo door te rekenen volgens de tariefmethodologie in het boekjaar "&amp;F257</f>
        <v>Aanwending van 40% van het geaccumuleerd regulatoir saldo door te rekenen volgens de tariefmethodologie in het boekjaar 2017</v>
      </c>
      <c r="K259" s="165" t="str">
        <f>"Nog af te bouwen regulatoir saldo einde "&amp;F257</f>
        <v>Nog af te bouwen regulatoir saldo einde 2017</v>
      </c>
      <c r="L259" s="220"/>
      <c r="M259" s="220"/>
      <c r="N259" s="220"/>
      <c r="O259" s="220"/>
      <c r="P259" s="206"/>
      <c r="Q259" s="166"/>
    </row>
    <row r="260" spans="2:17" x14ac:dyDescent="0.2">
      <c r="B260" s="1104">
        <v>2015</v>
      </c>
      <c r="C260" s="1105"/>
      <c r="D260" s="1105"/>
      <c r="E260" s="1106"/>
      <c r="F260" s="275"/>
      <c r="G260" s="176">
        <f>G141</f>
        <v>0</v>
      </c>
      <c r="H260" s="521">
        <v>0</v>
      </c>
      <c r="I260" s="176">
        <f>+G260+H260</f>
        <v>0</v>
      </c>
      <c r="J260" s="819">
        <f>-I260*IF($B$7="elektriciteit",0.75,IF($B$7="gas",0.4,"FALSE"))</f>
        <v>0</v>
      </c>
      <c r="K260" s="811">
        <f>+J260+G260</f>
        <v>0</v>
      </c>
      <c r="L260" s="812"/>
      <c r="M260" s="812"/>
      <c r="N260" s="812"/>
      <c r="O260" s="812"/>
      <c r="P260" s="206"/>
      <c r="Q260" s="166"/>
    </row>
    <row r="261" spans="2:17" x14ac:dyDescent="0.2">
      <c r="H261" s="214"/>
      <c r="P261" s="206"/>
      <c r="Q261" s="166"/>
    </row>
    <row r="262" spans="2:17" x14ac:dyDescent="0.2">
      <c r="B262" s="273" t="s">
        <v>139</v>
      </c>
      <c r="F262" s="810">
        <v>2018</v>
      </c>
      <c r="H262" s="214"/>
      <c r="Q262" s="206"/>
    </row>
    <row r="263" spans="2:17" x14ac:dyDescent="0.2">
      <c r="H263" s="214"/>
      <c r="Q263" s="206"/>
    </row>
    <row r="264" spans="2:17" ht="69.75" customHeight="1" x14ac:dyDescent="0.2">
      <c r="B264" s="1101" t="s">
        <v>140</v>
      </c>
      <c r="C264" s="1102"/>
      <c r="D264" s="1102"/>
      <c r="E264" s="1103"/>
      <c r="F264" s="274"/>
      <c r="G264" s="165" t="str">
        <f>"Nog af te bouwen regulatoir saldo einde "&amp;F262-1</f>
        <v>Nog af te bouwen regulatoir saldo einde 2017</v>
      </c>
      <c r="H264" s="165" t="str">
        <f>"Afbouw oudste openstaande regulatoir saldo vanaf boekjaar "&amp;F262-3&amp;" en vroeger, door aanwending van compensatie met regulatoir saldo ontstaan over boekjaar "&amp;F262-2</f>
        <v>Afbouw oudste openstaande regulatoir saldo vanaf boekjaar 2015 en vroeger, door aanwending van compensatie met regulatoir saldo ontstaan over boekjaar 2016</v>
      </c>
      <c r="I264" s="165" t="str">
        <f>"Nog af te bouwen regulatoir saldo na compensatie einde "&amp;F262-1</f>
        <v>Nog af te bouwen regulatoir saldo na compensatie einde 2017</v>
      </c>
      <c r="J264" s="165" t="str">
        <f>"Aanwending van "&amp;IF($B$7="elektriciteit","75%",IF($B$7="gas","40%","FALSE"))&amp;" van het geaccumuleerd regulatoir saldo door te rekenen volgens de tariefmethodologie in het boekjaar "&amp;F262</f>
        <v>Aanwending van 40% van het geaccumuleerd regulatoir saldo door te rekenen volgens de tariefmethodologie in het boekjaar 2018</v>
      </c>
      <c r="K264" s="165" t="str">
        <f>"Aanwending van "&amp;IF($B$7="elektriciteit","75%",IF($B$7="gas","40%","FALSE"))&amp;" van het geaccumuleerd regulatoir saldo door te rekenen volgens de tariefmethodologie in het boekjaar "&amp;F262</f>
        <v>Aanwending van 40% van het geaccumuleerd regulatoir saldo door te rekenen volgens de tariefmethodologie in het boekjaar 2018</v>
      </c>
      <c r="L264" s="165" t="str">
        <f>"Totale afbouw over "&amp;F262</f>
        <v>Totale afbouw over 2018</v>
      </c>
      <c r="M264" s="165" t="str">
        <f>"Nog af te bouwen regulatoir saldo einde "&amp;F262</f>
        <v>Nog af te bouwen regulatoir saldo einde 2018</v>
      </c>
      <c r="N264" s="206"/>
      <c r="Q264" s="166"/>
    </row>
    <row r="265" spans="2:17" x14ac:dyDescent="0.2">
      <c r="B265" s="1104">
        <v>2015</v>
      </c>
      <c r="C265" s="1105"/>
      <c r="D265" s="1105"/>
      <c r="E265" s="1106"/>
      <c r="F265" s="275"/>
      <c r="G265" s="176">
        <f>K260</f>
        <v>0</v>
      </c>
      <c r="H265" s="521">
        <f>IF(SIGN(G266*K260)&lt;0,IF(G265&lt;&gt;0,-SIGN(G265)*MIN(ABS(G266),ABS(G265)),0),0)</f>
        <v>0</v>
      </c>
      <c r="I265" s="176">
        <f>+G265+H265</f>
        <v>0</v>
      </c>
      <c r="J265" s="820"/>
      <c r="K265" s="821">
        <f>-MIN(ABS(I265),ABS(J267))*SIGN(I265)</f>
        <v>0</v>
      </c>
      <c r="L265" s="813">
        <f>+K265+H265</f>
        <v>0</v>
      </c>
      <c r="M265" s="176">
        <f>+I265+K265</f>
        <v>0</v>
      </c>
      <c r="N265" s="206"/>
      <c r="Q265" s="166"/>
    </row>
    <row r="266" spans="2:17" x14ac:dyDescent="0.2">
      <c r="B266" s="1104">
        <v>2016</v>
      </c>
      <c r="C266" s="1105"/>
      <c r="D266" s="1105"/>
      <c r="E266" s="1106"/>
      <c r="F266" s="275"/>
      <c r="G266" s="176">
        <f>H142</f>
        <v>0</v>
      </c>
      <c r="H266" s="813">
        <f>IF(SIGN(G266*K260)&lt;0,-H265,0)</f>
        <v>0</v>
      </c>
      <c r="I266" s="176">
        <f>+G266+H266</f>
        <v>0</v>
      </c>
      <c r="J266" s="820"/>
      <c r="K266" s="821">
        <f>-MIN(ABS(I266),ABS(J267-K265))*SIGN(I266)</f>
        <v>0</v>
      </c>
      <c r="L266" s="813">
        <f>+K266+H266</f>
        <v>0</v>
      </c>
      <c r="M266" s="176">
        <f>+I266+K266</f>
        <v>0</v>
      </c>
      <c r="N266" s="206"/>
      <c r="Q266" s="166"/>
    </row>
    <row r="267" spans="2:17" s="273" customFormat="1" x14ac:dyDescent="0.2">
      <c r="G267" s="276">
        <f>SUM(G265:G266)</f>
        <v>0</v>
      </c>
      <c r="H267" s="168">
        <f>SUM(H265:H266)</f>
        <v>0</v>
      </c>
      <c r="I267" s="276">
        <f>SUM(I265:I266)</f>
        <v>0</v>
      </c>
      <c r="J267" s="208">
        <f>-I267*IF($B$7="elektriciteit",0.75,IF($B$7="gas",0.4,"FALSE"))</f>
        <v>0</v>
      </c>
      <c r="K267" s="286">
        <f>SUM(K265:K266)</f>
        <v>0</v>
      </c>
      <c r="L267" s="528"/>
      <c r="M267" s="276">
        <f>SUM(M265:M266)</f>
        <v>0</v>
      </c>
    </row>
    <row r="268" spans="2:17" x14ac:dyDescent="0.2">
      <c r="H268" s="214"/>
      <c r="J268" s="12"/>
      <c r="K268" s="12"/>
      <c r="Q268" s="166"/>
    </row>
    <row r="269" spans="2:17" x14ac:dyDescent="0.2">
      <c r="B269" s="273" t="s">
        <v>139</v>
      </c>
      <c r="F269" s="810">
        <v>2019</v>
      </c>
      <c r="H269" s="214"/>
      <c r="J269" s="12"/>
      <c r="K269" s="12"/>
      <c r="Q269" s="166"/>
    </row>
    <row r="270" spans="2:17" x14ac:dyDescent="0.2">
      <c r="H270" s="214"/>
      <c r="J270" s="12"/>
      <c r="K270" s="12"/>
      <c r="Q270" s="166"/>
    </row>
    <row r="271" spans="2:17" ht="75.75" customHeight="1" x14ac:dyDescent="0.2">
      <c r="B271" s="1101" t="s">
        <v>140</v>
      </c>
      <c r="C271" s="1102"/>
      <c r="D271" s="1102"/>
      <c r="E271" s="1103"/>
      <c r="F271" s="274"/>
      <c r="G271" s="165" t="str">
        <f>"Nog af te bouwen regulatoir saldo einde "&amp;F269-1</f>
        <v>Nog af te bouwen regulatoir saldo einde 2018</v>
      </c>
      <c r="H271" s="165" t="str">
        <f>"Afbouw oudste openstaande regulatoir saldo vanaf boekjaar "&amp;F269-3&amp;" en vroeger, door aanwending van compensatie met regulatoir saldo ontstaan over boekjaar "&amp;F269-2</f>
        <v>Afbouw oudste openstaande regulatoir saldo vanaf boekjaar 2016 en vroeger, door aanwending van compensatie met regulatoir saldo ontstaan over boekjaar 2017</v>
      </c>
      <c r="I271" s="165" t="str">
        <f>"Nog af te bouwen regulatoir saldo na compensatie einde "&amp;F269-1</f>
        <v>Nog af te bouwen regulatoir saldo na compensatie einde 2018</v>
      </c>
      <c r="J271" s="165" t="str">
        <f>"Aanwending van "&amp;IF($B$7="elektriciteit","75%",IF($B$7="gas","40%","FALSE"))&amp;" van het geaccumuleerd regulatoir saldo door te rekenen volgens de tariefmethodologie in het boekjaar "&amp;F269</f>
        <v>Aanwending van 40% van het geaccumuleerd regulatoir saldo door te rekenen volgens de tariefmethodologie in het boekjaar 2019</v>
      </c>
      <c r="K271" s="165" t="str">
        <f>"Aanwending van "&amp;IF($B$7="elektriciteit","75%",IF($B$7="gas","40%","FALSE"))&amp;" van het geaccumuleerd regulatoir saldo door te rekenen volgens de tariefmethodologie in het boekjaar "&amp;F269</f>
        <v>Aanwending van 40% van het geaccumuleerd regulatoir saldo door te rekenen volgens de tariefmethodologie in het boekjaar 2019</v>
      </c>
      <c r="L271" s="165" t="str">
        <f>"Totale afbouw over "&amp;F269</f>
        <v>Totale afbouw over 2019</v>
      </c>
      <c r="M271" s="165" t="str">
        <f>"Nog af te bouwen regulatoir saldo einde "&amp;F269</f>
        <v>Nog af te bouwen regulatoir saldo einde 2019</v>
      </c>
      <c r="N271" s="206"/>
      <c r="Q271" s="166"/>
    </row>
    <row r="272" spans="2:17" x14ac:dyDescent="0.2">
      <c r="B272" s="1104">
        <v>2015</v>
      </c>
      <c r="C272" s="1105"/>
      <c r="D272" s="1105"/>
      <c r="E272" s="1106"/>
      <c r="F272" s="275"/>
      <c r="G272" s="176">
        <f>+M265</f>
        <v>0</v>
      </c>
      <c r="H272" s="813">
        <f>IF(SIGN(G274*M267)&lt;0,IF(G272&lt;&gt;0,-SIGN(G272)*MIN(ABS(G274),ABS(G272)),0),0)</f>
        <v>0</v>
      </c>
      <c r="I272" s="176">
        <f>+G272+H272</f>
        <v>0</v>
      </c>
      <c r="J272" s="820"/>
      <c r="K272" s="821">
        <f>-MIN(ABS(I272),ABS(J275))*SIGN(I272)</f>
        <v>0</v>
      </c>
      <c r="L272" s="813">
        <f>+K272+H272</f>
        <v>0</v>
      </c>
      <c r="M272" s="176">
        <f>+I272+K272</f>
        <v>0</v>
      </c>
      <c r="N272" s="206"/>
      <c r="Q272" s="166"/>
    </row>
    <row r="273" spans="2:17" x14ac:dyDescent="0.2">
      <c r="B273" s="1104">
        <v>2016</v>
      </c>
      <c r="C273" s="1105"/>
      <c r="D273" s="1105">
        <v>2016</v>
      </c>
      <c r="E273" s="1106"/>
      <c r="F273" s="275"/>
      <c r="G273" s="176">
        <f>+M266</f>
        <v>0</v>
      </c>
      <c r="H273" s="813">
        <f>IF(SIGN(G274*M267)&lt;0,IF(G273&lt;&gt;0,-SIGN(G273)*MIN(ABS(G274-H272),ABS(G273)),0),0)</f>
        <v>0</v>
      </c>
      <c r="I273" s="176">
        <f>+G273+H273</f>
        <v>0</v>
      </c>
      <c r="J273" s="820"/>
      <c r="K273" s="821">
        <f>-MIN(ABS(I273),ABS(J275-K272))*SIGN(I273)</f>
        <v>0</v>
      </c>
      <c r="L273" s="813">
        <f>+K273+H273</f>
        <v>0</v>
      </c>
      <c r="M273" s="176">
        <f>+I273+K273</f>
        <v>0</v>
      </c>
      <c r="N273" s="206"/>
      <c r="Q273" s="166"/>
    </row>
    <row r="274" spans="2:17" x14ac:dyDescent="0.2">
      <c r="B274" s="1104">
        <v>2017</v>
      </c>
      <c r="C274" s="1105"/>
      <c r="D274" s="1105"/>
      <c r="E274" s="1106"/>
      <c r="F274" s="275"/>
      <c r="G274" s="176">
        <f>I143</f>
        <v>0</v>
      </c>
      <c r="H274" s="813">
        <f>IF(SIGN(G274*M267)&lt;0,-SUM(H272:H273),0)</f>
        <v>0</v>
      </c>
      <c r="I274" s="176">
        <f>+G274+H274</f>
        <v>0</v>
      </c>
      <c r="J274" s="820"/>
      <c r="K274" s="821">
        <f>-MIN(ABS(I274),ABS(J275-K272-K273))*SIGN(I274)</f>
        <v>0</v>
      </c>
      <c r="L274" s="813">
        <f>+K274+H274</f>
        <v>0</v>
      </c>
      <c r="M274" s="176">
        <f>+I274+K274</f>
        <v>0</v>
      </c>
      <c r="N274" s="206"/>
      <c r="Q274" s="166"/>
    </row>
    <row r="275" spans="2:17" s="273" customFormat="1" x14ac:dyDescent="0.2">
      <c r="G275" s="276">
        <f>SUM(G272:G274)</f>
        <v>0</v>
      </c>
      <c r="H275" s="168">
        <f>SUM(H272:H274)</f>
        <v>0</v>
      </c>
      <c r="I275" s="276">
        <f>SUM(I272:I274)</f>
        <v>0</v>
      </c>
      <c r="J275" s="208">
        <f>-I275*IF($B$7="elektriciteit",0.75,IF($B$7="gas",0.4,"FALSE"))</f>
        <v>0</v>
      </c>
      <c r="K275" s="286">
        <f>SUM(K272:K274)</f>
        <v>0</v>
      </c>
      <c r="L275" s="528"/>
      <c r="M275" s="276">
        <f>SUM(M272:M274)</f>
        <v>0</v>
      </c>
    </row>
    <row r="276" spans="2:17" x14ac:dyDescent="0.2">
      <c r="H276" s="214"/>
      <c r="J276" s="12"/>
      <c r="K276" s="12"/>
      <c r="Q276" s="166"/>
    </row>
    <row r="277" spans="2:17" x14ac:dyDescent="0.2">
      <c r="B277" s="273" t="s">
        <v>139</v>
      </c>
      <c r="F277" s="810">
        <v>2020</v>
      </c>
      <c r="H277" s="214"/>
      <c r="J277" s="12"/>
      <c r="K277" s="12"/>
      <c r="Q277" s="166"/>
    </row>
    <row r="278" spans="2:17" x14ac:dyDescent="0.2">
      <c r="H278" s="214"/>
      <c r="J278" s="12"/>
      <c r="K278" s="12"/>
      <c r="Q278" s="166"/>
    </row>
    <row r="279" spans="2:17" ht="78" customHeight="1" x14ac:dyDescent="0.2">
      <c r="B279" s="1101" t="s">
        <v>140</v>
      </c>
      <c r="C279" s="1102"/>
      <c r="D279" s="1102"/>
      <c r="E279" s="1103"/>
      <c r="F279" s="274"/>
      <c r="G279" s="165" t="str">
        <f>"Nog af te bouwen regulatoir saldo einde "&amp;F277-1</f>
        <v>Nog af te bouwen regulatoir saldo einde 2019</v>
      </c>
      <c r="H279" s="165" t="str">
        <f>"Afbouw oudste openstaande regulatoir saldo vanaf boekjaar "&amp;F277-3&amp;" en vroeger, door aanwending van compensatie met regulatoir saldo ontstaan over boekjaar "&amp;F277-2</f>
        <v>Afbouw oudste openstaande regulatoir saldo vanaf boekjaar 2017 en vroeger, door aanwending van compensatie met regulatoir saldo ontstaan over boekjaar 2018</v>
      </c>
      <c r="I279" s="165" t="str">
        <f>"Nog af te bouwen regulatoir saldo na compensatie einde "&amp;F277-1</f>
        <v>Nog af te bouwen regulatoir saldo na compensatie einde 2019</v>
      </c>
      <c r="J279" s="165" t="str">
        <f>"Aanwending van "&amp;IF($B$7="elektriciteit","75%",IF($B$7="gas","40%","FALSE"))&amp;" van het geaccumuleerd regulatoir saldo door te rekenen volgens de tariefmethodologie in het boekjaar "&amp;F277</f>
        <v>Aanwending van 40% van het geaccumuleerd regulatoir saldo door te rekenen volgens de tariefmethodologie in het boekjaar 2020</v>
      </c>
      <c r="K279" s="165" t="str">
        <f>"Aanwending van "&amp;IF($B$7="elektriciteit","75%",IF($B$7="gas","40%","FALSE"))&amp;" van het geaccumuleerd regulatoir saldo door te rekenen volgens de tariefmethodologie in het boekjaar "&amp;F277</f>
        <v>Aanwending van 40% van het geaccumuleerd regulatoir saldo door te rekenen volgens de tariefmethodologie in het boekjaar 2020</v>
      </c>
      <c r="L279" s="165" t="str">
        <f>"Totale afbouw over "&amp;F277</f>
        <v>Totale afbouw over 2020</v>
      </c>
      <c r="M279" s="165" t="str">
        <f>"Nog af te bouwen regulatoir saldo einde "&amp;F277</f>
        <v>Nog af te bouwen regulatoir saldo einde 2020</v>
      </c>
      <c r="N279" s="206"/>
      <c r="Q279" s="166"/>
    </row>
    <row r="280" spans="2:17" x14ac:dyDescent="0.2">
      <c r="B280" s="1104">
        <v>2015</v>
      </c>
      <c r="C280" s="1105"/>
      <c r="D280" s="1105"/>
      <c r="E280" s="1106"/>
      <c r="F280" s="275"/>
      <c r="G280" s="176">
        <f>+M272</f>
        <v>0</v>
      </c>
      <c r="H280" s="813">
        <f>IF(SIGN(G283*M275)&lt;0,IF(G280&lt;&gt;0,-SIGN(G280)*MIN(ABS(G283),ABS(G280)),0),0)</f>
        <v>0</v>
      </c>
      <c r="I280" s="176">
        <f>+G280+H280</f>
        <v>0</v>
      </c>
      <c r="J280" s="820"/>
      <c r="K280" s="821">
        <f>-MIN(ABS(I280),ABS(J284))*SIGN(I280)</f>
        <v>0</v>
      </c>
      <c r="L280" s="813">
        <f>+K280+H280</f>
        <v>0</v>
      </c>
      <c r="M280" s="176">
        <f>+I280+K280</f>
        <v>0</v>
      </c>
      <c r="N280" s="206"/>
      <c r="Q280" s="166"/>
    </row>
    <row r="281" spans="2:17" x14ac:dyDescent="0.2">
      <c r="B281" s="1104">
        <v>2016</v>
      </c>
      <c r="C281" s="1105"/>
      <c r="D281" s="1105"/>
      <c r="E281" s="1106"/>
      <c r="F281" s="275"/>
      <c r="G281" s="176">
        <f>+M273</f>
        <v>0</v>
      </c>
      <c r="H281" s="813">
        <f>IF(SIGN(G283*M275)&lt;0,IF(G281&lt;&gt;0,-SIGN(G281)*MIN(ABS(G283-H280),ABS(G281)),0),0)</f>
        <v>0</v>
      </c>
      <c r="I281" s="176">
        <f>+G281+H281</f>
        <v>0</v>
      </c>
      <c r="J281" s="820"/>
      <c r="K281" s="821">
        <f>-MIN(ABS(I281),ABS(J284-K280))*SIGN(I281)</f>
        <v>0</v>
      </c>
      <c r="L281" s="813">
        <f>+K281+H281</f>
        <v>0</v>
      </c>
      <c r="M281" s="176">
        <f>+I281+K281</f>
        <v>0</v>
      </c>
      <c r="N281" s="206"/>
      <c r="Q281" s="166"/>
    </row>
    <row r="282" spans="2:17" x14ac:dyDescent="0.2">
      <c r="B282" s="1104">
        <v>2017</v>
      </c>
      <c r="C282" s="1105"/>
      <c r="D282" s="1105">
        <v>2016</v>
      </c>
      <c r="E282" s="1106"/>
      <c r="F282" s="275"/>
      <c r="G282" s="176">
        <f>+M274</f>
        <v>0</v>
      </c>
      <c r="H282" s="813">
        <f>IF(SIGN(G283*M275)&lt;0,IF(G282&lt;&gt;0,-SIGN(G282)*MIN(ABS(G283-H280-H281),ABS(G282)),0),0)</f>
        <v>0</v>
      </c>
      <c r="I282" s="176">
        <f>+G282+H282</f>
        <v>0</v>
      </c>
      <c r="J282" s="820"/>
      <c r="K282" s="821">
        <f>-MIN(ABS(I282),ABS(J284-K280-K281))*SIGN(I282)</f>
        <v>0</v>
      </c>
      <c r="L282" s="813">
        <f>+K282+H282</f>
        <v>0</v>
      </c>
      <c r="M282" s="176">
        <f>+I282+K282</f>
        <v>0</v>
      </c>
      <c r="N282" s="206"/>
      <c r="Q282" s="166"/>
    </row>
    <row r="283" spans="2:17" x14ac:dyDescent="0.2">
      <c r="B283" s="1104">
        <v>2018</v>
      </c>
      <c r="C283" s="1105"/>
      <c r="D283" s="1105"/>
      <c r="E283" s="1106"/>
      <c r="F283" s="275"/>
      <c r="G283" s="176">
        <f>J144</f>
        <v>0</v>
      </c>
      <c r="H283" s="813">
        <f>IF(SIGN(G283*M275)&lt;0,-SUM(H280:H282),0)</f>
        <v>0</v>
      </c>
      <c r="I283" s="176">
        <f>+G283+H283</f>
        <v>0</v>
      </c>
      <c r="J283" s="820"/>
      <c r="K283" s="821">
        <f>-MIN(ABS(I283),ABS(J284-K280-K281-K282))*SIGN(I283)</f>
        <v>0</v>
      </c>
      <c r="L283" s="813">
        <f>+K283+H283</f>
        <v>0</v>
      </c>
      <c r="M283" s="176">
        <f>+I283+K283</f>
        <v>0</v>
      </c>
      <c r="N283" s="206"/>
      <c r="Q283" s="166"/>
    </row>
    <row r="284" spans="2:17" s="273" customFormat="1" x14ac:dyDescent="0.2">
      <c r="G284" s="276">
        <f>SUM(G280:G283)</f>
        <v>0</v>
      </c>
      <c r="H284" s="168">
        <f>SUM(H280:H283)</f>
        <v>0</v>
      </c>
      <c r="I284" s="276">
        <f>SUM(I280:I283)</f>
        <v>0</v>
      </c>
      <c r="J284" s="208">
        <f>-I284*IF($B$7="elektriciteit",0.75,IF($B$7="gas",0.4,"FALSE"))</f>
        <v>0</v>
      </c>
      <c r="K284" s="286">
        <f>SUM(K280:K283)</f>
        <v>0</v>
      </c>
      <c r="L284" s="168"/>
      <c r="M284" s="276">
        <f>SUM(M280:M283)</f>
        <v>0</v>
      </c>
    </row>
    <row r="285" spans="2:17" x14ac:dyDescent="0.2">
      <c r="H285" s="214"/>
      <c r="Q285" s="166"/>
    </row>
    <row r="286" spans="2:17" x14ac:dyDescent="0.2">
      <c r="B286" s="273" t="s">
        <v>139</v>
      </c>
      <c r="F286" s="810">
        <v>2021</v>
      </c>
      <c r="H286" s="214"/>
      <c r="Q286" s="166"/>
    </row>
    <row r="287" spans="2:17" x14ac:dyDescent="0.2">
      <c r="H287" s="214"/>
      <c r="Q287" s="166"/>
    </row>
    <row r="288" spans="2:17" ht="78" customHeight="1" x14ac:dyDescent="0.2">
      <c r="B288" s="1101" t="s">
        <v>140</v>
      </c>
      <c r="C288" s="1102"/>
      <c r="D288" s="1102"/>
      <c r="E288" s="1103"/>
      <c r="F288" s="274"/>
      <c r="G288" s="165" t="str">
        <f>"Nog af te bouwen regulatoir saldo einde "&amp;F286-1</f>
        <v>Nog af te bouwen regulatoir saldo einde 2020</v>
      </c>
      <c r="H288" s="165" t="str">
        <f>"50% van het oorspronkelijk regulatoir saldo door te rekenen volgens de tariefmethodologie in het boekjaar "&amp;F286</f>
        <v>50% van het oorspronkelijk regulatoir saldo door te rekenen volgens de tariefmethodologie in het boekjaar 2021</v>
      </c>
      <c r="I288" s="165" t="str">
        <f>"Nog af te bouwen regulatoir saldo einde "&amp;F286</f>
        <v>Nog af te bouwen regulatoir saldo einde 2021</v>
      </c>
      <c r="J288" s="206"/>
      <c r="Q288" s="166"/>
    </row>
    <row r="289" spans="2:17" x14ac:dyDescent="0.2">
      <c r="B289" s="1104">
        <v>2015</v>
      </c>
      <c r="C289" s="1105"/>
      <c r="D289" s="1105"/>
      <c r="E289" s="1106"/>
      <c r="F289" s="275"/>
      <c r="G289" s="176">
        <f>M280</f>
        <v>0</v>
      </c>
      <c r="H289" s="521">
        <f>-G289*0.5</f>
        <v>0</v>
      </c>
      <c r="I289" s="176">
        <f>+G289+H289</f>
        <v>0</v>
      </c>
      <c r="J289" s="206"/>
      <c r="Q289" s="166"/>
    </row>
    <row r="290" spans="2:17" x14ac:dyDescent="0.2">
      <c r="B290" s="1104">
        <v>2016</v>
      </c>
      <c r="C290" s="1105"/>
      <c r="D290" s="1105"/>
      <c r="E290" s="1106"/>
      <c r="F290" s="275"/>
      <c r="G290" s="176">
        <f t="shared" ref="G290:G292" si="35">M281</f>
        <v>0</v>
      </c>
      <c r="H290" s="521">
        <f t="shared" ref="H290:H293" si="36">-G290*0.5</f>
        <v>0</v>
      </c>
      <c r="I290" s="176">
        <f t="shared" ref="I290:I293" si="37">+G290+H290</f>
        <v>0</v>
      </c>
      <c r="J290" s="206"/>
      <c r="Q290" s="166"/>
    </row>
    <row r="291" spans="2:17" x14ac:dyDescent="0.2">
      <c r="B291" s="1104">
        <v>2017</v>
      </c>
      <c r="C291" s="1105"/>
      <c r="D291" s="1105">
        <v>2016</v>
      </c>
      <c r="E291" s="1106"/>
      <c r="F291" s="275"/>
      <c r="G291" s="176">
        <f t="shared" si="35"/>
        <v>0</v>
      </c>
      <c r="H291" s="521">
        <f t="shared" si="36"/>
        <v>0</v>
      </c>
      <c r="I291" s="176">
        <f t="shared" si="37"/>
        <v>0</v>
      </c>
      <c r="J291" s="206"/>
      <c r="Q291" s="166"/>
    </row>
    <row r="292" spans="2:17" x14ac:dyDescent="0.2">
      <c r="B292" s="1104">
        <v>2018</v>
      </c>
      <c r="C292" s="1105"/>
      <c r="D292" s="1105"/>
      <c r="E292" s="1106"/>
      <c r="F292" s="275"/>
      <c r="G292" s="176">
        <f t="shared" si="35"/>
        <v>0</v>
      </c>
      <c r="H292" s="521">
        <f t="shared" si="36"/>
        <v>0</v>
      </c>
      <c r="I292" s="176">
        <f t="shared" si="37"/>
        <v>0</v>
      </c>
      <c r="J292" s="206"/>
      <c r="Q292" s="166"/>
    </row>
    <row r="293" spans="2:17" x14ac:dyDescent="0.2">
      <c r="B293" s="1104">
        <v>2019</v>
      </c>
      <c r="C293" s="1105"/>
      <c r="D293" s="1105"/>
      <c r="E293" s="1106"/>
      <c r="F293" s="275"/>
      <c r="G293" s="176">
        <f>K145</f>
        <v>0</v>
      </c>
      <c r="H293" s="521">
        <f t="shared" si="36"/>
        <v>0</v>
      </c>
      <c r="I293" s="176">
        <f t="shared" si="37"/>
        <v>0</v>
      </c>
      <c r="J293" s="206"/>
      <c r="Q293" s="166"/>
    </row>
    <row r="294" spans="2:17" s="273" customFormat="1" x14ac:dyDescent="0.2">
      <c r="G294" s="276">
        <f>SUM(G289:G293)</f>
        <v>0</v>
      </c>
      <c r="H294" s="168">
        <f>SUM(H289:H293)</f>
        <v>0</v>
      </c>
      <c r="I294" s="276">
        <f>SUM(I289:I293)</f>
        <v>0</v>
      </c>
    </row>
    <row r="295" spans="2:17" x14ac:dyDescent="0.2">
      <c r="H295" s="214"/>
      <c r="Q295" s="166"/>
    </row>
    <row r="296" spans="2:17" x14ac:dyDescent="0.2">
      <c r="B296" s="273" t="s">
        <v>139</v>
      </c>
      <c r="F296" s="810">
        <v>2022</v>
      </c>
      <c r="H296" s="214"/>
      <c r="Q296" s="166"/>
    </row>
    <row r="297" spans="2:17" x14ac:dyDescent="0.2">
      <c r="H297" s="214"/>
      <c r="Q297" s="166"/>
    </row>
    <row r="298" spans="2:17" ht="78" customHeight="1" x14ac:dyDescent="0.2">
      <c r="B298" s="1101" t="s">
        <v>140</v>
      </c>
      <c r="C298" s="1102"/>
      <c r="D298" s="1102"/>
      <c r="E298" s="1103"/>
      <c r="F298" s="274"/>
      <c r="G298" s="165" t="str">
        <f>"Nog af te bouwen regulatoir saldo einde "&amp;F296-1</f>
        <v>Nog af te bouwen regulatoir saldo einde 2021</v>
      </c>
      <c r="H298" s="165" t="str">
        <f>"50% van het oorspronkelijk regulatoir saldo door te rekenen volgens de tariefmethodologie in het boekjaar "&amp;F296</f>
        <v>50% van het oorspronkelijk regulatoir saldo door te rekenen volgens de tariefmethodologie in het boekjaar 2022</v>
      </c>
      <c r="I298" s="165" t="str">
        <f>"Nog af te bouwen regulatoir saldo einde "&amp;F296</f>
        <v>Nog af te bouwen regulatoir saldo einde 2022</v>
      </c>
      <c r="J298" s="206"/>
      <c r="Q298" s="166"/>
    </row>
    <row r="299" spans="2:17" x14ac:dyDescent="0.2">
      <c r="B299" s="1104">
        <v>2015</v>
      </c>
      <c r="C299" s="1105"/>
      <c r="D299" s="1105"/>
      <c r="E299" s="1106"/>
      <c r="F299" s="275"/>
      <c r="G299" s="176">
        <f>+I289</f>
        <v>0</v>
      </c>
      <c r="H299" s="521">
        <f>-G289*0.5</f>
        <v>0</v>
      </c>
      <c r="I299" s="176">
        <f>+G299+H299</f>
        <v>0</v>
      </c>
      <c r="J299" s="206"/>
      <c r="Q299" s="166"/>
    </row>
    <row r="300" spans="2:17" x14ac:dyDescent="0.2">
      <c r="B300" s="1104">
        <v>2016</v>
      </c>
      <c r="C300" s="1105"/>
      <c r="D300" s="1105"/>
      <c r="E300" s="1106"/>
      <c r="F300" s="275"/>
      <c r="G300" s="176">
        <f t="shared" ref="G300:G303" si="38">+I290</f>
        <v>0</v>
      </c>
      <c r="H300" s="521">
        <f>-G290*0.5</f>
        <v>0</v>
      </c>
      <c r="I300" s="176">
        <f t="shared" ref="I300:I304" si="39">+G300+H300</f>
        <v>0</v>
      </c>
      <c r="J300" s="206"/>
      <c r="Q300" s="166"/>
    </row>
    <row r="301" spans="2:17" x14ac:dyDescent="0.2">
      <c r="B301" s="1104">
        <v>2017</v>
      </c>
      <c r="C301" s="1105"/>
      <c r="D301" s="1105">
        <v>2016</v>
      </c>
      <c r="E301" s="1106"/>
      <c r="F301" s="275"/>
      <c r="G301" s="176">
        <f t="shared" si="38"/>
        <v>0</v>
      </c>
      <c r="H301" s="521">
        <f t="shared" ref="H301:H303" si="40">-G291*0.5</f>
        <v>0</v>
      </c>
      <c r="I301" s="176">
        <f t="shared" si="39"/>
        <v>0</v>
      </c>
      <c r="J301" s="206"/>
      <c r="Q301" s="166"/>
    </row>
    <row r="302" spans="2:17" x14ac:dyDescent="0.2">
      <c r="B302" s="1104">
        <v>2018</v>
      </c>
      <c r="C302" s="1105"/>
      <c r="D302" s="1105"/>
      <c r="E302" s="1106"/>
      <c r="F302" s="275"/>
      <c r="G302" s="176">
        <f t="shared" si="38"/>
        <v>0</v>
      </c>
      <c r="H302" s="521">
        <f t="shared" si="40"/>
        <v>0</v>
      </c>
      <c r="I302" s="176">
        <f t="shared" si="39"/>
        <v>0</v>
      </c>
      <c r="J302" s="206"/>
      <c r="Q302" s="166"/>
    </row>
    <row r="303" spans="2:17" x14ac:dyDescent="0.2">
      <c r="B303" s="1104">
        <v>2019</v>
      </c>
      <c r="C303" s="1105"/>
      <c r="D303" s="1105"/>
      <c r="E303" s="1106"/>
      <c r="F303" s="275"/>
      <c r="G303" s="176">
        <f t="shared" si="38"/>
        <v>0</v>
      </c>
      <c r="H303" s="521">
        <f t="shared" si="40"/>
        <v>0</v>
      </c>
      <c r="I303" s="176">
        <f t="shared" si="39"/>
        <v>0</v>
      </c>
      <c r="J303" s="206"/>
      <c r="Q303" s="166"/>
    </row>
    <row r="304" spans="2:17" x14ac:dyDescent="0.2">
      <c r="B304" s="1104">
        <v>2020</v>
      </c>
      <c r="C304" s="1105"/>
      <c r="D304" s="1105"/>
      <c r="E304" s="1106"/>
      <c r="F304" s="275"/>
      <c r="G304" s="176">
        <f>L146</f>
        <v>0</v>
      </c>
      <c r="H304" s="521">
        <f t="shared" ref="H304" si="41">-G304*0.5</f>
        <v>0</v>
      </c>
      <c r="I304" s="176">
        <f t="shared" si="39"/>
        <v>0</v>
      </c>
      <c r="J304" s="206"/>
      <c r="Q304" s="166"/>
    </row>
    <row r="305" spans="2:17" s="273" customFormat="1" x14ac:dyDescent="0.2">
      <c r="G305" s="276">
        <f>SUM(G299:G304)</f>
        <v>0</v>
      </c>
      <c r="H305" s="168">
        <f t="shared" ref="H305:I305" si="42">SUM(H299:H304)</f>
        <v>0</v>
      </c>
      <c r="I305" s="276">
        <f t="shared" si="42"/>
        <v>0</v>
      </c>
    </row>
    <row r="306" spans="2:17" x14ac:dyDescent="0.2">
      <c r="H306" s="214"/>
      <c r="Q306" s="166"/>
    </row>
    <row r="307" spans="2:17" x14ac:dyDescent="0.2">
      <c r="B307" s="273" t="s">
        <v>139</v>
      </c>
      <c r="F307" s="810">
        <v>2023</v>
      </c>
      <c r="H307" s="214"/>
      <c r="Q307" s="166"/>
    </row>
    <row r="308" spans="2:17" x14ac:dyDescent="0.2">
      <c r="H308" s="214"/>
      <c r="Q308" s="166"/>
    </row>
    <row r="309" spans="2:17" ht="78" customHeight="1" x14ac:dyDescent="0.2">
      <c r="B309" s="1101" t="s">
        <v>140</v>
      </c>
      <c r="C309" s="1102"/>
      <c r="D309" s="1102"/>
      <c r="E309" s="1103"/>
      <c r="F309" s="274"/>
      <c r="G309" s="165" t="str">
        <f>"Nog af te bouwen regulatoir saldo einde "&amp;F307-1</f>
        <v>Nog af te bouwen regulatoir saldo einde 2022</v>
      </c>
      <c r="H309" s="165" t="str">
        <f>"50% van het oorspronkelijk regulatoir saldo door te rekenen volgens de tariefmethodologie in het boekjaar "&amp;F307</f>
        <v>50% van het oorspronkelijk regulatoir saldo door te rekenen volgens de tariefmethodologie in het boekjaar 2023</v>
      </c>
      <c r="I309" s="165" t="str">
        <f>"Nog af te bouwen regulatoir saldo einde "&amp;F307</f>
        <v>Nog af te bouwen regulatoir saldo einde 2023</v>
      </c>
      <c r="J309" s="206"/>
      <c r="Q309" s="166"/>
    </row>
    <row r="310" spans="2:17" x14ac:dyDescent="0.2">
      <c r="B310" s="1104">
        <v>2020</v>
      </c>
      <c r="C310" s="1105"/>
      <c r="D310" s="1105"/>
      <c r="E310" s="1106"/>
      <c r="F310" s="275"/>
      <c r="G310" s="176">
        <f>+I304</f>
        <v>0</v>
      </c>
      <c r="H310" s="521">
        <f>-G304*0.5</f>
        <v>0</v>
      </c>
      <c r="I310" s="176">
        <f t="shared" ref="I310:I311" si="43">+G310+H310</f>
        <v>0</v>
      </c>
      <c r="J310" s="206"/>
      <c r="Q310" s="166"/>
    </row>
    <row r="311" spans="2:17" x14ac:dyDescent="0.2">
      <c r="B311" s="1104">
        <v>2021</v>
      </c>
      <c r="C311" s="1105"/>
      <c r="D311" s="1105"/>
      <c r="E311" s="1106"/>
      <c r="F311" s="275"/>
      <c r="G311" s="176">
        <f>M147</f>
        <v>0</v>
      </c>
      <c r="H311" s="521">
        <f t="shared" ref="H311" si="44">-G311*0.5</f>
        <v>0</v>
      </c>
      <c r="I311" s="176">
        <f t="shared" si="43"/>
        <v>0</v>
      </c>
      <c r="J311" s="206"/>
      <c r="Q311" s="166"/>
    </row>
    <row r="312" spans="2:17" s="273" customFormat="1" x14ac:dyDescent="0.2">
      <c r="G312" s="276">
        <f>SUM(G310:G311)</f>
        <v>0</v>
      </c>
      <c r="H312" s="168">
        <f>SUM(H310:H311)</f>
        <v>0</v>
      </c>
      <c r="I312" s="276">
        <f>SUM(I310:I311)</f>
        <v>0</v>
      </c>
    </row>
    <row r="313" spans="2:17" x14ac:dyDescent="0.2">
      <c r="H313" s="214"/>
      <c r="Q313" s="166"/>
    </row>
    <row r="314" spans="2:17" x14ac:dyDescent="0.2">
      <c r="B314" s="273" t="s">
        <v>139</v>
      </c>
      <c r="F314" s="810">
        <v>2024</v>
      </c>
      <c r="H314" s="214"/>
      <c r="Q314" s="166"/>
    </row>
    <row r="315" spans="2:17" x14ac:dyDescent="0.2">
      <c r="H315" s="214"/>
      <c r="Q315" s="166"/>
    </row>
    <row r="316" spans="2:17" ht="78" customHeight="1" x14ac:dyDescent="0.2">
      <c r="B316" s="1101" t="s">
        <v>140</v>
      </c>
      <c r="C316" s="1102"/>
      <c r="D316" s="1102"/>
      <c r="E316" s="1103"/>
      <c r="F316" s="274"/>
      <c r="G316" s="165" t="str">
        <f>"Nog af te bouwen regulatoir saldo einde "&amp;F314-1</f>
        <v>Nog af te bouwen regulatoir saldo einde 2023</v>
      </c>
      <c r="H316" s="165" t="str">
        <f>"50% van het oorspronkelijk regulatoir saldo door te rekenen volgens de tariefmethodologie in het boekjaar "&amp;F314</f>
        <v>50% van het oorspronkelijk regulatoir saldo door te rekenen volgens de tariefmethodologie in het boekjaar 2024</v>
      </c>
      <c r="I316" s="165" t="str">
        <f>"Nog af te bouwen regulatoir saldo einde "&amp;F314</f>
        <v>Nog af te bouwen regulatoir saldo einde 2024</v>
      </c>
      <c r="J316" s="206"/>
      <c r="Q316" s="166"/>
    </row>
    <row r="317" spans="2:17" x14ac:dyDescent="0.2">
      <c r="B317" s="1104">
        <v>2021</v>
      </c>
      <c r="C317" s="1105"/>
      <c r="D317" s="1105"/>
      <c r="E317" s="1106"/>
      <c r="F317" s="275"/>
      <c r="G317" s="176">
        <f>+I311</f>
        <v>0</v>
      </c>
      <c r="H317" s="521">
        <f>-G311*0.5</f>
        <v>0</v>
      </c>
      <c r="I317" s="176">
        <f t="shared" ref="I317:I318" si="45">+G317+H317</f>
        <v>0</v>
      </c>
      <c r="J317" s="206"/>
      <c r="Q317" s="166"/>
    </row>
    <row r="318" spans="2:17" x14ac:dyDescent="0.2">
      <c r="B318" s="1104">
        <v>2022</v>
      </c>
      <c r="C318" s="1105"/>
      <c r="D318" s="1105"/>
      <c r="E318" s="1106"/>
      <c r="F318" s="275"/>
      <c r="G318" s="176">
        <f>N148</f>
        <v>0</v>
      </c>
      <c r="H318" s="521">
        <f t="shared" ref="H318" si="46">-G318*0.5</f>
        <v>0</v>
      </c>
      <c r="I318" s="176">
        <f t="shared" si="45"/>
        <v>0</v>
      </c>
      <c r="J318" s="206"/>
      <c r="Q318" s="166"/>
    </row>
    <row r="319" spans="2:17" s="273" customFormat="1" x14ac:dyDescent="0.2">
      <c r="G319" s="276">
        <f>SUM(G317:G318)</f>
        <v>0</v>
      </c>
      <c r="H319" s="168">
        <f>SUM(H317:H318)</f>
        <v>0</v>
      </c>
      <c r="I319" s="276">
        <f>SUM(I317:I318)</f>
        <v>0</v>
      </c>
    </row>
    <row r="320" spans="2:17" x14ac:dyDescent="0.2">
      <c r="B320" s="273" t="s">
        <v>201</v>
      </c>
      <c r="H320" s="214"/>
      <c r="Q320" s="166"/>
    </row>
    <row r="321" spans="2:18" x14ac:dyDescent="0.2">
      <c r="B321" s="273" t="s">
        <v>141</v>
      </c>
      <c r="C321" s="216"/>
      <c r="D321" s="216"/>
      <c r="E321" s="216"/>
      <c r="H321" s="214"/>
      <c r="Q321" s="166"/>
    </row>
    <row r="322" spans="2:18" x14ac:dyDescent="0.2">
      <c r="B322" s="273"/>
      <c r="C322" s="216"/>
      <c r="D322" s="216"/>
      <c r="E322" s="216"/>
      <c r="H322" s="214"/>
      <c r="Q322" s="166"/>
    </row>
    <row r="323" spans="2:18" x14ac:dyDescent="0.2">
      <c r="B323" s="275">
        <f>F286</f>
        <v>2021</v>
      </c>
      <c r="C323" s="279">
        <f>+H294</f>
        <v>0</v>
      </c>
      <c r="D323" s="216"/>
      <c r="E323" s="216"/>
      <c r="H323" s="214"/>
      <c r="Q323" s="166"/>
    </row>
    <row r="324" spans="2:18" x14ac:dyDescent="0.2">
      <c r="B324" s="275">
        <v>2022</v>
      </c>
      <c r="C324" s="279">
        <f>+H305</f>
        <v>0</v>
      </c>
      <c r="D324" s="216"/>
      <c r="E324" s="216"/>
      <c r="H324" s="214"/>
      <c r="Q324" s="166"/>
    </row>
    <row r="325" spans="2:18" x14ac:dyDescent="0.2">
      <c r="B325" s="275">
        <v>2023</v>
      </c>
      <c r="C325" s="279">
        <f>+H312</f>
        <v>0</v>
      </c>
      <c r="D325" s="216"/>
      <c r="E325" s="216"/>
      <c r="H325" s="214"/>
      <c r="Q325" s="166"/>
    </row>
    <row r="326" spans="2:18" x14ac:dyDescent="0.2">
      <c r="B326" s="275">
        <v>2024</v>
      </c>
      <c r="C326" s="279">
        <f>+H319</f>
        <v>0</v>
      </c>
      <c r="D326" s="216"/>
      <c r="E326" s="216"/>
      <c r="H326" s="214"/>
      <c r="Q326" s="166"/>
    </row>
    <row r="327" spans="2:18" x14ac:dyDescent="0.2">
      <c r="Q327" s="206"/>
    </row>
    <row r="328" spans="2:18" x14ac:dyDescent="0.2">
      <c r="Q328" s="206"/>
    </row>
    <row r="329" spans="2:18" x14ac:dyDescent="0.2">
      <c r="B329" s="321" t="s">
        <v>347</v>
      </c>
      <c r="C329" s="322"/>
      <c r="D329" s="322"/>
      <c r="E329" s="322"/>
      <c r="F329" s="323"/>
      <c r="G329" s="323"/>
      <c r="H329" s="323"/>
      <c r="I329" s="323"/>
      <c r="J329" s="323"/>
      <c r="K329" s="323"/>
      <c r="L329" s="323"/>
      <c r="M329" s="323"/>
      <c r="N329" s="323"/>
      <c r="O329" s="323"/>
      <c r="P329" s="323"/>
      <c r="Q329" s="324"/>
      <c r="R329" s="323"/>
    </row>
    <row r="330" spans="2:18" x14ac:dyDescent="0.2">
      <c r="Q330" s="206"/>
    </row>
    <row r="331" spans="2:18" x14ac:dyDescent="0.2">
      <c r="B331" s="273" t="s">
        <v>139</v>
      </c>
      <c r="F331" s="810">
        <v>2024</v>
      </c>
      <c r="Q331" s="166"/>
    </row>
    <row r="332" spans="2:18" x14ac:dyDescent="0.2">
      <c r="Q332" s="166"/>
    </row>
    <row r="333" spans="2:18" ht="78" customHeight="1" x14ac:dyDescent="0.2">
      <c r="B333" s="1101" t="s">
        <v>140</v>
      </c>
      <c r="C333" s="1102"/>
      <c r="D333" s="1102"/>
      <c r="E333" s="1103"/>
      <c r="F333" s="274"/>
      <c r="G333" s="165" t="str">
        <f>"Nog af te bouwen regulatoir saldo einde "&amp;F331-1</f>
        <v>Nog af te bouwen regulatoir saldo einde 2023</v>
      </c>
      <c r="H333" s="165" t="str">
        <f>"50% van het oorspronkelijk regulatoir saldo door te rekenen volgens de tariefmethodologie in het boekjaar "&amp;F331</f>
        <v>50% van het oorspronkelijk regulatoir saldo door te rekenen volgens de tariefmethodologie in het boekjaar 2024</v>
      </c>
      <c r="I333" s="165" t="str">
        <f>"Nog af te bouwen regulatoir saldo einde "&amp;F331</f>
        <v>Nog af te bouwen regulatoir saldo einde 2024</v>
      </c>
      <c r="J333" s="206"/>
      <c r="Q333" s="166"/>
    </row>
    <row r="334" spans="2:18" x14ac:dyDescent="0.2">
      <c r="B334" s="1104">
        <v>2022</v>
      </c>
      <c r="C334" s="1105"/>
      <c r="D334" s="1105"/>
      <c r="E334" s="1106"/>
      <c r="F334" s="275"/>
      <c r="G334" s="176">
        <f>+N159</f>
        <v>0</v>
      </c>
      <c r="H334" s="176">
        <f t="shared" ref="H334" si="47">-G334*0.5</f>
        <v>0</v>
      </c>
      <c r="I334" s="176">
        <f t="shared" ref="I334" si="48">+G334+H334</f>
        <v>0</v>
      </c>
      <c r="J334" s="206"/>
      <c r="Q334" s="166"/>
    </row>
    <row r="335" spans="2:18" s="273" customFormat="1" x14ac:dyDescent="0.2">
      <c r="G335" s="276">
        <f>SUM(G334:G334)</f>
        <v>0</v>
      </c>
      <c r="H335" s="276">
        <f>SUM(H334:H334)</f>
        <v>0</v>
      </c>
      <c r="I335" s="276">
        <f>SUM(I334:I334)</f>
        <v>0</v>
      </c>
    </row>
    <row r="336" spans="2:18" x14ac:dyDescent="0.2">
      <c r="B336" s="273" t="s">
        <v>347</v>
      </c>
      <c r="C336" s="216"/>
      <c r="D336" s="216"/>
      <c r="E336" s="216"/>
      <c r="Q336" s="166"/>
    </row>
    <row r="337" spans="2:17" x14ac:dyDescent="0.2">
      <c r="B337" s="273" t="s">
        <v>141</v>
      </c>
      <c r="C337" s="216"/>
      <c r="D337" s="216"/>
      <c r="E337" s="216"/>
      <c r="Q337" s="166"/>
    </row>
    <row r="338" spans="2:17" x14ac:dyDescent="0.2">
      <c r="B338" s="273"/>
      <c r="C338" s="216"/>
      <c r="D338" s="216"/>
      <c r="E338" s="216"/>
      <c r="Q338" s="166"/>
    </row>
    <row r="339" spans="2:17" x14ac:dyDescent="0.2">
      <c r="B339" s="336">
        <v>2021</v>
      </c>
      <c r="C339" s="337">
        <v>0</v>
      </c>
      <c r="D339" s="216"/>
      <c r="E339" s="216"/>
      <c r="Q339" s="166"/>
    </row>
    <row r="340" spans="2:17" x14ac:dyDescent="0.2">
      <c r="B340" s="336">
        <v>2022</v>
      </c>
      <c r="C340" s="337">
        <v>0</v>
      </c>
      <c r="D340" s="216"/>
      <c r="E340" s="216"/>
      <c r="Q340" s="166"/>
    </row>
    <row r="341" spans="2:17" x14ac:dyDescent="0.2">
      <c r="B341" s="336">
        <v>2023</v>
      </c>
      <c r="C341" s="337">
        <v>0</v>
      </c>
      <c r="D341" s="216"/>
      <c r="E341" s="216"/>
      <c r="Q341" s="166"/>
    </row>
    <row r="342" spans="2:17" x14ac:dyDescent="0.2">
      <c r="B342" s="275">
        <v>2024</v>
      </c>
      <c r="C342" s="279">
        <f>+H335</f>
        <v>0</v>
      </c>
      <c r="D342" s="216"/>
      <c r="E342" s="216"/>
      <c r="Q342" s="166"/>
    </row>
    <row r="343" spans="2:17" x14ac:dyDescent="0.2">
      <c r="H343" s="214"/>
      <c r="Q343" s="166"/>
    </row>
    <row r="344" spans="2:17" x14ac:dyDescent="0.2">
      <c r="H344" s="214"/>
      <c r="Q344" s="166"/>
    </row>
    <row r="345" spans="2:17" x14ac:dyDescent="0.2">
      <c r="B345" s="321" t="s">
        <v>66</v>
      </c>
      <c r="C345" s="322"/>
      <c r="D345" s="322"/>
      <c r="E345" s="322"/>
      <c r="F345" s="323"/>
      <c r="G345" s="323"/>
      <c r="H345" s="527"/>
      <c r="I345" s="323"/>
      <c r="J345" s="323"/>
      <c r="K345" s="323"/>
      <c r="L345" s="323"/>
      <c r="M345" s="323"/>
      <c r="Q345" s="166"/>
    </row>
    <row r="346" spans="2:17" x14ac:dyDescent="0.2">
      <c r="H346" s="214"/>
      <c r="Q346" s="166"/>
    </row>
    <row r="347" spans="2:17" x14ac:dyDescent="0.2">
      <c r="B347" s="273" t="s">
        <v>139</v>
      </c>
      <c r="F347" s="810">
        <v>2017</v>
      </c>
      <c r="H347" s="214"/>
      <c r="Q347" s="166"/>
    </row>
    <row r="348" spans="2:17" x14ac:dyDescent="0.2">
      <c r="H348" s="214"/>
      <c r="L348" s="206"/>
      <c r="Q348" s="166"/>
    </row>
    <row r="349" spans="2:17" ht="71.25" customHeight="1" x14ac:dyDescent="0.2">
      <c r="B349" s="1101" t="s">
        <v>140</v>
      </c>
      <c r="C349" s="1102"/>
      <c r="D349" s="1102"/>
      <c r="E349" s="1103"/>
      <c r="F349" s="274"/>
      <c r="G349" s="165" t="str">
        <f>"Nog af te bouwen regulatoir saldo einde "&amp;F347-1</f>
        <v>Nog af te bouwen regulatoir saldo einde 2016</v>
      </c>
      <c r="H349" s="165" t="str">
        <f>"Afbouw oudste openstaande regulatoir saldo vanaf boekjaar "&amp;F347-3&amp;" en vroeger, door aanwending van compensatie met regulatoir saldo ontstaan over boekjaar "&amp;F347-2</f>
        <v>Afbouw oudste openstaande regulatoir saldo vanaf boekjaar 2014 en vroeger, door aanwending van compensatie met regulatoir saldo ontstaan over boekjaar 2015</v>
      </c>
      <c r="I349" s="165" t="str">
        <f>"Nog af te bouwen regulatoir saldo na compensatie einde "&amp;F347-1</f>
        <v>Nog af te bouwen regulatoir saldo na compensatie einde 2016</v>
      </c>
      <c r="J349" s="165" t="str">
        <f>"Aanwending van "&amp;IF($B$7="elektriciteit","75%",IF($B$7="gas","40%","FALSE"))&amp;" van het geaccumuleerd regulatoir saldo door te rekenen volgens de tariefmethodologie in het boekjaar "&amp;F347</f>
        <v>Aanwending van 40% van het geaccumuleerd regulatoir saldo door te rekenen volgens de tariefmethodologie in het boekjaar 2017</v>
      </c>
      <c r="K349" s="165" t="str">
        <f>"Nog af te bouwen regulatoir saldo einde "&amp;F347</f>
        <v>Nog af te bouwen regulatoir saldo einde 2017</v>
      </c>
      <c r="L349" s="206"/>
      <c r="Q349" s="166"/>
    </row>
    <row r="350" spans="2:17" x14ac:dyDescent="0.2">
      <c r="B350" s="1104">
        <v>2015</v>
      </c>
      <c r="C350" s="1105"/>
      <c r="D350" s="1105"/>
      <c r="E350" s="1106"/>
      <c r="F350" s="275"/>
      <c r="G350" s="176">
        <f>G163</f>
        <v>0</v>
      </c>
      <c r="H350" s="521">
        <v>0</v>
      </c>
      <c r="I350" s="176">
        <f>+G350+H350</f>
        <v>0</v>
      </c>
      <c r="J350" s="819">
        <f>-I350*IF($B$7="elektriciteit",0.75,IF($B$7="gas",0.4,"FALSE"))</f>
        <v>0</v>
      </c>
      <c r="K350" s="811">
        <f>+J350+G350</f>
        <v>0</v>
      </c>
      <c r="L350" s="206"/>
      <c r="Q350" s="166"/>
    </row>
    <row r="351" spans="2:17" x14ac:dyDescent="0.2">
      <c r="H351" s="214"/>
      <c r="L351" s="206"/>
      <c r="Q351" s="166"/>
    </row>
    <row r="352" spans="2:17" x14ac:dyDescent="0.2">
      <c r="B352" s="273" t="s">
        <v>139</v>
      </c>
      <c r="F352" s="810">
        <v>2018</v>
      </c>
      <c r="H352" s="214"/>
      <c r="Q352" s="166"/>
    </row>
    <row r="353" spans="2:17" x14ac:dyDescent="0.2">
      <c r="H353" s="214"/>
      <c r="Q353" s="166"/>
    </row>
    <row r="354" spans="2:17" ht="69.75" customHeight="1" x14ac:dyDescent="0.2">
      <c r="B354" s="1101" t="s">
        <v>140</v>
      </c>
      <c r="C354" s="1102"/>
      <c r="D354" s="1102"/>
      <c r="E354" s="1103"/>
      <c r="F354" s="274"/>
      <c r="G354" s="165" t="str">
        <f>"Nog af te bouwen regulatoir saldo einde "&amp;F352-1</f>
        <v>Nog af te bouwen regulatoir saldo einde 2017</v>
      </c>
      <c r="H354" s="165" t="str">
        <f>"Afbouw oudste openstaande regulatoir saldo vanaf boekjaar "&amp;F352-3&amp;" en vroeger, door aanwending van compensatie met regulatoir saldo ontstaan over boekjaar "&amp;F352-2</f>
        <v>Afbouw oudste openstaande regulatoir saldo vanaf boekjaar 2015 en vroeger, door aanwending van compensatie met regulatoir saldo ontstaan over boekjaar 2016</v>
      </c>
      <c r="I354" s="165" t="str">
        <f>"Nog af te bouwen regulatoir saldo na compensatie einde "&amp;F352-1</f>
        <v>Nog af te bouwen regulatoir saldo na compensatie einde 2017</v>
      </c>
      <c r="J354" s="165" t="str">
        <f>"Aanwending van "&amp;IF($B$7="elektriciteit","75%",IF($B$7="gas","40%","FALSE"))&amp;" van het geaccumuleerd regulatoir saldo door te rekenen volgens de tariefmethodologie in het boekjaar "&amp;F352</f>
        <v>Aanwending van 40% van het geaccumuleerd regulatoir saldo door te rekenen volgens de tariefmethodologie in het boekjaar 2018</v>
      </c>
      <c r="K354" s="165" t="str">
        <f>"Aanwending van "&amp;IF($B$7="elektriciteit","75%",IF($B$7="gas","40%","FALSE"))&amp;" van het geaccumuleerd regulatoir saldo door te rekenen volgens de tariefmethodologie in het boekjaar "&amp;F352</f>
        <v>Aanwending van 40% van het geaccumuleerd regulatoir saldo door te rekenen volgens de tariefmethodologie in het boekjaar 2018</v>
      </c>
      <c r="L354" s="165" t="str">
        <f>"Totale afbouw over "&amp;F352</f>
        <v>Totale afbouw over 2018</v>
      </c>
      <c r="M354" s="165" t="str">
        <f>"Nog af te bouwen regulatoir saldo einde "&amp;F352</f>
        <v>Nog af te bouwen regulatoir saldo einde 2018</v>
      </c>
      <c r="N354" s="206"/>
      <c r="Q354" s="166"/>
    </row>
    <row r="355" spans="2:17" x14ac:dyDescent="0.2">
      <c r="B355" s="1104">
        <v>2015</v>
      </c>
      <c r="C355" s="1105"/>
      <c r="D355" s="1105"/>
      <c r="E355" s="1106"/>
      <c r="F355" s="275"/>
      <c r="G355" s="176">
        <f>K350</f>
        <v>0</v>
      </c>
      <c r="H355" s="521">
        <f>IF(SIGN(G356*K350)&lt;0,IF(G355&lt;&gt;0,-SIGN(G355)*MIN(ABS(G356),ABS(G355)),0),0)</f>
        <v>0</v>
      </c>
      <c r="I355" s="176">
        <f>+G355+H355</f>
        <v>0</v>
      </c>
      <c r="J355" s="820"/>
      <c r="K355" s="821">
        <f>-MIN(ABS(I355),ABS(J357))*SIGN(I355)</f>
        <v>0</v>
      </c>
      <c r="L355" s="813">
        <f>+K355+H355</f>
        <v>0</v>
      </c>
      <c r="M355" s="176">
        <f>+I355+K355</f>
        <v>0</v>
      </c>
      <c r="N355" s="206"/>
      <c r="Q355" s="166"/>
    </row>
    <row r="356" spans="2:17" x14ac:dyDescent="0.2">
      <c r="B356" s="1104">
        <v>2016</v>
      </c>
      <c r="C356" s="1105"/>
      <c r="D356" s="1105"/>
      <c r="E356" s="1106"/>
      <c r="F356" s="275"/>
      <c r="G356" s="176">
        <f>H164</f>
        <v>0</v>
      </c>
      <c r="H356" s="813">
        <f>IF(SIGN(G356*K350)&lt;0,-H355,0)</f>
        <v>0</v>
      </c>
      <c r="I356" s="176">
        <f>+G356+H356</f>
        <v>0</v>
      </c>
      <c r="J356" s="820"/>
      <c r="K356" s="821">
        <f>-MIN(ABS(I356),ABS(J357-K355))*SIGN(I356)</f>
        <v>0</v>
      </c>
      <c r="L356" s="813">
        <f>+K356+H356</f>
        <v>0</v>
      </c>
      <c r="M356" s="176">
        <f>+I356+K356</f>
        <v>0</v>
      </c>
      <c r="N356" s="206"/>
      <c r="Q356" s="166"/>
    </row>
    <row r="357" spans="2:17" s="273" customFormat="1" x14ac:dyDescent="0.2">
      <c r="G357" s="276">
        <f>SUM(G355:G356)</f>
        <v>0</v>
      </c>
      <c r="H357" s="168">
        <f>SUM(H355:H356)</f>
        <v>0</v>
      </c>
      <c r="I357" s="276">
        <f>SUM(I355:I356)</f>
        <v>0</v>
      </c>
      <c r="J357" s="208">
        <f>-I357*IF($B$7="elektriciteit",0.75,IF($B$7="gas",0.4,"FALSE"))</f>
        <v>0</v>
      </c>
      <c r="K357" s="286">
        <f>SUM(K355:K356)</f>
        <v>0</v>
      </c>
      <c r="L357" s="278"/>
      <c r="M357" s="276">
        <f>SUM(M355:M356)</f>
        <v>0</v>
      </c>
    </row>
    <row r="358" spans="2:17" x14ac:dyDescent="0.2">
      <c r="H358" s="214"/>
      <c r="J358" s="12"/>
      <c r="K358" s="12"/>
      <c r="Q358" s="166"/>
    </row>
    <row r="359" spans="2:17" x14ac:dyDescent="0.2">
      <c r="B359" s="273" t="s">
        <v>139</v>
      </c>
      <c r="F359" s="810">
        <v>2019</v>
      </c>
      <c r="H359" s="214"/>
      <c r="J359" s="12"/>
      <c r="K359" s="12"/>
      <c r="Q359" s="166"/>
    </row>
    <row r="360" spans="2:17" x14ac:dyDescent="0.2">
      <c r="H360" s="214"/>
      <c r="J360" s="12"/>
      <c r="K360" s="12"/>
      <c r="Q360" s="166"/>
    </row>
    <row r="361" spans="2:17" ht="72" customHeight="1" x14ac:dyDescent="0.2">
      <c r="B361" s="1101" t="s">
        <v>140</v>
      </c>
      <c r="C361" s="1102"/>
      <c r="D361" s="1102"/>
      <c r="E361" s="1103"/>
      <c r="F361" s="274"/>
      <c r="G361" s="165" t="str">
        <f>"Nog af te bouwen regulatoir saldo einde "&amp;F359-1</f>
        <v>Nog af te bouwen regulatoir saldo einde 2018</v>
      </c>
      <c r="H361" s="165" t="str">
        <f>"Afbouw oudste openstaande regulatoir saldo vanaf boekjaar "&amp;F359-3&amp;" en vroeger, door aanwending van compensatie met regulatoir saldo ontstaan over boekjaar "&amp;F359-2</f>
        <v>Afbouw oudste openstaande regulatoir saldo vanaf boekjaar 2016 en vroeger, door aanwending van compensatie met regulatoir saldo ontstaan over boekjaar 2017</v>
      </c>
      <c r="I361" s="165" t="str">
        <f>"Nog af te bouwen regulatoir saldo na compensatie einde "&amp;F359-1</f>
        <v>Nog af te bouwen regulatoir saldo na compensatie einde 2018</v>
      </c>
      <c r="J361" s="165" t="str">
        <f>"Aanwending van "&amp;IF($B$7="elektriciteit","75%",IF($B$7="gas","40%","FALSE"))&amp;" van het geaccumuleerd regulatoir saldo door te rekenen volgens de tariefmethodologie in het boekjaar "&amp;F359</f>
        <v>Aanwending van 40% van het geaccumuleerd regulatoir saldo door te rekenen volgens de tariefmethodologie in het boekjaar 2019</v>
      </c>
      <c r="K361" s="165" t="str">
        <f>"Aanwending van "&amp;IF($B$7="elektriciteit","75%",IF($B$7="gas","40%","FALSE"))&amp;" van het geaccumuleerd regulatoir saldo door te rekenen volgens de tariefmethodologie in het boekjaar "&amp;F359</f>
        <v>Aanwending van 40% van het geaccumuleerd regulatoir saldo door te rekenen volgens de tariefmethodologie in het boekjaar 2019</v>
      </c>
      <c r="L361" s="165" t="str">
        <f>"Totale afbouw over "&amp;F359</f>
        <v>Totale afbouw over 2019</v>
      </c>
      <c r="M361" s="165" t="str">
        <f>"Nog af te bouwen regulatoir saldo einde "&amp;F359</f>
        <v>Nog af te bouwen regulatoir saldo einde 2019</v>
      </c>
      <c r="N361" s="206"/>
      <c r="Q361" s="166"/>
    </row>
    <row r="362" spans="2:17" x14ac:dyDescent="0.2">
      <c r="B362" s="1104">
        <v>2015</v>
      </c>
      <c r="C362" s="1105"/>
      <c r="D362" s="1105"/>
      <c r="E362" s="1106"/>
      <c r="F362" s="275"/>
      <c r="G362" s="176">
        <f>+M355</f>
        <v>0</v>
      </c>
      <c r="H362" s="813">
        <f>IF(SIGN(G364*M357)&lt;0,IF(G362&lt;&gt;0,-SIGN(G362)*MIN(ABS(G364),ABS(G362)),0),0)</f>
        <v>0</v>
      </c>
      <c r="I362" s="176">
        <f>+G362+H362</f>
        <v>0</v>
      </c>
      <c r="J362" s="820"/>
      <c r="K362" s="821">
        <f>-MIN(ABS(I362),ABS(J365))*SIGN(I362)</f>
        <v>0</v>
      </c>
      <c r="L362" s="813">
        <f>+K362+H362</f>
        <v>0</v>
      </c>
      <c r="M362" s="176">
        <f>+I362+K362</f>
        <v>0</v>
      </c>
      <c r="N362" s="206"/>
      <c r="Q362" s="166"/>
    </row>
    <row r="363" spans="2:17" x14ac:dyDescent="0.2">
      <c r="B363" s="1104">
        <v>2016</v>
      </c>
      <c r="C363" s="1105"/>
      <c r="D363" s="1105">
        <v>2016</v>
      </c>
      <c r="E363" s="1106"/>
      <c r="F363" s="275"/>
      <c r="G363" s="176">
        <f>+M356</f>
        <v>0</v>
      </c>
      <c r="H363" s="813">
        <f>IF(SIGN(G364*M357)&lt;0,IF(G363&lt;&gt;0,-SIGN(G363)*MIN(ABS(G364-H362),ABS(G363)),0),0)</f>
        <v>0</v>
      </c>
      <c r="I363" s="176">
        <f>+G363+H363</f>
        <v>0</v>
      </c>
      <c r="J363" s="820"/>
      <c r="K363" s="821">
        <f>-MIN(ABS(I363),ABS(J365-K362))*SIGN(I363)</f>
        <v>0</v>
      </c>
      <c r="L363" s="813">
        <f>+K363+H363</f>
        <v>0</v>
      </c>
      <c r="M363" s="176">
        <f>+I363+K363</f>
        <v>0</v>
      </c>
      <c r="N363" s="206"/>
      <c r="Q363" s="166"/>
    </row>
    <row r="364" spans="2:17" x14ac:dyDescent="0.2">
      <c r="B364" s="1104">
        <v>2017</v>
      </c>
      <c r="C364" s="1105"/>
      <c r="D364" s="1105"/>
      <c r="E364" s="1106"/>
      <c r="F364" s="275"/>
      <c r="G364" s="176">
        <f>I165</f>
        <v>0</v>
      </c>
      <c r="H364" s="813">
        <f>IF(SIGN(G364*M357)&lt;0,-SUM(H362:H363),0)</f>
        <v>0</v>
      </c>
      <c r="I364" s="176">
        <f>+G364+H364</f>
        <v>0</v>
      </c>
      <c r="J364" s="820"/>
      <c r="K364" s="821">
        <f>-MIN(ABS(I364),ABS(J365-K362-K363))*SIGN(I364)</f>
        <v>0</v>
      </c>
      <c r="L364" s="813">
        <f>+K364+H364</f>
        <v>0</v>
      </c>
      <c r="M364" s="176">
        <f>+I364+K364</f>
        <v>0</v>
      </c>
      <c r="N364" s="206"/>
      <c r="Q364" s="166"/>
    </row>
    <row r="365" spans="2:17" s="273" customFormat="1" x14ac:dyDescent="0.2">
      <c r="G365" s="276">
        <f>SUM(G362:G364)</f>
        <v>0</v>
      </c>
      <c r="H365" s="168">
        <f>SUM(H362:H364)</f>
        <v>0</v>
      </c>
      <c r="I365" s="276">
        <f>SUM(I362:I364)</f>
        <v>0</v>
      </c>
      <c r="J365" s="208">
        <f>-I365*IF($B$7="elektriciteit",0.75,IF($B$7="gas",0.4,"FALSE"))</f>
        <v>0</v>
      </c>
      <c r="K365" s="286">
        <f>SUM(K362:K364)</f>
        <v>0</v>
      </c>
      <c r="L365" s="528"/>
      <c r="M365" s="276">
        <f>SUM(M362:M364)</f>
        <v>0</v>
      </c>
    </row>
    <row r="366" spans="2:17" x14ac:dyDescent="0.2">
      <c r="H366" s="214"/>
      <c r="J366" s="12"/>
      <c r="K366" s="12"/>
      <c r="Q366" s="166"/>
    </row>
    <row r="367" spans="2:17" x14ac:dyDescent="0.2">
      <c r="B367" s="273" t="s">
        <v>139</v>
      </c>
      <c r="F367" s="810">
        <v>2020</v>
      </c>
      <c r="H367" s="214"/>
      <c r="J367" s="12"/>
      <c r="K367" s="12"/>
      <c r="Q367" s="166"/>
    </row>
    <row r="368" spans="2:17" x14ac:dyDescent="0.2">
      <c r="H368" s="214"/>
      <c r="J368" s="12"/>
      <c r="K368" s="12"/>
      <c r="Q368" s="166"/>
    </row>
    <row r="369" spans="2:17" ht="72.75" customHeight="1" x14ac:dyDescent="0.2">
      <c r="B369" s="1101" t="s">
        <v>140</v>
      </c>
      <c r="C369" s="1102"/>
      <c r="D369" s="1102"/>
      <c r="E369" s="1103"/>
      <c r="F369" s="274"/>
      <c r="G369" s="165" t="str">
        <f>"Nog af te bouwen regulatoir saldo einde "&amp;F367-1</f>
        <v>Nog af te bouwen regulatoir saldo einde 2019</v>
      </c>
      <c r="H369" s="165" t="str">
        <f>"Afbouw oudste openstaande regulatoir saldo vanaf boekjaar "&amp;F367-3&amp;" en vroeger, door aanwending van compensatie met regulatoir saldo ontstaan over boekjaar "&amp;F367-2</f>
        <v>Afbouw oudste openstaande regulatoir saldo vanaf boekjaar 2017 en vroeger, door aanwending van compensatie met regulatoir saldo ontstaan over boekjaar 2018</v>
      </c>
      <c r="I369" s="165" t="str">
        <f>"Nog af te bouwen regulatoir saldo na compensatie einde "&amp;F367-1</f>
        <v>Nog af te bouwen regulatoir saldo na compensatie einde 2019</v>
      </c>
      <c r="J369" s="165" t="str">
        <f>"Aanwending van "&amp;IF($B$7="elektriciteit","75%",IF($B$7="gas","40%","FALSE"))&amp;" van het geaccumuleerd regulatoir saldo door te rekenen volgens de tariefmethodologie in het boekjaar "&amp;F367</f>
        <v>Aanwending van 40% van het geaccumuleerd regulatoir saldo door te rekenen volgens de tariefmethodologie in het boekjaar 2020</v>
      </c>
      <c r="K369" s="165" t="str">
        <f>"Aanwending van "&amp;IF($B$7="elektriciteit","75%",IF($B$7="gas","40%","FALSE"))&amp;" van het geaccumuleerd regulatoir saldo door te rekenen volgens de tariefmethodologie in het boekjaar "&amp;F367</f>
        <v>Aanwending van 40% van het geaccumuleerd regulatoir saldo door te rekenen volgens de tariefmethodologie in het boekjaar 2020</v>
      </c>
      <c r="L369" s="165" t="str">
        <f>"Totale afbouw over "&amp;F367</f>
        <v>Totale afbouw over 2020</v>
      </c>
      <c r="M369" s="165" t="str">
        <f>"Nog af te bouwen regulatoir saldo einde "&amp;F367</f>
        <v>Nog af te bouwen regulatoir saldo einde 2020</v>
      </c>
      <c r="N369" s="206"/>
      <c r="Q369" s="166"/>
    </row>
    <row r="370" spans="2:17" x14ac:dyDescent="0.2">
      <c r="B370" s="1104">
        <v>2015</v>
      </c>
      <c r="C370" s="1105"/>
      <c r="D370" s="1105"/>
      <c r="E370" s="1106"/>
      <c r="F370" s="275"/>
      <c r="G370" s="176">
        <f>+M362</f>
        <v>0</v>
      </c>
      <c r="H370" s="813">
        <f>IF(SIGN(G373*M365)&lt;0,IF(G370&lt;&gt;0,-SIGN(G370)*MIN(ABS(G373),ABS(G370)),0),0)</f>
        <v>0</v>
      </c>
      <c r="I370" s="176">
        <f>+G370+H370</f>
        <v>0</v>
      </c>
      <c r="J370" s="820"/>
      <c r="K370" s="821">
        <f>-MIN(ABS(I370),ABS(J374))*SIGN(I370)</f>
        <v>0</v>
      </c>
      <c r="L370" s="813">
        <f>+K370+H370</f>
        <v>0</v>
      </c>
      <c r="M370" s="176">
        <f>+I370+K370</f>
        <v>0</v>
      </c>
      <c r="N370" s="206"/>
      <c r="Q370" s="166"/>
    </row>
    <row r="371" spans="2:17" x14ac:dyDescent="0.2">
      <c r="B371" s="1104">
        <v>2016</v>
      </c>
      <c r="C371" s="1105"/>
      <c r="D371" s="1105"/>
      <c r="E371" s="1106"/>
      <c r="F371" s="275"/>
      <c r="G371" s="176">
        <f>+M363</f>
        <v>0</v>
      </c>
      <c r="H371" s="813">
        <f>IF(SIGN(G373*M365)&lt;0,IF(G371&lt;&gt;0,-SIGN(G371)*MIN(ABS(G373-H370),ABS(G371)),0),0)</f>
        <v>0</v>
      </c>
      <c r="I371" s="176">
        <f>+G371+H371</f>
        <v>0</v>
      </c>
      <c r="J371" s="820"/>
      <c r="K371" s="821">
        <f>-MIN(ABS(I371),ABS(J374-K370))*SIGN(I371)</f>
        <v>0</v>
      </c>
      <c r="L371" s="813">
        <f>+K371+H371</f>
        <v>0</v>
      </c>
      <c r="M371" s="176">
        <f>+I371+K371</f>
        <v>0</v>
      </c>
      <c r="N371" s="206"/>
      <c r="Q371" s="166"/>
    </row>
    <row r="372" spans="2:17" x14ac:dyDescent="0.2">
      <c r="B372" s="1104">
        <v>2017</v>
      </c>
      <c r="C372" s="1105"/>
      <c r="D372" s="1105">
        <v>2016</v>
      </c>
      <c r="E372" s="1106"/>
      <c r="F372" s="275"/>
      <c r="G372" s="176">
        <f>+M364</f>
        <v>0</v>
      </c>
      <c r="H372" s="813">
        <f>IF(SIGN(G373*M365)&lt;0,IF(G372&lt;&gt;0,-SIGN(G372)*MIN(ABS(G373-H370-H371),ABS(G372)),0),0)</f>
        <v>0</v>
      </c>
      <c r="I372" s="176">
        <f>+G372+H372</f>
        <v>0</v>
      </c>
      <c r="J372" s="820"/>
      <c r="K372" s="821">
        <f>-MIN(ABS(I372),ABS(J374-K370-K371))*SIGN(I372)</f>
        <v>0</v>
      </c>
      <c r="L372" s="813">
        <f>+K372+H372</f>
        <v>0</v>
      </c>
      <c r="M372" s="176">
        <f>+I372+K372</f>
        <v>0</v>
      </c>
      <c r="N372" s="206"/>
      <c r="Q372" s="166"/>
    </row>
    <row r="373" spans="2:17" x14ac:dyDescent="0.2">
      <c r="B373" s="1104">
        <v>2018</v>
      </c>
      <c r="C373" s="1105"/>
      <c r="D373" s="1105"/>
      <c r="E373" s="1106"/>
      <c r="F373" s="275"/>
      <c r="G373" s="176">
        <f>J166</f>
        <v>0</v>
      </c>
      <c r="H373" s="813">
        <f>IF(SIGN(G373*M365)&lt;0,-SUM(H370:H372),0)</f>
        <v>0</v>
      </c>
      <c r="I373" s="176">
        <f>+G373+H373</f>
        <v>0</v>
      </c>
      <c r="J373" s="820"/>
      <c r="K373" s="821">
        <f>-MIN(ABS(I373),ABS(J374-K370-K371-K372))*SIGN(I373)</f>
        <v>0</v>
      </c>
      <c r="L373" s="813">
        <f>+K373+H373</f>
        <v>0</v>
      </c>
      <c r="M373" s="176">
        <f>+I373+K373</f>
        <v>0</v>
      </c>
      <c r="N373" s="206"/>
      <c r="Q373" s="166"/>
    </row>
    <row r="374" spans="2:17" s="273" customFormat="1" x14ac:dyDescent="0.2">
      <c r="G374" s="276">
        <f>SUM(G370:G373)</f>
        <v>0</v>
      </c>
      <c r="H374" s="168">
        <f>SUM(H370:H373)</f>
        <v>0</v>
      </c>
      <c r="I374" s="276">
        <f>SUM(I370:I373)</f>
        <v>0</v>
      </c>
      <c r="J374" s="208">
        <f>-I374*IF($B$7="elektriciteit",0.75,IF($B$7="gas",0.4,"FALSE"))</f>
        <v>0</v>
      </c>
      <c r="K374" s="286">
        <f>SUM(K370:K373)</f>
        <v>0</v>
      </c>
      <c r="L374" s="168"/>
      <c r="M374" s="276">
        <f>SUM(M370:M373)</f>
        <v>0</v>
      </c>
    </row>
    <row r="375" spans="2:17" x14ac:dyDescent="0.2">
      <c r="H375" s="214"/>
      <c r="Q375" s="166"/>
    </row>
    <row r="376" spans="2:17" x14ac:dyDescent="0.2">
      <c r="B376" s="273" t="s">
        <v>139</v>
      </c>
      <c r="F376" s="810">
        <v>2021</v>
      </c>
      <c r="H376" s="214"/>
      <c r="Q376" s="166"/>
    </row>
    <row r="377" spans="2:17" x14ac:dyDescent="0.2">
      <c r="H377" s="214"/>
      <c r="Q377" s="166"/>
    </row>
    <row r="378" spans="2:17" ht="78" customHeight="1" x14ac:dyDescent="0.2">
      <c r="B378" s="1101" t="s">
        <v>140</v>
      </c>
      <c r="C378" s="1102"/>
      <c r="D378" s="1102"/>
      <c r="E378" s="1103"/>
      <c r="F378" s="274"/>
      <c r="G378" s="165" t="str">
        <f>"Nog af te bouwen regulatoir saldo einde "&amp;F376-1</f>
        <v>Nog af te bouwen regulatoir saldo einde 2020</v>
      </c>
      <c r="H378" s="165" t="str">
        <f>"50% van het oorspronkelijk regulatoir saldo door te rekenen volgens de tariefmethodologie in het boekjaar "&amp;F376</f>
        <v>50% van het oorspronkelijk regulatoir saldo door te rekenen volgens de tariefmethodologie in het boekjaar 2021</v>
      </c>
      <c r="I378" s="165" t="str">
        <f>"Nog af te bouwen regulatoir saldo einde "&amp;F376</f>
        <v>Nog af te bouwen regulatoir saldo einde 2021</v>
      </c>
      <c r="J378" s="206"/>
      <c r="Q378" s="166"/>
    </row>
    <row r="379" spans="2:17" x14ac:dyDescent="0.2">
      <c r="B379" s="1104">
        <v>2015</v>
      </c>
      <c r="C379" s="1105"/>
      <c r="D379" s="1105"/>
      <c r="E379" s="1106"/>
      <c r="F379" s="275"/>
      <c r="G379" s="176">
        <f>M370</f>
        <v>0</v>
      </c>
      <c r="H379" s="521">
        <f>-G379*0.5</f>
        <v>0</v>
      </c>
      <c r="I379" s="176">
        <f>+G379+H379</f>
        <v>0</v>
      </c>
      <c r="J379" s="206"/>
      <c r="Q379" s="166"/>
    </row>
    <row r="380" spans="2:17" x14ac:dyDescent="0.2">
      <c r="B380" s="1104">
        <v>2016</v>
      </c>
      <c r="C380" s="1105"/>
      <c r="D380" s="1105"/>
      <c r="E380" s="1106"/>
      <c r="F380" s="275"/>
      <c r="G380" s="176">
        <f t="shared" ref="G380:G382" si="49">M371</f>
        <v>0</v>
      </c>
      <c r="H380" s="521">
        <f t="shared" ref="H380:H383" si="50">-G380*0.5</f>
        <v>0</v>
      </c>
      <c r="I380" s="176">
        <f t="shared" ref="I380:I383" si="51">+G380+H380</f>
        <v>0</v>
      </c>
      <c r="J380" s="206"/>
      <c r="Q380" s="166"/>
    </row>
    <row r="381" spans="2:17" x14ac:dyDescent="0.2">
      <c r="B381" s="1104">
        <v>2017</v>
      </c>
      <c r="C381" s="1105"/>
      <c r="D381" s="1105">
        <v>2016</v>
      </c>
      <c r="E381" s="1106"/>
      <c r="F381" s="275"/>
      <c r="G381" s="176">
        <f t="shared" si="49"/>
        <v>0</v>
      </c>
      <c r="H381" s="521">
        <f t="shared" si="50"/>
        <v>0</v>
      </c>
      <c r="I381" s="176">
        <f t="shared" si="51"/>
        <v>0</v>
      </c>
      <c r="J381" s="206"/>
      <c r="Q381" s="166"/>
    </row>
    <row r="382" spans="2:17" x14ac:dyDescent="0.2">
      <c r="B382" s="1104">
        <v>2018</v>
      </c>
      <c r="C382" s="1105"/>
      <c r="D382" s="1105"/>
      <c r="E382" s="1106"/>
      <c r="F382" s="275"/>
      <c r="G382" s="176">
        <f t="shared" si="49"/>
        <v>0</v>
      </c>
      <c r="H382" s="521">
        <f t="shared" si="50"/>
        <v>0</v>
      </c>
      <c r="I382" s="176">
        <f t="shared" si="51"/>
        <v>0</v>
      </c>
      <c r="J382" s="206"/>
      <c r="Q382" s="166"/>
    </row>
    <row r="383" spans="2:17" x14ac:dyDescent="0.2">
      <c r="B383" s="1104">
        <v>2019</v>
      </c>
      <c r="C383" s="1105"/>
      <c r="D383" s="1105"/>
      <c r="E383" s="1106"/>
      <c r="F383" s="275"/>
      <c r="G383" s="176">
        <f>K167</f>
        <v>0</v>
      </c>
      <c r="H383" s="521">
        <f t="shared" si="50"/>
        <v>0</v>
      </c>
      <c r="I383" s="176">
        <f t="shared" si="51"/>
        <v>0</v>
      </c>
      <c r="J383" s="206"/>
      <c r="Q383" s="166"/>
    </row>
    <row r="384" spans="2:17" s="273" customFormat="1" x14ac:dyDescent="0.2">
      <c r="G384" s="276">
        <f>SUM(G379:G383)</f>
        <v>0</v>
      </c>
      <c r="H384" s="168">
        <f>SUM(H379:H383)</f>
        <v>0</v>
      </c>
      <c r="I384" s="276">
        <f>SUM(I379:I383)</f>
        <v>0</v>
      </c>
    </row>
    <row r="385" spans="2:17" x14ac:dyDescent="0.2">
      <c r="H385" s="214"/>
      <c r="Q385" s="166"/>
    </row>
    <row r="386" spans="2:17" x14ac:dyDescent="0.2">
      <c r="B386" s="273" t="s">
        <v>139</v>
      </c>
      <c r="F386" s="810">
        <v>2022</v>
      </c>
      <c r="H386" s="214"/>
      <c r="Q386" s="166"/>
    </row>
    <row r="387" spans="2:17" x14ac:dyDescent="0.2">
      <c r="H387" s="214"/>
      <c r="Q387" s="166"/>
    </row>
    <row r="388" spans="2:17" ht="78" customHeight="1" x14ac:dyDescent="0.2">
      <c r="B388" s="1101" t="s">
        <v>140</v>
      </c>
      <c r="C388" s="1102"/>
      <c r="D388" s="1102"/>
      <c r="E388" s="1103"/>
      <c r="F388" s="274"/>
      <c r="G388" s="165" t="str">
        <f>"Nog af te bouwen regulatoir saldo einde "&amp;F386-1</f>
        <v>Nog af te bouwen regulatoir saldo einde 2021</v>
      </c>
      <c r="H388" s="165" t="str">
        <f>"50% van het oorspronkelijk regulatoir saldo door te rekenen volgens de tariefmethodologie in het boekjaar "&amp;F386</f>
        <v>50% van het oorspronkelijk regulatoir saldo door te rekenen volgens de tariefmethodologie in het boekjaar 2022</v>
      </c>
      <c r="I388" s="165" t="str">
        <f>"Nog af te bouwen regulatoir saldo einde "&amp;F386</f>
        <v>Nog af te bouwen regulatoir saldo einde 2022</v>
      </c>
      <c r="J388" s="206"/>
      <c r="Q388" s="166"/>
    </row>
    <row r="389" spans="2:17" x14ac:dyDescent="0.2">
      <c r="B389" s="1104">
        <v>2015</v>
      </c>
      <c r="C389" s="1105"/>
      <c r="D389" s="1105"/>
      <c r="E389" s="1106"/>
      <c r="F389" s="275"/>
      <c r="G389" s="176">
        <f>+I379</f>
        <v>0</v>
      </c>
      <c r="H389" s="521">
        <f>-G379*0.5</f>
        <v>0</v>
      </c>
      <c r="I389" s="176">
        <f>+G389+H389</f>
        <v>0</v>
      </c>
      <c r="J389" s="206"/>
      <c r="Q389" s="166"/>
    </row>
    <row r="390" spans="2:17" x14ac:dyDescent="0.2">
      <c r="B390" s="1104">
        <v>2016</v>
      </c>
      <c r="C390" s="1105"/>
      <c r="D390" s="1105"/>
      <c r="E390" s="1106"/>
      <c r="F390" s="275"/>
      <c r="G390" s="176">
        <f t="shared" ref="G390:G393" si="52">+I380</f>
        <v>0</v>
      </c>
      <c r="H390" s="521">
        <f t="shared" ref="H390:H393" si="53">-G380*0.5</f>
        <v>0</v>
      </c>
      <c r="I390" s="176">
        <f t="shared" ref="I390:I394" si="54">+G390+H390</f>
        <v>0</v>
      </c>
      <c r="J390" s="206"/>
      <c r="Q390" s="166"/>
    </row>
    <row r="391" spans="2:17" x14ac:dyDescent="0.2">
      <c r="B391" s="1104">
        <v>2017</v>
      </c>
      <c r="C391" s="1105"/>
      <c r="D391" s="1105">
        <v>2016</v>
      </c>
      <c r="E391" s="1106"/>
      <c r="F391" s="275"/>
      <c r="G391" s="176">
        <f t="shared" si="52"/>
        <v>0</v>
      </c>
      <c r="H391" s="521">
        <f t="shared" si="53"/>
        <v>0</v>
      </c>
      <c r="I391" s="176">
        <f t="shared" si="54"/>
        <v>0</v>
      </c>
      <c r="J391" s="206"/>
      <c r="Q391" s="166"/>
    </row>
    <row r="392" spans="2:17" x14ac:dyDescent="0.2">
      <c r="B392" s="1104">
        <v>2018</v>
      </c>
      <c r="C392" s="1105"/>
      <c r="D392" s="1105"/>
      <c r="E392" s="1106"/>
      <c r="F392" s="275"/>
      <c r="G392" s="176">
        <f t="shared" si="52"/>
        <v>0</v>
      </c>
      <c r="H392" s="521">
        <f t="shared" si="53"/>
        <v>0</v>
      </c>
      <c r="I392" s="176">
        <f t="shared" si="54"/>
        <v>0</v>
      </c>
      <c r="J392" s="206"/>
      <c r="Q392" s="166"/>
    </row>
    <row r="393" spans="2:17" x14ac:dyDescent="0.2">
      <c r="B393" s="1104">
        <v>2019</v>
      </c>
      <c r="C393" s="1105"/>
      <c r="D393" s="1105"/>
      <c r="E393" s="1106"/>
      <c r="F393" s="275"/>
      <c r="G393" s="176">
        <f t="shared" si="52"/>
        <v>0</v>
      </c>
      <c r="H393" s="521">
        <f t="shared" si="53"/>
        <v>0</v>
      </c>
      <c r="I393" s="176">
        <f t="shared" si="54"/>
        <v>0</v>
      </c>
      <c r="J393" s="206"/>
      <c r="Q393" s="166"/>
    </row>
    <row r="394" spans="2:17" x14ac:dyDescent="0.2">
      <c r="B394" s="1104">
        <v>2020</v>
      </c>
      <c r="C394" s="1105"/>
      <c r="D394" s="1105"/>
      <c r="E394" s="1106"/>
      <c r="F394" s="275"/>
      <c r="G394" s="176">
        <f>L168</f>
        <v>0</v>
      </c>
      <c r="H394" s="521">
        <f t="shared" ref="H394" si="55">-G394*0.5</f>
        <v>0</v>
      </c>
      <c r="I394" s="176">
        <f t="shared" si="54"/>
        <v>0</v>
      </c>
      <c r="J394" s="206"/>
      <c r="Q394" s="166"/>
    </row>
    <row r="395" spans="2:17" s="273" customFormat="1" x14ac:dyDescent="0.2">
      <c r="G395" s="276">
        <f>SUM(G389:G394)</f>
        <v>0</v>
      </c>
      <c r="H395" s="168">
        <f t="shared" ref="H395:I395" si="56">SUM(H389:H394)</f>
        <v>0</v>
      </c>
      <c r="I395" s="276">
        <f t="shared" si="56"/>
        <v>0</v>
      </c>
    </row>
    <row r="396" spans="2:17" x14ac:dyDescent="0.2">
      <c r="H396" s="214"/>
      <c r="Q396" s="166"/>
    </row>
    <row r="397" spans="2:17" x14ac:dyDescent="0.2">
      <c r="B397" s="273" t="s">
        <v>139</v>
      </c>
      <c r="F397" s="810">
        <v>2023</v>
      </c>
      <c r="H397" s="214"/>
      <c r="Q397" s="166"/>
    </row>
    <row r="398" spans="2:17" x14ac:dyDescent="0.2">
      <c r="H398" s="214"/>
      <c r="Q398" s="166"/>
    </row>
    <row r="399" spans="2:17" ht="78" customHeight="1" x14ac:dyDescent="0.2">
      <c r="B399" s="1101" t="s">
        <v>140</v>
      </c>
      <c r="C399" s="1102"/>
      <c r="D399" s="1102"/>
      <c r="E399" s="1103"/>
      <c r="F399" s="274"/>
      <c r="G399" s="165" t="str">
        <f>"Nog af te bouwen regulatoir saldo einde "&amp;F397-1</f>
        <v>Nog af te bouwen regulatoir saldo einde 2022</v>
      </c>
      <c r="H399" s="165" t="str">
        <f>"50% van het oorspronkelijk regulatoir saldo door te rekenen volgens de tariefmethodologie in het boekjaar "&amp;F397</f>
        <v>50% van het oorspronkelijk regulatoir saldo door te rekenen volgens de tariefmethodologie in het boekjaar 2023</v>
      </c>
      <c r="I399" s="165" t="str">
        <f>"Nog af te bouwen regulatoir saldo einde "&amp;F397</f>
        <v>Nog af te bouwen regulatoir saldo einde 2023</v>
      </c>
      <c r="J399" s="206"/>
      <c r="Q399" s="166"/>
    </row>
    <row r="400" spans="2:17" x14ac:dyDescent="0.2">
      <c r="B400" s="1104">
        <v>2020</v>
      </c>
      <c r="C400" s="1105"/>
      <c r="D400" s="1105"/>
      <c r="E400" s="1106"/>
      <c r="F400" s="275"/>
      <c r="G400" s="176">
        <f>+I394</f>
        <v>0</v>
      </c>
      <c r="H400" s="521">
        <f>-G394*0.5</f>
        <v>0</v>
      </c>
      <c r="I400" s="176">
        <f t="shared" ref="I400:I401" si="57">+G400+H400</f>
        <v>0</v>
      </c>
      <c r="J400" s="206"/>
      <c r="Q400" s="166"/>
    </row>
    <row r="401" spans="2:17" x14ac:dyDescent="0.2">
      <c r="B401" s="1104">
        <v>2021</v>
      </c>
      <c r="C401" s="1105"/>
      <c r="D401" s="1105"/>
      <c r="E401" s="1106"/>
      <c r="F401" s="275"/>
      <c r="G401" s="176">
        <f>M169</f>
        <v>0</v>
      </c>
      <c r="H401" s="521">
        <f t="shared" ref="H401" si="58">-G401*0.5</f>
        <v>0</v>
      </c>
      <c r="I401" s="176">
        <f t="shared" si="57"/>
        <v>0</v>
      </c>
      <c r="J401" s="206"/>
      <c r="Q401" s="166"/>
    </row>
    <row r="402" spans="2:17" s="273" customFormat="1" x14ac:dyDescent="0.2">
      <c r="G402" s="276">
        <f>SUM(G400:G401)</f>
        <v>0</v>
      </c>
      <c r="H402" s="168">
        <f>SUM(H400:H401)</f>
        <v>0</v>
      </c>
      <c r="I402" s="276">
        <f>SUM(I400:I401)</f>
        <v>0</v>
      </c>
    </row>
    <row r="403" spans="2:17" x14ac:dyDescent="0.2">
      <c r="H403" s="214"/>
      <c r="Q403" s="166"/>
    </row>
    <row r="404" spans="2:17" x14ac:dyDescent="0.2">
      <c r="B404" s="273" t="s">
        <v>139</v>
      </c>
      <c r="F404" s="810">
        <v>2024</v>
      </c>
      <c r="H404" s="214"/>
      <c r="Q404" s="166"/>
    </row>
    <row r="405" spans="2:17" x14ac:dyDescent="0.2">
      <c r="H405" s="214"/>
      <c r="Q405" s="166"/>
    </row>
    <row r="406" spans="2:17" ht="78" customHeight="1" x14ac:dyDescent="0.2">
      <c r="B406" s="1101" t="s">
        <v>140</v>
      </c>
      <c r="C406" s="1102"/>
      <c r="D406" s="1102"/>
      <c r="E406" s="1103"/>
      <c r="F406" s="274"/>
      <c r="G406" s="165" t="str">
        <f>"Nog af te bouwen regulatoir saldo einde "&amp;F404-1</f>
        <v>Nog af te bouwen regulatoir saldo einde 2023</v>
      </c>
      <c r="H406" s="165" t="str">
        <f>"50% van het oorspronkelijk regulatoir saldo door te rekenen volgens de tariefmethodologie in het boekjaar "&amp;F404</f>
        <v>50% van het oorspronkelijk regulatoir saldo door te rekenen volgens de tariefmethodologie in het boekjaar 2024</v>
      </c>
      <c r="I406" s="165" t="str">
        <f>"Nog af te bouwen regulatoir saldo einde "&amp;F404</f>
        <v>Nog af te bouwen regulatoir saldo einde 2024</v>
      </c>
      <c r="J406" s="206"/>
      <c r="Q406" s="166"/>
    </row>
    <row r="407" spans="2:17" x14ac:dyDescent="0.2">
      <c r="B407" s="1104">
        <v>2021</v>
      </c>
      <c r="C407" s="1105"/>
      <c r="D407" s="1105"/>
      <c r="E407" s="1106"/>
      <c r="F407" s="275"/>
      <c r="G407" s="176">
        <f>+I401</f>
        <v>0</v>
      </c>
      <c r="H407" s="521">
        <f>-G401*0.5</f>
        <v>0</v>
      </c>
      <c r="I407" s="176">
        <f t="shared" ref="I407:I408" si="59">+G407+H407</f>
        <v>0</v>
      </c>
      <c r="J407" s="206"/>
      <c r="Q407" s="166"/>
    </row>
    <row r="408" spans="2:17" x14ac:dyDescent="0.2">
      <c r="B408" s="1104">
        <v>2022</v>
      </c>
      <c r="C408" s="1105"/>
      <c r="D408" s="1105"/>
      <c r="E408" s="1106"/>
      <c r="F408" s="275"/>
      <c r="G408" s="176">
        <f>N170</f>
        <v>0</v>
      </c>
      <c r="H408" s="521">
        <f t="shared" ref="H408" si="60">-G408*0.5</f>
        <v>0</v>
      </c>
      <c r="I408" s="176">
        <f t="shared" si="59"/>
        <v>0</v>
      </c>
      <c r="J408" s="206"/>
      <c r="Q408" s="166"/>
    </row>
    <row r="409" spans="2:17" s="273" customFormat="1" x14ac:dyDescent="0.2">
      <c r="G409" s="276">
        <f>SUM(G407:G408)</f>
        <v>0</v>
      </c>
      <c r="H409" s="168">
        <f>SUM(H407:H408)</f>
        <v>0</v>
      </c>
      <c r="I409" s="276">
        <f>SUM(I407:I408)</f>
        <v>0</v>
      </c>
    </row>
    <row r="410" spans="2:17" x14ac:dyDescent="0.2">
      <c r="H410" s="214"/>
      <c r="Q410" s="166"/>
    </row>
    <row r="411" spans="2:17" x14ac:dyDescent="0.2">
      <c r="B411" s="273" t="s">
        <v>66</v>
      </c>
      <c r="H411" s="214"/>
      <c r="Q411" s="166"/>
    </row>
    <row r="412" spans="2:17" x14ac:dyDescent="0.2">
      <c r="B412" s="273" t="s">
        <v>141</v>
      </c>
      <c r="C412" s="216"/>
      <c r="D412" s="216"/>
      <c r="E412" s="216"/>
      <c r="H412" s="214"/>
      <c r="Q412" s="166"/>
    </row>
    <row r="413" spans="2:17" x14ac:dyDescent="0.2">
      <c r="B413" s="273"/>
      <c r="C413" s="216"/>
      <c r="D413" s="216"/>
      <c r="E413" s="216"/>
      <c r="H413" s="214"/>
      <c r="Q413" s="166"/>
    </row>
    <row r="414" spans="2:17" x14ac:dyDescent="0.2">
      <c r="B414" s="275">
        <v>2021</v>
      </c>
      <c r="C414" s="279">
        <f>+H384</f>
        <v>0</v>
      </c>
      <c r="D414" s="216"/>
      <c r="E414" s="216"/>
      <c r="H414" s="214"/>
      <c r="Q414" s="166"/>
    </row>
    <row r="415" spans="2:17" x14ac:dyDescent="0.2">
      <c r="B415" s="275">
        <v>2022</v>
      </c>
      <c r="C415" s="279">
        <f>+H395</f>
        <v>0</v>
      </c>
      <c r="D415" s="216"/>
      <c r="E415" s="216"/>
      <c r="H415" s="214"/>
      <c r="Q415" s="166"/>
    </row>
    <row r="416" spans="2:17" x14ac:dyDescent="0.2">
      <c r="B416" s="275">
        <v>2023</v>
      </c>
      <c r="C416" s="279">
        <f>+H402</f>
        <v>0</v>
      </c>
      <c r="D416" s="216"/>
      <c r="E416" s="216"/>
      <c r="H416" s="214"/>
      <c r="Q416" s="166"/>
    </row>
    <row r="417" spans="2:17" x14ac:dyDescent="0.2">
      <c r="B417" s="275">
        <v>2024</v>
      </c>
      <c r="C417" s="279">
        <f>+H409</f>
        <v>0</v>
      </c>
      <c r="D417" s="216"/>
      <c r="E417" s="216"/>
      <c r="H417" s="214"/>
      <c r="Q417" s="166"/>
    </row>
    <row r="418" spans="2:17" x14ac:dyDescent="0.2">
      <c r="H418" s="214"/>
      <c r="Q418" s="166"/>
    </row>
    <row r="419" spans="2:17" x14ac:dyDescent="0.2">
      <c r="H419" s="214"/>
      <c r="Q419" s="166"/>
    </row>
    <row r="420" spans="2:17" x14ac:dyDescent="0.2">
      <c r="B420" s="321" t="s">
        <v>350</v>
      </c>
      <c r="C420" s="322"/>
      <c r="D420" s="322"/>
      <c r="E420" s="322"/>
      <c r="F420" s="323"/>
      <c r="G420" s="323"/>
      <c r="H420" s="527"/>
      <c r="I420" s="323"/>
      <c r="J420" s="323"/>
      <c r="K420" s="323"/>
      <c r="L420" s="323"/>
      <c r="M420" s="323"/>
      <c r="Q420" s="166"/>
    </row>
    <row r="421" spans="2:17" x14ac:dyDescent="0.2">
      <c r="H421" s="214"/>
      <c r="Q421" s="166"/>
    </row>
    <row r="422" spans="2:17" x14ac:dyDescent="0.2">
      <c r="B422" s="273" t="s">
        <v>139</v>
      </c>
      <c r="F422" s="810">
        <v>2017</v>
      </c>
      <c r="H422" s="214"/>
      <c r="Q422" s="166"/>
    </row>
    <row r="423" spans="2:17" x14ac:dyDescent="0.2">
      <c r="H423" s="214"/>
      <c r="L423" s="206"/>
      <c r="Q423" s="166"/>
    </row>
    <row r="424" spans="2:17" ht="82.5" customHeight="1" x14ac:dyDescent="0.2">
      <c r="B424" s="1101" t="s">
        <v>140</v>
      </c>
      <c r="C424" s="1102"/>
      <c r="D424" s="1102"/>
      <c r="E424" s="1103"/>
      <c r="F424" s="274"/>
      <c r="G424" s="165" t="str">
        <f>"Nog af te bouwen regulatoir saldo einde "&amp;F422-1</f>
        <v>Nog af te bouwen regulatoir saldo einde 2016</v>
      </c>
      <c r="H424" s="165" t="str">
        <f>"Afbouw oudste openstaande regulatoir saldo vanaf boekjaar "&amp;F422-3&amp;" en vroeger, door aanwending van compensatie met regulatoir saldo ontstaan over boekjaar "&amp;F422-2</f>
        <v>Afbouw oudste openstaande regulatoir saldo vanaf boekjaar 2014 en vroeger, door aanwending van compensatie met regulatoir saldo ontstaan over boekjaar 2015</v>
      </c>
      <c r="I424" s="165" t="str">
        <f>"Nog af te bouwen regulatoir saldo na compensatie einde "&amp;F422-1</f>
        <v>Nog af te bouwen regulatoir saldo na compensatie einde 2016</v>
      </c>
      <c r="J424" s="165" t="str">
        <f>"Aanwending van "&amp;IF($B$7="elektriciteit","75%",IF($B$7="gas","40%","FALSE"))&amp;" van het geaccumuleerd regulatoir saldo door te rekenen volgens de tariefmethodologie in het boekjaar "&amp;F422</f>
        <v>Aanwending van 40% van het geaccumuleerd regulatoir saldo door te rekenen volgens de tariefmethodologie in het boekjaar 2017</v>
      </c>
      <c r="K424" s="165" t="str">
        <f>"Nog af te bouwen regulatoir saldo einde "&amp;F422</f>
        <v>Nog af te bouwen regulatoir saldo einde 2017</v>
      </c>
      <c r="L424" s="206"/>
      <c r="Q424" s="166"/>
    </row>
    <row r="425" spans="2:17" x14ac:dyDescent="0.2">
      <c r="B425" s="1104">
        <v>2015</v>
      </c>
      <c r="C425" s="1105"/>
      <c r="D425" s="1105"/>
      <c r="E425" s="1106"/>
      <c r="F425" s="275"/>
      <c r="G425" s="176">
        <f>+G174</f>
        <v>0</v>
      </c>
      <c r="H425" s="521">
        <v>0</v>
      </c>
      <c r="I425" s="176">
        <f>+G425+H425</f>
        <v>0</v>
      </c>
      <c r="J425" s="819">
        <f>-I425*IF($B$7="elektriciteit",0.75,IF($B$7="gas",0.4,"FALSE"))</f>
        <v>0</v>
      </c>
      <c r="K425" s="811">
        <f>+J425+G425</f>
        <v>0</v>
      </c>
      <c r="L425" s="206"/>
      <c r="Q425" s="166"/>
    </row>
    <row r="426" spans="2:17" x14ac:dyDescent="0.2">
      <c r="H426" s="214"/>
      <c r="L426" s="206"/>
      <c r="Q426" s="166"/>
    </row>
    <row r="427" spans="2:17" x14ac:dyDescent="0.2">
      <c r="B427" s="273" t="s">
        <v>139</v>
      </c>
      <c r="F427" s="810">
        <v>2018</v>
      </c>
      <c r="H427" s="214"/>
      <c r="Q427" s="166"/>
    </row>
    <row r="428" spans="2:17" x14ac:dyDescent="0.2">
      <c r="H428" s="214"/>
      <c r="Q428" s="166"/>
    </row>
    <row r="429" spans="2:17" ht="69.75" customHeight="1" x14ac:dyDescent="0.2">
      <c r="B429" s="1101" t="s">
        <v>140</v>
      </c>
      <c r="C429" s="1102"/>
      <c r="D429" s="1102"/>
      <c r="E429" s="1103"/>
      <c r="F429" s="274"/>
      <c r="G429" s="165" t="str">
        <f>"Nog af te bouwen regulatoir saldo einde "&amp;F427-1</f>
        <v>Nog af te bouwen regulatoir saldo einde 2017</v>
      </c>
      <c r="H429" s="165" t="str">
        <f>"Afbouw oudste openstaande regulatoir saldo vanaf boekjaar "&amp;F427-3&amp;" en vroeger, door aanwending van compensatie met regulatoir saldo ontstaan over boekjaar "&amp;F427-2</f>
        <v>Afbouw oudste openstaande regulatoir saldo vanaf boekjaar 2015 en vroeger, door aanwending van compensatie met regulatoir saldo ontstaan over boekjaar 2016</v>
      </c>
      <c r="I429" s="165" t="str">
        <f>"Nog af te bouwen regulatoir saldo na compensatie einde "&amp;F427-1</f>
        <v>Nog af te bouwen regulatoir saldo na compensatie einde 2017</v>
      </c>
      <c r="J429" s="165" t="str">
        <f>"Aanwending van "&amp;IF($B$7="elektriciteit","75%",IF($B$7="gas","40%","FALSE"))&amp;" van het geaccumuleerd regulatoir saldo door te rekenen volgens de tariefmethodologie in het boekjaar "&amp;F427</f>
        <v>Aanwending van 40% van het geaccumuleerd regulatoir saldo door te rekenen volgens de tariefmethodologie in het boekjaar 2018</v>
      </c>
      <c r="K429" s="165" t="str">
        <f>"Aanwending van "&amp;IF($B$7="elektriciteit","75%",IF($B$7="gas","40%","FALSE"))&amp;" van het geaccumuleerd regulatoir saldo door te rekenen volgens de tariefmethodologie in het boekjaar "&amp;F427</f>
        <v>Aanwending van 40% van het geaccumuleerd regulatoir saldo door te rekenen volgens de tariefmethodologie in het boekjaar 2018</v>
      </c>
      <c r="L429" s="165" t="str">
        <f>"Totale afbouw over "&amp;F427</f>
        <v>Totale afbouw over 2018</v>
      </c>
      <c r="M429" s="165" t="str">
        <f>"Nog af te bouwen regulatoir saldo einde "&amp;F427</f>
        <v>Nog af te bouwen regulatoir saldo einde 2018</v>
      </c>
      <c r="N429" s="206"/>
      <c r="Q429" s="166"/>
    </row>
    <row r="430" spans="2:17" x14ac:dyDescent="0.2">
      <c r="B430" s="1104">
        <v>2015</v>
      </c>
      <c r="C430" s="1105"/>
      <c r="D430" s="1105"/>
      <c r="E430" s="1106"/>
      <c r="F430" s="275"/>
      <c r="G430" s="176">
        <f>K425</f>
        <v>0</v>
      </c>
      <c r="H430" s="521">
        <f>IF(SIGN(G431*K425)&lt;0,IF(G430&lt;&gt;0,-SIGN(G430)*MIN(ABS(G431),ABS(G430)),0),0)</f>
        <v>0</v>
      </c>
      <c r="I430" s="176">
        <f>+G430+H430</f>
        <v>0</v>
      </c>
      <c r="J430" s="820"/>
      <c r="K430" s="821">
        <f>-MIN(ABS(I430),ABS(J432))*SIGN(I430)</f>
        <v>0</v>
      </c>
      <c r="L430" s="813">
        <f>+K430+H430</f>
        <v>0</v>
      </c>
      <c r="M430" s="176">
        <f>+I430+K430</f>
        <v>0</v>
      </c>
      <c r="N430" s="206"/>
      <c r="Q430" s="166"/>
    </row>
    <row r="431" spans="2:17" x14ac:dyDescent="0.2">
      <c r="B431" s="1104">
        <v>2016</v>
      </c>
      <c r="C431" s="1105"/>
      <c r="D431" s="1105"/>
      <c r="E431" s="1106"/>
      <c r="F431" s="275"/>
      <c r="G431" s="176">
        <f>+H175</f>
        <v>0</v>
      </c>
      <c r="H431" s="813">
        <f>IF(SIGN(G431*K425)&lt;0,-H430,0)</f>
        <v>0</v>
      </c>
      <c r="I431" s="176">
        <f>+G431+H431</f>
        <v>0</v>
      </c>
      <c r="J431" s="820"/>
      <c r="K431" s="821">
        <f>-MIN(ABS(I431),ABS(J432-K430))*SIGN(I431)</f>
        <v>0</v>
      </c>
      <c r="L431" s="813">
        <f>+K431+H431</f>
        <v>0</v>
      </c>
      <c r="M431" s="176">
        <f>+I431+K431</f>
        <v>0</v>
      </c>
      <c r="N431" s="206"/>
      <c r="Q431" s="166"/>
    </row>
    <row r="432" spans="2:17" s="273" customFormat="1" x14ac:dyDescent="0.2">
      <c r="G432" s="276">
        <f>SUM(G430:G431)</f>
        <v>0</v>
      </c>
      <c r="H432" s="168">
        <f>SUM(H430:H431)</f>
        <v>0</v>
      </c>
      <c r="I432" s="276">
        <f>SUM(I430:I431)</f>
        <v>0</v>
      </c>
      <c r="J432" s="208">
        <f>-I432*IF($B$7="elektriciteit",0.75,IF($B$7="gas",0.4,"FALSE"))</f>
        <v>0</v>
      </c>
      <c r="K432" s="286">
        <f>SUM(K430:K431)</f>
        <v>0</v>
      </c>
      <c r="L432" s="528"/>
      <c r="M432" s="276">
        <f>SUM(M430:M431)</f>
        <v>0</v>
      </c>
    </row>
    <row r="433" spans="2:17" x14ac:dyDescent="0.2">
      <c r="H433" s="214"/>
      <c r="J433" s="12"/>
      <c r="K433" s="12"/>
      <c r="Q433" s="166"/>
    </row>
    <row r="434" spans="2:17" x14ac:dyDescent="0.2">
      <c r="B434" s="273" t="s">
        <v>139</v>
      </c>
      <c r="F434" s="810">
        <v>2019</v>
      </c>
      <c r="H434" s="214"/>
      <c r="J434" s="12"/>
      <c r="K434" s="12"/>
      <c r="Q434" s="166"/>
    </row>
    <row r="435" spans="2:17" x14ac:dyDescent="0.2">
      <c r="H435" s="214"/>
      <c r="J435" s="12"/>
      <c r="K435" s="12"/>
      <c r="Q435" s="166"/>
    </row>
    <row r="436" spans="2:17" ht="75.75" customHeight="1" x14ac:dyDescent="0.2">
      <c r="B436" s="1101" t="s">
        <v>140</v>
      </c>
      <c r="C436" s="1102"/>
      <c r="D436" s="1102"/>
      <c r="E436" s="1103"/>
      <c r="F436" s="274"/>
      <c r="G436" s="165" t="str">
        <f>"Nog af te bouwen regulatoir saldo einde "&amp;F434-1</f>
        <v>Nog af te bouwen regulatoir saldo einde 2018</v>
      </c>
      <c r="H436" s="165" t="str">
        <f>"Afbouw oudste openstaande regulatoir saldo vanaf boekjaar "&amp;F434-3&amp;" en vroeger, door aanwending van compensatie met regulatoir saldo ontstaan over boekjaar "&amp;F434-2</f>
        <v>Afbouw oudste openstaande regulatoir saldo vanaf boekjaar 2016 en vroeger, door aanwending van compensatie met regulatoir saldo ontstaan over boekjaar 2017</v>
      </c>
      <c r="I436" s="165" t="str">
        <f>"Nog af te bouwen regulatoir saldo na compensatie einde "&amp;F434-1</f>
        <v>Nog af te bouwen regulatoir saldo na compensatie einde 2018</v>
      </c>
      <c r="J436" s="165" t="str">
        <f>"Aanwending van "&amp;IF($B$7="elektriciteit","75%",IF($B$7="gas","40%","FALSE"))&amp;" van het geaccumuleerd regulatoir saldo door te rekenen volgens de tariefmethodologie in het boekjaar "&amp;F434</f>
        <v>Aanwending van 40% van het geaccumuleerd regulatoir saldo door te rekenen volgens de tariefmethodologie in het boekjaar 2019</v>
      </c>
      <c r="K436" s="165" t="str">
        <f>"Aanwending van "&amp;IF($B$7="elektriciteit","75%",IF($B$7="gas","40%","FALSE"))&amp;" van het geaccumuleerd regulatoir saldo door te rekenen volgens de tariefmethodologie in het boekjaar "&amp;F434</f>
        <v>Aanwending van 40% van het geaccumuleerd regulatoir saldo door te rekenen volgens de tariefmethodologie in het boekjaar 2019</v>
      </c>
      <c r="L436" s="165" t="str">
        <f>"Totale afbouw over "&amp;F434</f>
        <v>Totale afbouw over 2019</v>
      </c>
      <c r="M436" s="165" t="str">
        <f>"Nog af te bouwen regulatoir saldo einde "&amp;F434</f>
        <v>Nog af te bouwen regulatoir saldo einde 2019</v>
      </c>
      <c r="N436" s="206"/>
      <c r="Q436" s="166"/>
    </row>
    <row r="437" spans="2:17" x14ac:dyDescent="0.2">
      <c r="B437" s="1104">
        <v>2015</v>
      </c>
      <c r="C437" s="1105"/>
      <c r="D437" s="1105"/>
      <c r="E437" s="1106"/>
      <c r="F437" s="275"/>
      <c r="G437" s="176">
        <f>+M430</f>
        <v>0</v>
      </c>
      <c r="H437" s="813">
        <f>IF(SIGN(G439*M432)&lt;0,IF(G437&lt;&gt;0,-SIGN(G437)*MIN(ABS(G439),ABS(G437)),0),0)</f>
        <v>0</v>
      </c>
      <c r="I437" s="176">
        <f>+G437+H437</f>
        <v>0</v>
      </c>
      <c r="J437" s="820"/>
      <c r="K437" s="821">
        <f>-MIN(ABS(I437),ABS(J440))*SIGN(I437)</f>
        <v>0</v>
      </c>
      <c r="L437" s="813">
        <f>+K437+H437</f>
        <v>0</v>
      </c>
      <c r="M437" s="176">
        <f>+I437+K437</f>
        <v>0</v>
      </c>
      <c r="N437" s="206"/>
      <c r="Q437" s="166"/>
    </row>
    <row r="438" spans="2:17" x14ac:dyDescent="0.2">
      <c r="B438" s="1104">
        <v>2016</v>
      </c>
      <c r="C438" s="1105"/>
      <c r="D438" s="1105">
        <v>2016</v>
      </c>
      <c r="E438" s="1106"/>
      <c r="F438" s="275"/>
      <c r="G438" s="176">
        <f>+M431</f>
        <v>0</v>
      </c>
      <c r="H438" s="813">
        <f>IF(SIGN(G439*M432)&lt;0,IF(G438&lt;&gt;0,-SIGN(G438)*MIN(ABS(G439-H437),ABS(G438)),0),0)</f>
        <v>0</v>
      </c>
      <c r="I438" s="176">
        <f>+G438+H438</f>
        <v>0</v>
      </c>
      <c r="J438" s="820"/>
      <c r="K438" s="821">
        <f>-MIN(ABS(I438),ABS(J440-K437))*SIGN(I438)</f>
        <v>0</v>
      </c>
      <c r="L438" s="813">
        <f>+K438+H438</f>
        <v>0</v>
      </c>
      <c r="M438" s="176">
        <f>+I438+K438</f>
        <v>0</v>
      </c>
      <c r="N438" s="206"/>
      <c r="Q438" s="166"/>
    </row>
    <row r="439" spans="2:17" x14ac:dyDescent="0.2">
      <c r="B439" s="1104">
        <v>2017</v>
      </c>
      <c r="C439" s="1105"/>
      <c r="D439" s="1105"/>
      <c r="E439" s="1106"/>
      <c r="F439" s="275"/>
      <c r="G439" s="176">
        <f>+I176</f>
        <v>0</v>
      </c>
      <c r="H439" s="813">
        <f>IF(SIGN(G439*M432)&lt;0,-SUM(H437:H438),0)</f>
        <v>0</v>
      </c>
      <c r="I439" s="176">
        <f>+G439+H439</f>
        <v>0</v>
      </c>
      <c r="J439" s="820"/>
      <c r="K439" s="821">
        <f>-MIN(ABS(I439),ABS(J440-K437-K438))*SIGN(I439)</f>
        <v>0</v>
      </c>
      <c r="L439" s="813">
        <f>+K439+H439</f>
        <v>0</v>
      </c>
      <c r="M439" s="176">
        <f>+I439+K439</f>
        <v>0</v>
      </c>
      <c r="N439" s="206"/>
      <c r="Q439" s="166"/>
    </row>
    <row r="440" spans="2:17" s="273" customFormat="1" x14ac:dyDescent="0.2">
      <c r="G440" s="276">
        <f>SUM(G437:G439)</f>
        <v>0</v>
      </c>
      <c r="H440" s="168">
        <f>SUM(H437:H439)</f>
        <v>0</v>
      </c>
      <c r="I440" s="276">
        <f>SUM(I437:I439)</f>
        <v>0</v>
      </c>
      <c r="J440" s="208">
        <f>-I440*IF($B$7="elektriciteit",0.75,IF($B$7="gas",0.4,"FALSE"))</f>
        <v>0</v>
      </c>
      <c r="K440" s="286">
        <f>SUM(K437:K439)</f>
        <v>0</v>
      </c>
      <c r="L440" s="528"/>
      <c r="M440" s="276">
        <f>SUM(M437:M439)</f>
        <v>0</v>
      </c>
    </row>
    <row r="441" spans="2:17" x14ac:dyDescent="0.2">
      <c r="H441" s="214"/>
      <c r="J441" s="12"/>
      <c r="K441" s="12"/>
      <c r="Q441" s="166"/>
    </row>
    <row r="442" spans="2:17" x14ac:dyDescent="0.2">
      <c r="B442" s="273" t="s">
        <v>139</v>
      </c>
      <c r="F442" s="810">
        <v>2020</v>
      </c>
      <c r="H442" s="214"/>
      <c r="J442" s="12"/>
      <c r="K442" s="12"/>
      <c r="Q442" s="166"/>
    </row>
    <row r="443" spans="2:17" x14ac:dyDescent="0.2">
      <c r="H443" s="214"/>
      <c r="J443" s="12"/>
      <c r="K443" s="12"/>
      <c r="Q443" s="166"/>
    </row>
    <row r="444" spans="2:17" ht="78" customHeight="1" x14ac:dyDescent="0.2">
      <c r="B444" s="1101" t="s">
        <v>140</v>
      </c>
      <c r="C444" s="1102"/>
      <c r="D444" s="1102"/>
      <c r="E444" s="1103"/>
      <c r="F444" s="274"/>
      <c r="G444" s="165" t="str">
        <f>"Nog af te bouwen regulatoir saldo einde "&amp;F442-1</f>
        <v>Nog af te bouwen regulatoir saldo einde 2019</v>
      </c>
      <c r="H444" s="165" t="str">
        <f>"Afbouw oudste openstaande regulatoir saldo vanaf boekjaar "&amp;F442-3&amp;" en vroeger, door aanwending van compensatie met regulatoir saldo ontstaan over boekjaar "&amp;F442-2</f>
        <v>Afbouw oudste openstaande regulatoir saldo vanaf boekjaar 2017 en vroeger, door aanwending van compensatie met regulatoir saldo ontstaan over boekjaar 2018</v>
      </c>
      <c r="I444" s="165" t="str">
        <f>"Nog af te bouwen regulatoir saldo na compensatie einde "&amp;F442-1</f>
        <v>Nog af te bouwen regulatoir saldo na compensatie einde 2019</v>
      </c>
      <c r="J444" s="165" t="str">
        <f>"Aanwending van "&amp;IF($B$7="elektriciteit","75%",IF($B$7="gas","40%","FALSE"))&amp;" van het geaccumuleerd regulatoir saldo door te rekenen volgens de tariefmethodologie in het boekjaar "&amp;F442</f>
        <v>Aanwending van 40% van het geaccumuleerd regulatoir saldo door te rekenen volgens de tariefmethodologie in het boekjaar 2020</v>
      </c>
      <c r="K444" s="165" t="str">
        <f>"Aanwending van "&amp;IF($B$7="elektriciteit","75%",IF($B$7="gas","40%","FALSE"))&amp;" van het geaccumuleerd regulatoir saldo door te rekenen volgens de tariefmethodologie in het boekjaar "&amp;F442</f>
        <v>Aanwending van 40% van het geaccumuleerd regulatoir saldo door te rekenen volgens de tariefmethodologie in het boekjaar 2020</v>
      </c>
      <c r="L444" s="165" t="str">
        <f>"Totale afbouw over "&amp;F442</f>
        <v>Totale afbouw over 2020</v>
      </c>
      <c r="M444" s="165" t="str">
        <f>"Nog af te bouwen regulatoir saldo einde "&amp;F442</f>
        <v>Nog af te bouwen regulatoir saldo einde 2020</v>
      </c>
      <c r="N444" s="206"/>
      <c r="Q444" s="166"/>
    </row>
    <row r="445" spans="2:17" x14ac:dyDescent="0.2">
      <c r="B445" s="1104">
        <v>2015</v>
      </c>
      <c r="C445" s="1105"/>
      <c r="D445" s="1105"/>
      <c r="E445" s="1106"/>
      <c r="F445" s="275"/>
      <c r="G445" s="176">
        <f>+M437</f>
        <v>0</v>
      </c>
      <c r="H445" s="813">
        <f>IF(SIGN(G448*M440)&lt;0,IF(G445&lt;&gt;0,-SIGN(G445)*MIN(ABS(G448),ABS(G445)),0),0)</f>
        <v>0</v>
      </c>
      <c r="I445" s="176">
        <f>+G445+H445</f>
        <v>0</v>
      </c>
      <c r="J445" s="820"/>
      <c r="K445" s="821">
        <f>-MIN(ABS(I445),ABS(J449))*SIGN(I445)</f>
        <v>0</v>
      </c>
      <c r="L445" s="813">
        <f>+K445+H445</f>
        <v>0</v>
      </c>
      <c r="M445" s="176">
        <f>+I445+K445</f>
        <v>0</v>
      </c>
      <c r="N445" s="206"/>
      <c r="Q445" s="166"/>
    </row>
    <row r="446" spans="2:17" x14ac:dyDescent="0.2">
      <c r="B446" s="1104">
        <v>2016</v>
      </c>
      <c r="C446" s="1105"/>
      <c r="D446" s="1105"/>
      <c r="E446" s="1106"/>
      <c r="F446" s="275"/>
      <c r="G446" s="176">
        <f>+M438</f>
        <v>0</v>
      </c>
      <c r="H446" s="813">
        <f>IF(SIGN(G448*M440)&lt;0,IF(G446&lt;&gt;0,-SIGN(G446)*MIN(ABS(G448-H445),ABS(G446)),0),0)</f>
        <v>0</v>
      </c>
      <c r="I446" s="176">
        <f>+G446+H446</f>
        <v>0</v>
      </c>
      <c r="J446" s="820"/>
      <c r="K446" s="821">
        <f>-MIN(ABS(I446),ABS(J449-K445))*SIGN(I446)</f>
        <v>0</v>
      </c>
      <c r="L446" s="813">
        <f>+K446+H446</f>
        <v>0</v>
      </c>
      <c r="M446" s="176">
        <f>+I446+K446</f>
        <v>0</v>
      </c>
      <c r="N446" s="206"/>
      <c r="Q446" s="166"/>
    </row>
    <row r="447" spans="2:17" x14ac:dyDescent="0.2">
      <c r="B447" s="1104">
        <v>2017</v>
      </c>
      <c r="C447" s="1105"/>
      <c r="D447" s="1105">
        <v>2016</v>
      </c>
      <c r="E447" s="1106"/>
      <c r="F447" s="275"/>
      <c r="G447" s="176">
        <f>+M439</f>
        <v>0</v>
      </c>
      <c r="H447" s="813">
        <f>IF(SIGN(G448*M440)&lt;0,IF(G447&lt;&gt;0,-SIGN(G447)*MIN(ABS(G448-H445-H446),ABS(G447)),0),0)</f>
        <v>0</v>
      </c>
      <c r="I447" s="176">
        <f>+G447+H447</f>
        <v>0</v>
      </c>
      <c r="J447" s="820"/>
      <c r="K447" s="821">
        <f>-MIN(ABS(I447),ABS(J449-K445-K446))*SIGN(I447)</f>
        <v>0</v>
      </c>
      <c r="L447" s="813">
        <f>+K447+H447</f>
        <v>0</v>
      </c>
      <c r="M447" s="176">
        <f>+I447+K447</f>
        <v>0</v>
      </c>
      <c r="N447" s="206"/>
      <c r="Q447" s="166"/>
    </row>
    <row r="448" spans="2:17" x14ac:dyDescent="0.2">
      <c r="B448" s="1104">
        <v>2018</v>
      </c>
      <c r="C448" s="1105"/>
      <c r="D448" s="1105"/>
      <c r="E448" s="1106"/>
      <c r="F448" s="275"/>
      <c r="G448" s="176">
        <f>+J177</f>
        <v>0</v>
      </c>
      <c r="H448" s="813">
        <f>IF(SIGN(G448*M440)&lt;0,-SUM(H445:H447),0)</f>
        <v>0</v>
      </c>
      <c r="I448" s="176">
        <f>+G448+H448</f>
        <v>0</v>
      </c>
      <c r="J448" s="820"/>
      <c r="K448" s="821">
        <f>-MIN(ABS(I448),ABS(J449-K445-K446-K447))*SIGN(I448)</f>
        <v>0</v>
      </c>
      <c r="L448" s="813">
        <f>+K448+H448</f>
        <v>0</v>
      </c>
      <c r="M448" s="176">
        <f>+I448+K448</f>
        <v>0</v>
      </c>
      <c r="N448" s="206"/>
      <c r="Q448" s="166"/>
    </row>
    <row r="449" spans="2:17" s="273" customFormat="1" x14ac:dyDescent="0.2">
      <c r="G449" s="276">
        <f>SUM(G445:G448)</f>
        <v>0</v>
      </c>
      <c r="H449" s="168">
        <f>SUM(H445:H448)</f>
        <v>0</v>
      </c>
      <c r="I449" s="276">
        <f>SUM(I445:I448)</f>
        <v>0</v>
      </c>
      <c r="J449" s="208">
        <f>-I449*IF($B$7="elektriciteit",0.75,IF($B$7="gas",0.4,"FALSE"))</f>
        <v>0</v>
      </c>
      <c r="K449" s="286">
        <f>SUM(K445:K448)</f>
        <v>0</v>
      </c>
      <c r="L449" s="168"/>
      <c r="M449" s="276">
        <f>SUM(M445:M448)</f>
        <v>0</v>
      </c>
    </row>
    <row r="450" spans="2:17" x14ac:dyDescent="0.2">
      <c r="H450" s="214"/>
      <c r="Q450" s="166"/>
    </row>
    <row r="451" spans="2:17" x14ac:dyDescent="0.2">
      <c r="B451" s="273" t="s">
        <v>139</v>
      </c>
      <c r="F451" s="810">
        <v>2021</v>
      </c>
      <c r="H451" s="214"/>
      <c r="Q451" s="166"/>
    </row>
    <row r="452" spans="2:17" x14ac:dyDescent="0.2">
      <c r="H452" s="214"/>
      <c r="Q452" s="166"/>
    </row>
    <row r="453" spans="2:17" ht="78" customHeight="1" x14ac:dyDescent="0.2">
      <c r="B453" s="1101" t="s">
        <v>140</v>
      </c>
      <c r="C453" s="1102"/>
      <c r="D453" s="1102"/>
      <c r="E453" s="1103"/>
      <c r="F453" s="274"/>
      <c r="G453" s="165" t="str">
        <f>"Nog af te bouwen regulatoir saldo einde "&amp;F451-1</f>
        <v>Nog af te bouwen regulatoir saldo einde 2020</v>
      </c>
      <c r="H453" s="165" t="str">
        <f>"50% van het oorspronkelijk regulatoir saldo door te rekenen volgens de tariefmethodologie in het boekjaar "&amp;F451</f>
        <v>50% van het oorspronkelijk regulatoir saldo door te rekenen volgens de tariefmethodologie in het boekjaar 2021</v>
      </c>
      <c r="I453" s="165" t="str">
        <f>"Nog af te bouwen regulatoir saldo einde "&amp;F451</f>
        <v>Nog af te bouwen regulatoir saldo einde 2021</v>
      </c>
      <c r="J453" s="206"/>
      <c r="Q453" s="166"/>
    </row>
    <row r="454" spans="2:17" x14ac:dyDescent="0.2">
      <c r="B454" s="1104">
        <v>2015</v>
      </c>
      <c r="C454" s="1105"/>
      <c r="D454" s="1105"/>
      <c r="E454" s="1106"/>
      <c r="F454" s="275"/>
      <c r="G454" s="176">
        <f>M445</f>
        <v>0</v>
      </c>
      <c r="H454" s="521">
        <f>-G454*0.5</f>
        <v>0</v>
      </c>
      <c r="I454" s="176">
        <f>+G454+H454</f>
        <v>0</v>
      </c>
      <c r="J454" s="206"/>
      <c r="Q454" s="166"/>
    </row>
    <row r="455" spans="2:17" x14ac:dyDescent="0.2">
      <c r="B455" s="1104">
        <v>2016</v>
      </c>
      <c r="C455" s="1105"/>
      <c r="D455" s="1105"/>
      <c r="E455" s="1106"/>
      <c r="F455" s="275"/>
      <c r="G455" s="176">
        <f t="shared" ref="G455:G457" si="61">M446</f>
        <v>0</v>
      </c>
      <c r="H455" s="521">
        <f t="shared" ref="H455:H458" si="62">-G455*0.5</f>
        <v>0</v>
      </c>
      <c r="I455" s="176">
        <f t="shared" ref="I455:I458" si="63">+G455+H455</f>
        <v>0</v>
      </c>
      <c r="J455" s="206"/>
      <c r="Q455" s="166"/>
    </row>
    <row r="456" spans="2:17" x14ac:dyDescent="0.2">
      <c r="B456" s="1104">
        <v>2017</v>
      </c>
      <c r="C456" s="1105"/>
      <c r="D456" s="1105">
        <v>2016</v>
      </c>
      <c r="E456" s="1106"/>
      <c r="F456" s="275"/>
      <c r="G456" s="176">
        <f t="shared" si="61"/>
        <v>0</v>
      </c>
      <c r="H456" s="521">
        <f t="shared" si="62"/>
        <v>0</v>
      </c>
      <c r="I456" s="176">
        <f t="shared" si="63"/>
        <v>0</v>
      </c>
      <c r="J456" s="206"/>
      <c r="Q456" s="166"/>
    </row>
    <row r="457" spans="2:17" x14ac:dyDescent="0.2">
      <c r="B457" s="1104">
        <v>2018</v>
      </c>
      <c r="C457" s="1105"/>
      <c r="D457" s="1105"/>
      <c r="E457" s="1106"/>
      <c r="F457" s="275"/>
      <c r="G457" s="176">
        <f t="shared" si="61"/>
        <v>0</v>
      </c>
      <c r="H457" s="521">
        <f t="shared" si="62"/>
        <v>0</v>
      </c>
      <c r="I457" s="176">
        <f t="shared" si="63"/>
        <v>0</v>
      </c>
      <c r="J457" s="206"/>
      <c r="Q457" s="166"/>
    </row>
    <row r="458" spans="2:17" x14ac:dyDescent="0.2">
      <c r="B458" s="1104">
        <v>2019</v>
      </c>
      <c r="C458" s="1105"/>
      <c r="D458" s="1105"/>
      <c r="E458" s="1106"/>
      <c r="F458" s="275"/>
      <c r="G458" s="176">
        <f>+K178</f>
        <v>0</v>
      </c>
      <c r="H458" s="521">
        <f t="shared" si="62"/>
        <v>0</v>
      </c>
      <c r="I458" s="176">
        <f t="shared" si="63"/>
        <v>0</v>
      </c>
      <c r="J458" s="206"/>
      <c r="Q458" s="166"/>
    </row>
    <row r="459" spans="2:17" s="273" customFormat="1" x14ac:dyDescent="0.2">
      <c r="G459" s="276">
        <f>SUM(G454:G458)</f>
        <v>0</v>
      </c>
      <c r="H459" s="168">
        <f>SUM(H454:H458)</f>
        <v>0</v>
      </c>
      <c r="I459" s="276">
        <f>SUM(I454:I458)</f>
        <v>0</v>
      </c>
    </row>
    <row r="460" spans="2:17" x14ac:dyDescent="0.2">
      <c r="H460" s="214"/>
      <c r="Q460" s="166"/>
    </row>
    <row r="461" spans="2:17" x14ac:dyDescent="0.2">
      <c r="B461" s="273" t="s">
        <v>139</v>
      </c>
      <c r="F461" s="810">
        <v>2022</v>
      </c>
      <c r="H461" s="214"/>
      <c r="Q461" s="166"/>
    </row>
    <row r="462" spans="2:17" x14ac:dyDescent="0.2">
      <c r="H462" s="214"/>
      <c r="Q462" s="166"/>
    </row>
    <row r="463" spans="2:17" ht="78" customHeight="1" x14ac:dyDescent="0.2">
      <c r="B463" s="1101" t="s">
        <v>140</v>
      </c>
      <c r="C463" s="1102"/>
      <c r="D463" s="1102"/>
      <c r="E463" s="1103"/>
      <c r="F463" s="274"/>
      <c r="G463" s="165" t="str">
        <f>"Nog af te bouwen regulatoir saldo einde "&amp;F461-1</f>
        <v>Nog af te bouwen regulatoir saldo einde 2021</v>
      </c>
      <c r="H463" s="165" t="str">
        <f>"50% van het oorspronkelijk regulatoir saldo door te rekenen volgens de tariefmethodologie in het boekjaar "&amp;F461</f>
        <v>50% van het oorspronkelijk regulatoir saldo door te rekenen volgens de tariefmethodologie in het boekjaar 2022</v>
      </c>
      <c r="I463" s="165" t="str">
        <f>"Nog af te bouwen regulatoir saldo einde "&amp;F461</f>
        <v>Nog af te bouwen regulatoir saldo einde 2022</v>
      </c>
      <c r="J463" s="206"/>
      <c r="Q463" s="166"/>
    </row>
    <row r="464" spans="2:17" x14ac:dyDescent="0.2">
      <c r="B464" s="1104">
        <v>2015</v>
      </c>
      <c r="C464" s="1105"/>
      <c r="D464" s="1105"/>
      <c r="E464" s="1106"/>
      <c r="F464" s="275"/>
      <c r="G464" s="176">
        <f>+I454</f>
        <v>0</v>
      </c>
      <c r="H464" s="521">
        <f>-G454*0.5</f>
        <v>0</v>
      </c>
      <c r="I464" s="176">
        <f>+G464+H464</f>
        <v>0</v>
      </c>
      <c r="J464" s="206"/>
      <c r="Q464" s="166"/>
    </row>
    <row r="465" spans="2:17" x14ac:dyDescent="0.2">
      <c r="B465" s="1104">
        <v>2016</v>
      </c>
      <c r="C465" s="1105"/>
      <c r="D465" s="1105"/>
      <c r="E465" s="1106"/>
      <c r="F465" s="275"/>
      <c r="G465" s="176">
        <f t="shared" ref="G465:G468" si="64">+I455</f>
        <v>0</v>
      </c>
      <c r="H465" s="521">
        <f t="shared" ref="H465:H468" si="65">-G455*0.5</f>
        <v>0</v>
      </c>
      <c r="I465" s="176">
        <f t="shared" ref="I465:I469" si="66">+G465+H465</f>
        <v>0</v>
      </c>
      <c r="J465" s="206"/>
      <c r="Q465" s="166"/>
    </row>
    <row r="466" spans="2:17" x14ac:dyDescent="0.2">
      <c r="B466" s="1104">
        <v>2017</v>
      </c>
      <c r="C466" s="1105"/>
      <c r="D466" s="1105">
        <v>2016</v>
      </c>
      <c r="E466" s="1106"/>
      <c r="F466" s="275"/>
      <c r="G466" s="176">
        <f t="shared" si="64"/>
        <v>0</v>
      </c>
      <c r="H466" s="521">
        <f t="shared" si="65"/>
        <v>0</v>
      </c>
      <c r="I466" s="176">
        <f t="shared" si="66"/>
        <v>0</v>
      </c>
      <c r="J466" s="206"/>
      <c r="Q466" s="166"/>
    </row>
    <row r="467" spans="2:17" x14ac:dyDescent="0.2">
      <c r="B467" s="1104">
        <v>2018</v>
      </c>
      <c r="C467" s="1105"/>
      <c r="D467" s="1105"/>
      <c r="E467" s="1106"/>
      <c r="F467" s="275"/>
      <c r="G467" s="176">
        <f t="shared" si="64"/>
        <v>0</v>
      </c>
      <c r="H467" s="521">
        <f t="shared" si="65"/>
        <v>0</v>
      </c>
      <c r="I467" s="176">
        <f t="shared" si="66"/>
        <v>0</v>
      </c>
      <c r="J467" s="206"/>
      <c r="Q467" s="166"/>
    </row>
    <row r="468" spans="2:17" x14ac:dyDescent="0.2">
      <c r="B468" s="1104">
        <v>2019</v>
      </c>
      <c r="C468" s="1105"/>
      <c r="D468" s="1105"/>
      <c r="E468" s="1106"/>
      <c r="F468" s="275"/>
      <c r="G468" s="176">
        <f t="shared" si="64"/>
        <v>0</v>
      </c>
      <c r="H468" s="521">
        <f t="shared" si="65"/>
        <v>0</v>
      </c>
      <c r="I468" s="176">
        <f t="shared" si="66"/>
        <v>0</v>
      </c>
      <c r="J468" s="206"/>
      <c r="Q468" s="166"/>
    </row>
    <row r="469" spans="2:17" x14ac:dyDescent="0.2">
      <c r="B469" s="1104">
        <v>2020</v>
      </c>
      <c r="C469" s="1105"/>
      <c r="D469" s="1105"/>
      <c r="E469" s="1106"/>
      <c r="F469" s="275"/>
      <c r="G469" s="176">
        <f>+L179</f>
        <v>0</v>
      </c>
      <c r="H469" s="521">
        <f t="shared" ref="H469" si="67">-G469*0.5</f>
        <v>0</v>
      </c>
      <c r="I469" s="176">
        <f t="shared" si="66"/>
        <v>0</v>
      </c>
      <c r="J469" s="206"/>
      <c r="Q469" s="166"/>
    </row>
    <row r="470" spans="2:17" s="273" customFormat="1" x14ac:dyDescent="0.2">
      <c r="G470" s="276">
        <f>SUM(G464:G469)</f>
        <v>0</v>
      </c>
      <c r="H470" s="168">
        <f t="shared" ref="H470:I470" si="68">SUM(H464:H469)</f>
        <v>0</v>
      </c>
      <c r="I470" s="276">
        <f t="shared" si="68"/>
        <v>0</v>
      </c>
    </row>
    <row r="471" spans="2:17" x14ac:dyDescent="0.2">
      <c r="H471" s="214"/>
      <c r="Q471" s="166"/>
    </row>
    <row r="472" spans="2:17" x14ac:dyDescent="0.2">
      <c r="B472" s="273" t="s">
        <v>139</v>
      </c>
      <c r="F472" s="810">
        <v>2023</v>
      </c>
      <c r="H472" s="214"/>
      <c r="Q472" s="166"/>
    </row>
    <row r="473" spans="2:17" x14ac:dyDescent="0.2">
      <c r="H473" s="214"/>
      <c r="Q473" s="166"/>
    </row>
    <row r="474" spans="2:17" ht="78" customHeight="1" x14ac:dyDescent="0.2">
      <c r="B474" s="1101" t="s">
        <v>140</v>
      </c>
      <c r="C474" s="1102"/>
      <c r="D474" s="1102"/>
      <c r="E474" s="1103"/>
      <c r="F474" s="274"/>
      <c r="G474" s="165" t="str">
        <f>"Nog af te bouwen regulatoir saldo einde "&amp;F472-1</f>
        <v>Nog af te bouwen regulatoir saldo einde 2022</v>
      </c>
      <c r="H474" s="165" t="str">
        <f>"50% van het oorspronkelijk regulatoir saldo door te rekenen volgens de tariefmethodologie in het boekjaar "&amp;F472</f>
        <v>50% van het oorspronkelijk regulatoir saldo door te rekenen volgens de tariefmethodologie in het boekjaar 2023</v>
      </c>
      <c r="I474" s="165" t="str">
        <f>"Nog af te bouwen regulatoir saldo einde "&amp;F472</f>
        <v>Nog af te bouwen regulatoir saldo einde 2023</v>
      </c>
      <c r="J474" s="206"/>
      <c r="Q474" s="166"/>
    </row>
    <row r="475" spans="2:17" x14ac:dyDescent="0.2">
      <c r="B475" s="1104">
        <v>2020</v>
      </c>
      <c r="C475" s="1105"/>
      <c r="D475" s="1105"/>
      <c r="E475" s="1106"/>
      <c r="F475" s="275"/>
      <c r="G475" s="176">
        <f>+I469</f>
        <v>0</v>
      </c>
      <c r="H475" s="521">
        <f>-G469*0.5</f>
        <v>0</v>
      </c>
      <c r="I475" s="176">
        <f t="shared" ref="I475" si="69">+G475+H475</f>
        <v>0</v>
      </c>
      <c r="J475" s="206"/>
      <c r="Q475" s="166"/>
    </row>
    <row r="476" spans="2:17" s="273" customFormat="1" x14ac:dyDescent="0.2">
      <c r="G476" s="276">
        <f>SUM(G475:G475)</f>
        <v>0</v>
      </c>
      <c r="H476" s="168">
        <f>SUM(H475:H475)</f>
        <v>0</v>
      </c>
      <c r="I476" s="276">
        <f>SUM(I475:I475)</f>
        <v>0</v>
      </c>
    </row>
    <row r="477" spans="2:17" x14ac:dyDescent="0.2">
      <c r="B477" s="273" t="s">
        <v>350</v>
      </c>
      <c r="C477" s="216"/>
      <c r="D477" s="216"/>
      <c r="E477" s="216"/>
      <c r="H477" s="214"/>
      <c r="Q477" s="166"/>
    </row>
    <row r="478" spans="2:17" x14ac:dyDescent="0.2">
      <c r="B478" s="273" t="s">
        <v>141</v>
      </c>
      <c r="C478" s="216"/>
      <c r="D478" s="216"/>
      <c r="E478" s="216"/>
      <c r="H478" s="214"/>
      <c r="Q478" s="166"/>
    </row>
    <row r="479" spans="2:17" x14ac:dyDescent="0.2">
      <c r="B479" s="273"/>
      <c r="C479" s="216"/>
      <c r="D479" s="216"/>
      <c r="E479" s="216"/>
      <c r="H479" s="214"/>
      <c r="Q479" s="166"/>
    </row>
    <row r="480" spans="2:17" x14ac:dyDescent="0.2">
      <c r="B480" s="275">
        <v>2021</v>
      </c>
      <c r="C480" s="279">
        <f>+H459</f>
        <v>0</v>
      </c>
      <c r="D480" s="216"/>
      <c r="E480" s="216"/>
      <c r="H480" s="214"/>
      <c r="Q480" s="166"/>
    </row>
    <row r="481" spans="2:17" x14ac:dyDescent="0.2">
      <c r="B481" s="275">
        <v>2022</v>
      </c>
      <c r="C481" s="279">
        <f>+H470</f>
        <v>0</v>
      </c>
      <c r="D481" s="216"/>
      <c r="E481" s="216"/>
      <c r="H481" s="214"/>
      <c r="Q481" s="166"/>
    </row>
    <row r="482" spans="2:17" x14ac:dyDescent="0.2">
      <c r="B482" s="275">
        <v>2023</v>
      </c>
      <c r="C482" s="279">
        <f>+H476</f>
        <v>0</v>
      </c>
      <c r="D482" s="216"/>
      <c r="E482" s="216"/>
      <c r="H482" s="214"/>
      <c r="Q482" s="166"/>
    </row>
    <row r="483" spans="2:17" x14ac:dyDescent="0.2">
      <c r="B483" s="336">
        <v>2024</v>
      </c>
      <c r="C483" s="337">
        <v>0</v>
      </c>
      <c r="D483" s="216"/>
      <c r="E483" s="216"/>
      <c r="H483" s="214"/>
      <c r="Q483" s="166"/>
    </row>
    <row r="484" spans="2:17" x14ac:dyDescent="0.2">
      <c r="H484" s="214"/>
      <c r="Q484" s="166"/>
    </row>
    <row r="485" spans="2:17" x14ac:dyDescent="0.2">
      <c r="H485" s="214"/>
      <c r="Q485" s="166"/>
    </row>
    <row r="486" spans="2:17" x14ac:dyDescent="0.2">
      <c r="B486" s="321" t="s">
        <v>169</v>
      </c>
      <c r="C486" s="322"/>
      <c r="D486" s="322"/>
      <c r="E486" s="322"/>
      <c r="F486" s="323"/>
      <c r="G486" s="323"/>
      <c r="H486" s="527"/>
      <c r="I486" s="323"/>
      <c r="J486" s="323"/>
      <c r="K486" s="323"/>
      <c r="L486" s="323"/>
      <c r="M486" s="323"/>
      <c r="Q486" s="166"/>
    </row>
    <row r="487" spans="2:17" x14ac:dyDescent="0.2">
      <c r="H487" s="214"/>
      <c r="Q487" s="166"/>
    </row>
    <row r="488" spans="2:17" x14ac:dyDescent="0.2">
      <c r="B488" s="273" t="s">
        <v>169</v>
      </c>
      <c r="H488" s="214"/>
      <c r="Q488" s="166"/>
    </row>
    <row r="489" spans="2:17" x14ac:dyDescent="0.2">
      <c r="B489" s="273" t="s">
        <v>141</v>
      </c>
      <c r="C489" s="216"/>
      <c r="D489" s="216"/>
      <c r="E489" s="216"/>
      <c r="H489" s="214"/>
      <c r="Q489" s="166"/>
    </row>
    <row r="490" spans="2:17" x14ac:dyDescent="0.2">
      <c r="B490" s="273"/>
      <c r="C490" s="216"/>
      <c r="D490" s="216"/>
      <c r="E490" s="216"/>
      <c r="H490" s="214"/>
      <c r="Q490" s="166"/>
    </row>
    <row r="491" spans="2:17" x14ac:dyDescent="0.2">
      <c r="B491" s="336">
        <v>2021</v>
      </c>
      <c r="C491" s="337">
        <v>0</v>
      </c>
      <c r="D491" s="216"/>
      <c r="E491" s="216"/>
      <c r="H491" s="214"/>
      <c r="Q491" s="166"/>
    </row>
    <row r="492" spans="2:17" x14ac:dyDescent="0.2">
      <c r="B492" s="336">
        <v>2022</v>
      </c>
      <c r="C492" s="337">
        <v>0</v>
      </c>
      <c r="D492" s="216"/>
      <c r="E492" s="216"/>
      <c r="H492" s="214"/>
      <c r="Q492" s="166"/>
    </row>
    <row r="493" spans="2:17" x14ac:dyDescent="0.2">
      <c r="B493" s="336">
        <v>2023</v>
      </c>
      <c r="C493" s="337">
        <v>0</v>
      </c>
      <c r="D493" s="216"/>
      <c r="E493" s="216"/>
      <c r="H493" s="214"/>
      <c r="Q493" s="166"/>
    </row>
    <row r="494" spans="2:17" x14ac:dyDescent="0.2">
      <c r="B494" s="336">
        <v>2024</v>
      </c>
      <c r="C494" s="337">
        <v>0</v>
      </c>
      <c r="D494" s="216"/>
      <c r="E494" s="216"/>
      <c r="H494" s="214"/>
      <c r="Q494" s="166"/>
    </row>
    <row r="495" spans="2:17" x14ac:dyDescent="0.2">
      <c r="H495" s="214"/>
      <c r="Q495" s="166"/>
    </row>
    <row r="496" spans="2:17" x14ac:dyDescent="0.2">
      <c r="H496" s="214"/>
      <c r="Q496" s="166"/>
    </row>
    <row r="497" spans="2:17" x14ac:dyDescent="0.2">
      <c r="B497" s="321" t="s">
        <v>67</v>
      </c>
      <c r="C497" s="322"/>
      <c r="D497" s="322"/>
      <c r="E497" s="322"/>
      <c r="F497" s="323"/>
      <c r="G497" s="323"/>
      <c r="H497" s="527"/>
      <c r="I497" s="323"/>
      <c r="J497" s="323"/>
      <c r="K497" s="323"/>
      <c r="L497" s="323"/>
      <c r="M497" s="323"/>
      <c r="Q497" s="166"/>
    </row>
    <row r="498" spans="2:17" x14ac:dyDescent="0.2">
      <c r="H498" s="214"/>
      <c r="Q498" s="166"/>
    </row>
    <row r="499" spans="2:17" x14ac:dyDescent="0.2">
      <c r="B499" s="273" t="s">
        <v>139</v>
      </c>
      <c r="F499" s="810">
        <v>2017</v>
      </c>
      <c r="H499" s="214"/>
      <c r="Q499" s="166"/>
    </row>
    <row r="500" spans="2:17" x14ac:dyDescent="0.2">
      <c r="H500" s="214"/>
      <c r="L500" s="206"/>
      <c r="Q500" s="166"/>
    </row>
    <row r="501" spans="2:17" ht="82.5" customHeight="1" x14ac:dyDescent="0.2">
      <c r="B501" s="1101" t="s">
        <v>140</v>
      </c>
      <c r="C501" s="1102"/>
      <c r="D501" s="1102"/>
      <c r="E501" s="1103"/>
      <c r="F501" s="274"/>
      <c r="G501" s="165" t="str">
        <f>"Nog af te bouwen regulatoir saldo einde "&amp;F499-1</f>
        <v>Nog af te bouwen regulatoir saldo einde 2016</v>
      </c>
      <c r="H501" s="165" t="str">
        <f>"Afbouw oudste openstaande regulatoir saldo vanaf boekjaar "&amp;F499-3&amp;" en vroeger, door aanwending van compensatie met regulatoir saldo ontstaan over boekjaar "&amp;F499-2</f>
        <v>Afbouw oudste openstaande regulatoir saldo vanaf boekjaar 2014 en vroeger, door aanwending van compensatie met regulatoir saldo ontstaan over boekjaar 2015</v>
      </c>
      <c r="I501" s="165" t="str">
        <f>"Nog af te bouwen regulatoir saldo na compensatie einde "&amp;F499-1</f>
        <v>Nog af te bouwen regulatoir saldo na compensatie einde 2016</v>
      </c>
      <c r="J501" s="165" t="str">
        <f>"Aanwending van "&amp;IF($B$7="elektriciteit","75%",IF($B$7="gas","40%","FALSE"))&amp;" van het geaccumuleerd regulatoir saldo door te rekenen volgens de tariefmethodologie in het boekjaar "&amp;F499</f>
        <v>Aanwending van 40% van het geaccumuleerd regulatoir saldo door te rekenen volgens de tariefmethodologie in het boekjaar 2017</v>
      </c>
      <c r="K501" s="165" t="str">
        <f>"Nog af te bouwen regulatoir saldo einde "&amp;F499</f>
        <v>Nog af te bouwen regulatoir saldo einde 2017</v>
      </c>
      <c r="L501" s="206"/>
      <c r="Q501" s="166"/>
    </row>
    <row r="502" spans="2:17" x14ac:dyDescent="0.2">
      <c r="B502" s="1104">
        <v>2015</v>
      </c>
      <c r="C502" s="1105"/>
      <c r="D502" s="1105"/>
      <c r="E502" s="1106"/>
      <c r="F502" s="275"/>
      <c r="G502" s="176">
        <f>G196</f>
        <v>0</v>
      </c>
      <c r="H502" s="521">
        <v>0</v>
      </c>
      <c r="I502" s="176">
        <f>+G502+H502</f>
        <v>0</v>
      </c>
      <c r="J502" s="819">
        <f>-I502*IF($B$7="elektriciteit",0.75,IF($B$7="gas",0.4,"FALSE"))</f>
        <v>0</v>
      </c>
      <c r="K502" s="811">
        <f>+J502+G502</f>
        <v>0</v>
      </c>
      <c r="L502" s="206"/>
      <c r="Q502" s="166"/>
    </row>
    <row r="503" spans="2:17" x14ac:dyDescent="0.2">
      <c r="H503" s="214"/>
      <c r="L503" s="206"/>
      <c r="Q503" s="166"/>
    </row>
    <row r="504" spans="2:17" x14ac:dyDescent="0.2">
      <c r="B504" s="273" t="s">
        <v>139</v>
      </c>
      <c r="F504" s="810">
        <v>2018</v>
      </c>
      <c r="H504" s="214"/>
      <c r="Q504" s="166"/>
    </row>
    <row r="505" spans="2:17" x14ac:dyDescent="0.2">
      <c r="H505" s="214"/>
      <c r="Q505" s="166"/>
    </row>
    <row r="506" spans="2:17" ht="69.75" customHeight="1" x14ac:dyDescent="0.2">
      <c r="B506" s="1101" t="s">
        <v>140</v>
      </c>
      <c r="C506" s="1102"/>
      <c r="D506" s="1102"/>
      <c r="E506" s="1103"/>
      <c r="F506" s="274"/>
      <c r="G506" s="165" t="str">
        <f>"Nog af te bouwen regulatoir saldo einde "&amp;F504-1</f>
        <v>Nog af te bouwen regulatoir saldo einde 2017</v>
      </c>
      <c r="H506" s="165" t="str">
        <f>"Afbouw oudste openstaande regulatoir saldo vanaf boekjaar "&amp;F504-3&amp;" en vroeger, door aanwending van compensatie met regulatoir saldo ontstaan over boekjaar "&amp;F504-2</f>
        <v>Afbouw oudste openstaande regulatoir saldo vanaf boekjaar 2015 en vroeger, door aanwending van compensatie met regulatoir saldo ontstaan over boekjaar 2016</v>
      </c>
      <c r="I506" s="165" t="str">
        <f>"Nog af te bouwen regulatoir saldo na compensatie einde "&amp;F504-1</f>
        <v>Nog af te bouwen regulatoir saldo na compensatie einde 2017</v>
      </c>
      <c r="J506" s="165" t="str">
        <f>"Aanwending van "&amp;IF($B$7="elektriciteit","75%",IF($B$7="gas","40%","FALSE"))&amp;" van het geaccumuleerd regulatoir saldo door te rekenen volgens de tariefmethodologie in het boekjaar "&amp;F504</f>
        <v>Aanwending van 40% van het geaccumuleerd regulatoir saldo door te rekenen volgens de tariefmethodologie in het boekjaar 2018</v>
      </c>
      <c r="K506" s="165" t="str">
        <f>"Aanwending van "&amp;IF($B$7="elektriciteit","75%",IF($B$7="gas","40%","FALSE"))&amp;" van het geaccumuleerd regulatoir saldo door te rekenen volgens de tariefmethodologie in het boekjaar "&amp;F504</f>
        <v>Aanwending van 40% van het geaccumuleerd regulatoir saldo door te rekenen volgens de tariefmethodologie in het boekjaar 2018</v>
      </c>
      <c r="L506" s="165" t="str">
        <f>"Totale afbouw over "&amp;F504</f>
        <v>Totale afbouw over 2018</v>
      </c>
      <c r="M506" s="165" t="str">
        <f>"Nog af te bouwen regulatoir saldo einde "&amp;F504</f>
        <v>Nog af te bouwen regulatoir saldo einde 2018</v>
      </c>
      <c r="N506" s="206"/>
      <c r="Q506" s="166"/>
    </row>
    <row r="507" spans="2:17" x14ac:dyDescent="0.2">
      <c r="B507" s="1104">
        <v>2015</v>
      </c>
      <c r="C507" s="1105"/>
      <c r="D507" s="1105"/>
      <c r="E507" s="1106"/>
      <c r="F507" s="275"/>
      <c r="G507" s="176">
        <f>K502</f>
        <v>0</v>
      </c>
      <c r="H507" s="521">
        <f>IF(SIGN(G508*K502)&lt;0,IF(G507&lt;&gt;0,-SIGN(G507)*MIN(ABS(G508),ABS(G507)),0),0)</f>
        <v>0</v>
      </c>
      <c r="I507" s="176">
        <f>+G507+H507</f>
        <v>0</v>
      </c>
      <c r="J507" s="820"/>
      <c r="K507" s="821">
        <f>-MIN(ABS(I507),ABS(J509))*SIGN(I507)</f>
        <v>0</v>
      </c>
      <c r="L507" s="813">
        <f>+K507+H507</f>
        <v>0</v>
      </c>
      <c r="M507" s="176">
        <f>+I507+K507</f>
        <v>0</v>
      </c>
      <c r="N507" s="206"/>
      <c r="Q507" s="166"/>
    </row>
    <row r="508" spans="2:17" x14ac:dyDescent="0.2">
      <c r="B508" s="1104">
        <v>2016</v>
      </c>
      <c r="C508" s="1105"/>
      <c r="D508" s="1105"/>
      <c r="E508" s="1106"/>
      <c r="F508" s="275"/>
      <c r="G508" s="176">
        <f>H197</f>
        <v>0</v>
      </c>
      <c r="H508" s="813">
        <f>IF(SIGN(G508*K502)&lt;0,-H507,0)</f>
        <v>0</v>
      </c>
      <c r="I508" s="176">
        <f>+G508+H508</f>
        <v>0</v>
      </c>
      <c r="J508" s="820"/>
      <c r="K508" s="821">
        <f>-MIN(ABS(I508),ABS(J509-K507))*SIGN(I508)</f>
        <v>0</v>
      </c>
      <c r="L508" s="813">
        <f>+K508+H508</f>
        <v>0</v>
      </c>
      <c r="M508" s="176">
        <f>+I508+K508</f>
        <v>0</v>
      </c>
      <c r="N508" s="206"/>
      <c r="Q508" s="166"/>
    </row>
    <row r="509" spans="2:17" s="273" customFormat="1" x14ac:dyDescent="0.2">
      <c r="G509" s="276">
        <f>SUM(G507:G508)</f>
        <v>0</v>
      </c>
      <c r="H509" s="168">
        <f>SUM(H507:H508)</f>
        <v>0</v>
      </c>
      <c r="I509" s="276">
        <f>SUM(I507:I508)</f>
        <v>0</v>
      </c>
      <c r="J509" s="208">
        <f>-I509*IF($B$7="elektriciteit",0.75,IF($B$7="gas",0.4,"FALSE"))</f>
        <v>0</v>
      </c>
      <c r="K509" s="286">
        <f>SUM(K507:K508)</f>
        <v>0</v>
      </c>
      <c r="L509" s="528"/>
      <c r="M509" s="276">
        <f>SUM(M507:M508)</f>
        <v>0</v>
      </c>
    </row>
    <row r="510" spans="2:17" x14ac:dyDescent="0.2">
      <c r="H510" s="214"/>
      <c r="J510" s="12"/>
      <c r="K510" s="12"/>
      <c r="Q510" s="166"/>
    </row>
    <row r="511" spans="2:17" x14ac:dyDescent="0.2">
      <c r="B511" s="273" t="s">
        <v>139</v>
      </c>
      <c r="F511" s="810">
        <v>2019</v>
      </c>
      <c r="H511" s="214"/>
      <c r="J511" s="12"/>
      <c r="K511" s="12"/>
      <c r="Q511" s="166"/>
    </row>
    <row r="512" spans="2:17" x14ac:dyDescent="0.2">
      <c r="H512" s="214"/>
      <c r="J512" s="12"/>
      <c r="K512" s="12"/>
      <c r="Q512" s="166"/>
    </row>
    <row r="513" spans="2:17" ht="75.75" customHeight="1" x14ac:dyDescent="0.2">
      <c r="B513" s="1101" t="s">
        <v>140</v>
      </c>
      <c r="C513" s="1102"/>
      <c r="D513" s="1102"/>
      <c r="E513" s="1103"/>
      <c r="F513" s="274"/>
      <c r="G513" s="165" t="str">
        <f>"Nog af te bouwen regulatoir saldo einde "&amp;F511-1</f>
        <v>Nog af te bouwen regulatoir saldo einde 2018</v>
      </c>
      <c r="H513" s="165" t="str">
        <f>"Afbouw oudste openstaande regulatoir saldo vanaf boekjaar "&amp;F511-3&amp;" en vroeger, door aanwending van compensatie met regulatoir saldo ontstaan over boekjaar "&amp;F511-2</f>
        <v>Afbouw oudste openstaande regulatoir saldo vanaf boekjaar 2016 en vroeger, door aanwending van compensatie met regulatoir saldo ontstaan over boekjaar 2017</v>
      </c>
      <c r="I513" s="165" t="str">
        <f>"Nog af te bouwen regulatoir saldo na compensatie einde "&amp;F511-1</f>
        <v>Nog af te bouwen regulatoir saldo na compensatie einde 2018</v>
      </c>
      <c r="J513" s="165" t="str">
        <f>"Aanwending van "&amp;IF($B$7="elektriciteit","75%",IF($B$7="gas","40%","FALSE"))&amp;" van het geaccumuleerd regulatoir saldo door te rekenen volgens de tariefmethodologie in het boekjaar "&amp;F511</f>
        <v>Aanwending van 40% van het geaccumuleerd regulatoir saldo door te rekenen volgens de tariefmethodologie in het boekjaar 2019</v>
      </c>
      <c r="K513" s="165" t="str">
        <f>"Aanwending van "&amp;IF($B$7="elektriciteit","75%",IF($B$7="gas","40%","FALSE"))&amp;" van het geaccumuleerd regulatoir saldo door te rekenen volgens de tariefmethodologie in het boekjaar "&amp;F511</f>
        <v>Aanwending van 40% van het geaccumuleerd regulatoir saldo door te rekenen volgens de tariefmethodologie in het boekjaar 2019</v>
      </c>
      <c r="L513" s="165" t="str">
        <f>"Totale afbouw over "&amp;F511</f>
        <v>Totale afbouw over 2019</v>
      </c>
      <c r="M513" s="165" t="str">
        <f>"Nog af te bouwen regulatoir saldo einde "&amp;F511</f>
        <v>Nog af te bouwen regulatoir saldo einde 2019</v>
      </c>
      <c r="N513" s="206"/>
      <c r="Q513" s="166"/>
    </row>
    <row r="514" spans="2:17" x14ac:dyDescent="0.2">
      <c r="B514" s="1104">
        <v>2015</v>
      </c>
      <c r="C514" s="1105"/>
      <c r="D514" s="1105"/>
      <c r="E514" s="1106"/>
      <c r="F514" s="275"/>
      <c r="G514" s="176">
        <f>+M507</f>
        <v>0</v>
      </c>
      <c r="H514" s="813">
        <f>IF(SIGN(G516*M509)&lt;0,IF(G514&lt;&gt;0,-SIGN(G514)*MIN(ABS(G516),ABS(G514)),0),0)</f>
        <v>0</v>
      </c>
      <c r="I514" s="176">
        <f>+G514+H514</f>
        <v>0</v>
      </c>
      <c r="J514" s="820"/>
      <c r="K514" s="821">
        <f>-MIN(ABS(I514),ABS(J517))*SIGN(I514)</f>
        <v>0</v>
      </c>
      <c r="L514" s="813">
        <f>+K514+H514</f>
        <v>0</v>
      </c>
      <c r="M514" s="176">
        <f>+I514+K514</f>
        <v>0</v>
      </c>
      <c r="N514" s="206"/>
      <c r="Q514" s="166"/>
    </row>
    <row r="515" spans="2:17" x14ac:dyDescent="0.2">
      <c r="B515" s="1104">
        <v>2016</v>
      </c>
      <c r="C515" s="1105"/>
      <c r="D515" s="1105">
        <v>2016</v>
      </c>
      <c r="E515" s="1106"/>
      <c r="F515" s="275"/>
      <c r="G515" s="176">
        <f>+M508</f>
        <v>0</v>
      </c>
      <c r="H515" s="813">
        <f>IF(SIGN(G516*M509)&lt;0,IF(G515&lt;&gt;0,-SIGN(G515)*MIN(ABS(G516-H514),ABS(G515)),0),0)</f>
        <v>0</v>
      </c>
      <c r="I515" s="176">
        <f>+G515+H515</f>
        <v>0</v>
      </c>
      <c r="J515" s="820"/>
      <c r="K515" s="821">
        <f>-MIN(ABS(I515),ABS(J517-K514))*SIGN(I515)</f>
        <v>0</v>
      </c>
      <c r="L515" s="813">
        <f>+K515+H515</f>
        <v>0</v>
      </c>
      <c r="M515" s="176">
        <f>+I515+K515</f>
        <v>0</v>
      </c>
      <c r="N515" s="206"/>
      <c r="Q515" s="166"/>
    </row>
    <row r="516" spans="2:17" x14ac:dyDescent="0.2">
      <c r="B516" s="1104">
        <v>2017</v>
      </c>
      <c r="C516" s="1105"/>
      <c r="D516" s="1105"/>
      <c r="E516" s="1106"/>
      <c r="F516" s="275"/>
      <c r="G516" s="176">
        <f>I198</f>
        <v>0</v>
      </c>
      <c r="H516" s="813">
        <f>IF(SIGN(G516*M509)&lt;0,-SUM(H514:H515),0)</f>
        <v>0</v>
      </c>
      <c r="I516" s="176">
        <f>+G516+H516</f>
        <v>0</v>
      </c>
      <c r="J516" s="820"/>
      <c r="K516" s="821">
        <f>-MIN(ABS(I516),ABS(J517-K514-K515))*SIGN(I516)</f>
        <v>0</v>
      </c>
      <c r="L516" s="813">
        <f>+K516+H516</f>
        <v>0</v>
      </c>
      <c r="M516" s="176">
        <f>+I516+K516</f>
        <v>0</v>
      </c>
      <c r="N516" s="206"/>
      <c r="Q516" s="166"/>
    </row>
    <row r="517" spans="2:17" s="273" customFormat="1" x14ac:dyDescent="0.2">
      <c r="G517" s="276">
        <f>SUM(G514:G516)</f>
        <v>0</v>
      </c>
      <c r="H517" s="168">
        <f>SUM(H514:H516)</f>
        <v>0</v>
      </c>
      <c r="I517" s="276">
        <f>SUM(I514:I516)</f>
        <v>0</v>
      </c>
      <c r="J517" s="208">
        <f>-I517*IF($B$7="elektriciteit",0.75,IF($B$7="gas",0.4,"FALSE"))</f>
        <v>0</v>
      </c>
      <c r="K517" s="286">
        <f>SUM(K514:K516)</f>
        <v>0</v>
      </c>
      <c r="L517" s="528"/>
      <c r="M517" s="276">
        <f>SUM(M514:M516)</f>
        <v>0</v>
      </c>
    </row>
    <row r="518" spans="2:17" x14ac:dyDescent="0.2">
      <c r="H518" s="214"/>
      <c r="J518" s="12"/>
      <c r="K518" s="12"/>
      <c r="Q518" s="166"/>
    </row>
    <row r="519" spans="2:17" x14ac:dyDescent="0.2">
      <c r="B519" s="273" t="s">
        <v>139</v>
      </c>
      <c r="F519" s="810">
        <v>2020</v>
      </c>
      <c r="H519" s="214"/>
      <c r="J519" s="12"/>
      <c r="K519" s="12"/>
      <c r="Q519" s="166"/>
    </row>
    <row r="520" spans="2:17" x14ac:dyDescent="0.2">
      <c r="H520" s="214"/>
      <c r="J520" s="12"/>
      <c r="K520" s="12"/>
      <c r="Q520" s="166"/>
    </row>
    <row r="521" spans="2:17" ht="78" customHeight="1" x14ac:dyDescent="0.2">
      <c r="B521" s="1101" t="s">
        <v>140</v>
      </c>
      <c r="C521" s="1102"/>
      <c r="D521" s="1102"/>
      <c r="E521" s="1103"/>
      <c r="F521" s="274"/>
      <c r="G521" s="165" t="str">
        <f>"Nog af te bouwen regulatoir saldo einde "&amp;F519-1</f>
        <v>Nog af te bouwen regulatoir saldo einde 2019</v>
      </c>
      <c r="H521" s="165" t="str">
        <f>"Afbouw oudste openstaande regulatoir saldo vanaf boekjaar "&amp;F519-3&amp;" en vroeger, door aanwending van compensatie met regulatoir saldo ontstaan over boekjaar "&amp;F519-2</f>
        <v>Afbouw oudste openstaande regulatoir saldo vanaf boekjaar 2017 en vroeger, door aanwending van compensatie met regulatoir saldo ontstaan over boekjaar 2018</v>
      </c>
      <c r="I521" s="165" t="str">
        <f>"Nog af te bouwen regulatoir saldo na compensatie einde "&amp;F519-1</f>
        <v>Nog af te bouwen regulatoir saldo na compensatie einde 2019</v>
      </c>
      <c r="J521" s="165" t="str">
        <f>"Aanwending van "&amp;IF($B$7="elektriciteit","75%",IF($B$7="gas","40%","FALSE"))&amp;" van het geaccumuleerd regulatoir saldo door te rekenen volgens de tariefmethodologie in het boekjaar "&amp;F519</f>
        <v>Aanwending van 40% van het geaccumuleerd regulatoir saldo door te rekenen volgens de tariefmethodologie in het boekjaar 2020</v>
      </c>
      <c r="K521" s="165" t="str">
        <f>"Aanwending van "&amp;IF($B$7="elektriciteit","75%",IF($B$7="gas","40%","FALSE"))&amp;" van het geaccumuleerd regulatoir saldo door te rekenen volgens de tariefmethodologie in het boekjaar "&amp;F519</f>
        <v>Aanwending van 40% van het geaccumuleerd regulatoir saldo door te rekenen volgens de tariefmethodologie in het boekjaar 2020</v>
      </c>
      <c r="L521" s="165" t="str">
        <f>"Totale afbouw over "&amp;F519</f>
        <v>Totale afbouw over 2020</v>
      </c>
      <c r="M521" s="165" t="str">
        <f>"Nog af te bouwen regulatoir saldo einde "&amp;F519</f>
        <v>Nog af te bouwen regulatoir saldo einde 2020</v>
      </c>
      <c r="N521" s="206"/>
      <c r="Q521" s="166"/>
    </row>
    <row r="522" spans="2:17" x14ac:dyDescent="0.2">
      <c r="B522" s="1104">
        <v>2015</v>
      </c>
      <c r="C522" s="1105"/>
      <c r="D522" s="1105"/>
      <c r="E522" s="1106"/>
      <c r="F522" s="275"/>
      <c r="G522" s="176">
        <f>+M514</f>
        <v>0</v>
      </c>
      <c r="H522" s="813">
        <f>IF(SIGN(G525*M517)&lt;0,IF(G522&lt;&gt;0,-SIGN(G522)*MIN(ABS(G525),ABS(G522)),0),0)</f>
        <v>0</v>
      </c>
      <c r="I522" s="176">
        <f>+G522+H522</f>
        <v>0</v>
      </c>
      <c r="J522" s="820"/>
      <c r="K522" s="821">
        <f>-MIN(ABS(I522),ABS(J526))*SIGN(I522)</f>
        <v>0</v>
      </c>
      <c r="L522" s="813">
        <f>+K522+H522</f>
        <v>0</v>
      </c>
      <c r="M522" s="176">
        <f>+I522+K522</f>
        <v>0</v>
      </c>
      <c r="N522" s="206"/>
      <c r="Q522" s="166"/>
    </row>
    <row r="523" spans="2:17" x14ac:dyDescent="0.2">
      <c r="B523" s="1104">
        <v>2016</v>
      </c>
      <c r="C523" s="1105"/>
      <c r="D523" s="1105"/>
      <c r="E523" s="1106"/>
      <c r="F523" s="275"/>
      <c r="G523" s="176">
        <f>+M515</f>
        <v>0</v>
      </c>
      <c r="H523" s="813">
        <f>IF(SIGN(G525*M517)&lt;0,IF(G523&lt;&gt;0,-SIGN(G523)*MIN(ABS(G525-H522),ABS(G523)),0),0)</f>
        <v>0</v>
      </c>
      <c r="I523" s="176">
        <f>+G523+H523</f>
        <v>0</v>
      </c>
      <c r="J523" s="820"/>
      <c r="K523" s="821">
        <f>-MIN(ABS(I523),ABS(J526-K522))*SIGN(I523)</f>
        <v>0</v>
      </c>
      <c r="L523" s="813">
        <f>+K523+H523</f>
        <v>0</v>
      </c>
      <c r="M523" s="176">
        <f>+I523+K523</f>
        <v>0</v>
      </c>
      <c r="N523" s="206"/>
      <c r="Q523" s="166"/>
    </row>
    <row r="524" spans="2:17" x14ac:dyDescent="0.2">
      <c r="B524" s="1104">
        <v>2017</v>
      </c>
      <c r="C524" s="1105"/>
      <c r="D524" s="1105">
        <v>2016</v>
      </c>
      <c r="E524" s="1106"/>
      <c r="F524" s="275"/>
      <c r="G524" s="176">
        <f>+M516</f>
        <v>0</v>
      </c>
      <c r="H524" s="813">
        <f>IF(SIGN(G525*M517)&lt;0,IF(G524&lt;&gt;0,-SIGN(G524)*MIN(ABS(G525-H522-H523),ABS(G524)),0),0)</f>
        <v>0</v>
      </c>
      <c r="I524" s="176">
        <f>+G524+H524</f>
        <v>0</v>
      </c>
      <c r="J524" s="820"/>
      <c r="K524" s="821">
        <f>-MIN(ABS(I524),ABS(J526-K522-K523))*SIGN(I524)</f>
        <v>0</v>
      </c>
      <c r="L524" s="813">
        <f>+K524+H524</f>
        <v>0</v>
      </c>
      <c r="M524" s="176">
        <f>+I524+K524</f>
        <v>0</v>
      </c>
      <c r="N524" s="206"/>
      <c r="Q524" s="166"/>
    </row>
    <row r="525" spans="2:17" x14ac:dyDescent="0.2">
      <c r="B525" s="1104">
        <v>2018</v>
      </c>
      <c r="C525" s="1105"/>
      <c r="D525" s="1105"/>
      <c r="E525" s="1106"/>
      <c r="F525" s="275"/>
      <c r="G525" s="176">
        <f>J199</f>
        <v>0</v>
      </c>
      <c r="H525" s="813">
        <f>IF(SIGN(G525*M517)&lt;0,-SUM(H522:H524),0)</f>
        <v>0</v>
      </c>
      <c r="I525" s="176">
        <f>+G525+H525</f>
        <v>0</v>
      </c>
      <c r="J525" s="820"/>
      <c r="K525" s="821">
        <f>-MIN(ABS(I525),ABS(J526-K522-K523-K524))*SIGN(I525)</f>
        <v>0</v>
      </c>
      <c r="L525" s="813">
        <f>+K525+H525</f>
        <v>0</v>
      </c>
      <c r="M525" s="176">
        <f>+I525+K525</f>
        <v>0</v>
      </c>
      <c r="N525" s="206"/>
      <c r="Q525" s="166"/>
    </row>
    <row r="526" spans="2:17" s="273" customFormat="1" x14ac:dyDescent="0.2">
      <c r="G526" s="276">
        <f>SUM(G522:G525)</f>
        <v>0</v>
      </c>
      <c r="H526" s="168">
        <f>SUM(H522:H525)</f>
        <v>0</v>
      </c>
      <c r="I526" s="276">
        <f>SUM(I522:I525)</f>
        <v>0</v>
      </c>
      <c r="J526" s="208">
        <f>-I526*IF($B$7="elektriciteit",0.75,IF($B$7="gas",0.4,"FALSE"))</f>
        <v>0</v>
      </c>
      <c r="K526" s="286">
        <f>SUM(K522:K525)</f>
        <v>0</v>
      </c>
      <c r="L526" s="168"/>
      <c r="M526" s="276">
        <f>SUM(M522:M525)</f>
        <v>0</v>
      </c>
    </row>
    <row r="527" spans="2:17" x14ac:dyDescent="0.2">
      <c r="H527" s="214"/>
      <c r="K527" s="214"/>
      <c r="L527" s="214"/>
      <c r="Q527" s="166"/>
    </row>
    <row r="528" spans="2:17" x14ac:dyDescent="0.2">
      <c r="B528" s="273" t="s">
        <v>139</v>
      </c>
      <c r="F528" s="810">
        <v>2021</v>
      </c>
      <c r="H528" s="214"/>
      <c r="Q528" s="166"/>
    </row>
    <row r="529" spans="2:17" x14ac:dyDescent="0.2">
      <c r="H529" s="214"/>
      <c r="Q529" s="166"/>
    </row>
    <row r="530" spans="2:17" ht="78" customHeight="1" x14ac:dyDescent="0.2">
      <c r="B530" s="1101" t="s">
        <v>140</v>
      </c>
      <c r="C530" s="1102"/>
      <c r="D530" s="1102"/>
      <c r="E530" s="1103"/>
      <c r="F530" s="274"/>
      <c r="G530" s="165" t="str">
        <f>"Nog af te bouwen regulatoir saldo einde "&amp;F528-1</f>
        <v>Nog af te bouwen regulatoir saldo einde 2020</v>
      </c>
      <c r="H530" s="165" t="str">
        <f>"50% van het oorspronkelijk regulatoir saldo door te rekenen volgens de tariefmethodologie in het boekjaar "&amp;F528</f>
        <v>50% van het oorspronkelijk regulatoir saldo door te rekenen volgens de tariefmethodologie in het boekjaar 2021</v>
      </c>
      <c r="I530" s="165" t="str">
        <f>"Nog af te bouwen regulatoir saldo einde "&amp;F528</f>
        <v>Nog af te bouwen regulatoir saldo einde 2021</v>
      </c>
      <c r="J530" s="206"/>
      <c r="Q530" s="166"/>
    </row>
    <row r="531" spans="2:17" x14ac:dyDescent="0.2">
      <c r="B531" s="1104">
        <v>2015</v>
      </c>
      <c r="C531" s="1105"/>
      <c r="D531" s="1105"/>
      <c r="E531" s="1106"/>
      <c r="F531" s="275"/>
      <c r="G531" s="176">
        <f>M522</f>
        <v>0</v>
      </c>
      <c r="H531" s="521">
        <f>-G531*0.5</f>
        <v>0</v>
      </c>
      <c r="I531" s="176">
        <f>+G531+H531</f>
        <v>0</v>
      </c>
      <c r="J531" s="206"/>
      <c r="Q531" s="166"/>
    </row>
    <row r="532" spans="2:17" x14ac:dyDescent="0.2">
      <c r="B532" s="1104">
        <v>2016</v>
      </c>
      <c r="C532" s="1105"/>
      <c r="D532" s="1105"/>
      <c r="E532" s="1106"/>
      <c r="F532" s="275"/>
      <c r="G532" s="176">
        <f t="shared" ref="G532:G534" si="70">M523</f>
        <v>0</v>
      </c>
      <c r="H532" s="521">
        <f t="shared" ref="H532:H535" si="71">-G532*0.5</f>
        <v>0</v>
      </c>
      <c r="I532" s="176">
        <f t="shared" ref="I532:I535" si="72">+G532+H532</f>
        <v>0</v>
      </c>
      <c r="J532" s="206"/>
      <c r="Q532" s="166"/>
    </row>
    <row r="533" spans="2:17" x14ac:dyDescent="0.2">
      <c r="B533" s="1104">
        <v>2017</v>
      </c>
      <c r="C533" s="1105"/>
      <c r="D533" s="1105">
        <v>2016</v>
      </c>
      <c r="E533" s="1106"/>
      <c r="F533" s="275"/>
      <c r="G533" s="176">
        <f t="shared" si="70"/>
        <v>0</v>
      </c>
      <c r="H533" s="521">
        <f t="shared" si="71"/>
        <v>0</v>
      </c>
      <c r="I533" s="176">
        <f t="shared" si="72"/>
        <v>0</v>
      </c>
      <c r="J533" s="206"/>
      <c r="Q533" s="166"/>
    </row>
    <row r="534" spans="2:17" x14ac:dyDescent="0.2">
      <c r="B534" s="1104">
        <v>2018</v>
      </c>
      <c r="C534" s="1105"/>
      <c r="D534" s="1105"/>
      <c r="E534" s="1106"/>
      <c r="F534" s="275"/>
      <c r="G534" s="176">
        <f t="shared" si="70"/>
        <v>0</v>
      </c>
      <c r="H534" s="521">
        <f t="shared" si="71"/>
        <v>0</v>
      </c>
      <c r="I534" s="176">
        <f t="shared" si="72"/>
        <v>0</v>
      </c>
      <c r="J534" s="206"/>
      <c r="Q534" s="166"/>
    </row>
    <row r="535" spans="2:17" x14ac:dyDescent="0.2">
      <c r="B535" s="1104">
        <v>2019</v>
      </c>
      <c r="C535" s="1105"/>
      <c r="D535" s="1105"/>
      <c r="E535" s="1106"/>
      <c r="F535" s="275"/>
      <c r="G535" s="176">
        <f>K200</f>
        <v>0</v>
      </c>
      <c r="H535" s="521">
        <f t="shared" si="71"/>
        <v>0</v>
      </c>
      <c r="I535" s="176">
        <f t="shared" si="72"/>
        <v>0</v>
      </c>
      <c r="J535" s="206"/>
      <c r="Q535" s="166"/>
    </row>
    <row r="536" spans="2:17" s="273" customFormat="1" x14ac:dyDescent="0.2">
      <c r="G536" s="276">
        <f>SUM(G531:G535)</f>
        <v>0</v>
      </c>
      <c r="H536" s="168">
        <f>SUM(H531:H535)</f>
        <v>0</v>
      </c>
      <c r="I536" s="276">
        <f>SUM(I531:I535)</f>
        <v>0</v>
      </c>
    </row>
    <row r="537" spans="2:17" x14ac:dyDescent="0.2">
      <c r="H537" s="214"/>
      <c r="Q537" s="166"/>
    </row>
    <row r="538" spans="2:17" x14ac:dyDescent="0.2">
      <c r="B538" s="273" t="s">
        <v>139</v>
      </c>
      <c r="F538" s="810">
        <v>2022</v>
      </c>
      <c r="H538" s="214"/>
      <c r="Q538" s="166"/>
    </row>
    <row r="539" spans="2:17" x14ac:dyDescent="0.2">
      <c r="H539" s="214"/>
      <c r="Q539" s="166"/>
    </row>
    <row r="540" spans="2:17" ht="78" customHeight="1" x14ac:dyDescent="0.2">
      <c r="B540" s="1101" t="s">
        <v>140</v>
      </c>
      <c r="C540" s="1102"/>
      <c r="D540" s="1102"/>
      <c r="E540" s="1103"/>
      <c r="F540" s="274"/>
      <c r="G540" s="165" t="str">
        <f>"Nog af te bouwen regulatoir saldo einde "&amp;F538-1</f>
        <v>Nog af te bouwen regulatoir saldo einde 2021</v>
      </c>
      <c r="H540" s="165" t="str">
        <f>"50% van het oorspronkelijk regulatoir saldo door te rekenen volgens de tariefmethodologie in het boekjaar "&amp;F538</f>
        <v>50% van het oorspronkelijk regulatoir saldo door te rekenen volgens de tariefmethodologie in het boekjaar 2022</v>
      </c>
      <c r="I540" s="165" t="str">
        <f>"Nog af te bouwen regulatoir saldo einde "&amp;F538</f>
        <v>Nog af te bouwen regulatoir saldo einde 2022</v>
      </c>
      <c r="J540" s="206"/>
      <c r="Q540" s="166"/>
    </row>
    <row r="541" spans="2:17" x14ac:dyDescent="0.2">
      <c r="B541" s="1104">
        <v>2015</v>
      </c>
      <c r="C541" s="1105"/>
      <c r="D541" s="1105"/>
      <c r="E541" s="1106"/>
      <c r="F541" s="275"/>
      <c r="G541" s="176">
        <f>+I531</f>
        <v>0</v>
      </c>
      <c r="H541" s="521">
        <f>-G531*0.5</f>
        <v>0</v>
      </c>
      <c r="I541" s="176">
        <f>+G541+H541</f>
        <v>0</v>
      </c>
      <c r="J541" s="206"/>
      <c r="Q541" s="166"/>
    </row>
    <row r="542" spans="2:17" x14ac:dyDescent="0.2">
      <c r="B542" s="1104">
        <v>2016</v>
      </c>
      <c r="C542" s="1105"/>
      <c r="D542" s="1105"/>
      <c r="E542" s="1106"/>
      <c r="F542" s="275"/>
      <c r="G542" s="176">
        <f t="shared" ref="G542:G545" si="73">+I532</f>
        <v>0</v>
      </c>
      <c r="H542" s="521">
        <f t="shared" ref="H542:H545" si="74">-G532*0.5</f>
        <v>0</v>
      </c>
      <c r="I542" s="176">
        <f t="shared" ref="I542:I546" si="75">+G542+H542</f>
        <v>0</v>
      </c>
      <c r="J542" s="206"/>
      <c r="Q542" s="166"/>
    </row>
    <row r="543" spans="2:17" x14ac:dyDescent="0.2">
      <c r="B543" s="1104">
        <v>2017</v>
      </c>
      <c r="C543" s="1105"/>
      <c r="D543" s="1105">
        <v>2016</v>
      </c>
      <c r="E543" s="1106"/>
      <c r="F543" s="275"/>
      <c r="G543" s="176">
        <f t="shared" si="73"/>
        <v>0</v>
      </c>
      <c r="H543" s="521">
        <f t="shared" si="74"/>
        <v>0</v>
      </c>
      <c r="I543" s="176">
        <f t="shared" si="75"/>
        <v>0</v>
      </c>
      <c r="J543" s="206"/>
      <c r="Q543" s="166"/>
    </row>
    <row r="544" spans="2:17" x14ac:dyDescent="0.2">
      <c r="B544" s="1104">
        <v>2018</v>
      </c>
      <c r="C544" s="1105"/>
      <c r="D544" s="1105"/>
      <c r="E544" s="1106"/>
      <c r="F544" s="275"/>
      <c r="G544" s="176">
        <f t="shared" si="73"/>
        <v>0</v>
      </c>
      <c r="H544" s="521">
        <f t="shared" si="74"/>
        <v>0</v>
      </c>
      <c r="I544" s="176">
        <f t="shared" si="75"/>
        <v>0</v>
      </c>
      <c r="J544" s="206"/>
      <c r="Q544" s="166"/>
    </row>
    <row r="545" spans="2:17" x14ac:dyDescent="0.2">
      <c r="B545" s="1104">
        <v>2019</v>
      </c>
      <c r="C545" s="1105"/>
      <c r="D545" s="1105"/>
      <c r="E545" s="1106"/>
      <c r="F545" s="275"/>
      <c r="G545" s="176">
        <f t="shared" si="73"/>
        <v>0</v>
      </c>
      <c r="H545" s="521">
        <f t="shared" si="74"/>
        <v>0</v>
      </c>
      <c r="I545" s="176">
        <f t="shared" si="75"/>
        <v>0</v>
      </c>
      <c r="J545" s="206"/>
      <c r="Q545" s="166"/>
    </row>
    <row r="546" spans="2:17" x14ac:dyDescent="0.2">
      <c r="B546" s="1104">
        <v>2020</v>
      </c>
      <c r="C546" s="1105"/>
      <c r="D546" s="1105"/>
      <c r="E546" s="1106"/>
      <c r="F546" s="275"/>
      <c r="G546" s="176">
        <f>L201</f>
        <v>0</v>
      </c>
      <c r="H546" s="521">
        <f t="shared" ref="H546" si="76">-G546*0.5</f>
        <v>0</v>
      </c>
      <c r="I546" s="176">
        <f t="shared" si="75"/>
        <v>0</v>
      </c>
      <c r="J546" s="206"/>
      <c r="Q546" s="166"/>
    </row>
    <row r="547" spans="2:17" s="273" customFormat="1" x14ac:dyDescent="0.2">
      <c r="G547" s="276">
        <f>SUM(G541:G546)</f>
        <v>0</v>
      </c>
      <c r="H547" s="168">
        <f t="shared" ref="H547:I547" si="77">SUM(H541:H546)</f>
        <v>0</v>
      </c>
      <c r="I547" s="276">
        <f t="shared" si="77"/>
        <v>0</v>
      </c>
    </row>
    <row r="548" spans="2:17" x14ac:dyDescent="0.2">
      <c r="H548" s="214"/>
      <c r="Q548" s="166"/>
    </row>
    <row r="549" spans="2:17" x14ac:dyDescent="0.2">
      <c r="B549" s="273" t="s">
        <v>139</v>
      </c>
      <c r="F549" s="810">
        <v>2023</v>
      </c>
      <c r="H549" s="214"/>
      <c r="Q549" s="166"/>
    </row>
    <row r="550" spans="2:17" x14ac:dyDescent="0.2">
      <c r="H550" s="214"/>
      <c r="Q550" s="166"/>
    </row>
    <row r="551" spans="2:17" ht="78" customHeight="1" x14ac:dyDescent="0.2">
      <c r="B551" s="1101" t="s">
        <v>140</v>
      </c>
      <c r="C551" s="1102"/>
      <c r="D551" s="1102"/>
      <c r="E551" s="1103"/>
      <c r="F551" s="274"/>
      <c r="G551" s="165" t="str">
        <f>"Nog af te bouwen regulatoir saldo einde "&amp;F549-1</f>
        <v>Nog af te bouwen regulatoir saldo einde 2022</v>
      </c>
      <c r="H551" s="165" t="str">
        <f>"50% van het oorspronkelijk regulatoir saldo door te rekenen volgens de tariefmethodologie in het boekjaar "&amp;F549</f>
        <v>50% van het oorspronkelijk regulatoir saldo door te rekenen volgens de tariefmethodologie in het boekjaar 2023</v>
      </c>
      <c r="I551" s="165" t="str">
        <f>"Nog af te bouwen regulatoir saldo einde "&amp;F549</f>
        <v>Nog af te bouwen regulatoir saldo einde 2023</v>
      </c>
      <c r="J551" s="206"/>
      <c r="Q551" s="166"/>
    </row>
    <row r="552" spans="2:17" x14ac:dyDescent="0.2">
      <c r="B552" s="1104">
        <v>2020</v>
      </c>
      <c r="C552" s="1105"/>
      <c r="D552" s="1105"/>
      <c r="E552" s="1106"/>
      <c r="F552" s="275"/>
      <c r="G552" s="176">
        <f>+I546</f>
        <v>0</v>
      </c>
      <c r="H552" s="521">
        <f>-G546*0.5</f>
        <v>0</v>
      </c>
      <c r="I552" s="176">
        <f t="shared" ref="I552:I553" si="78">+G552+H552</f>
        <v>0</v>
      </c>
      <c r="J552" s="206"/>
      <c r="Q552" s="166"/>
    </row>
    <row r="553" spans="2:17" x14ac:dyDescent="0.2">
      <c r="B553" s="1104">
        <v>2021</v>
      </c>
      <c r="C553" s="1105"/>
      <c r="D553" s="1105"/>
      <c r="E553" s="1106"/>
      <c r="F553" s="275"/>
      <c r="G553" s="176">
        <f>M202</f>
        <v>0</v>
      </c>
      <c r="H553" s="521">
        <f t="shared" ref="H553" si="79">-G553*0.5</f>
        <v>0</v>
      </c>
      <c r="I553" s="176">
        <f t="shared" si="78"/>
        <v>0</v>
      </c>
      <c r="J553" s="206"/>
      <c r="Q553" s="166"/>
    </row>
    <row r="554" spans="2:17" s="273" customFormat="1" x14ac:dyDescent="0.2">
      <c r="G554" s="276">
        <f>SUM(G552:G553)</f>
        <v>0</v>
      </c>
      <c r="H554" s="168">
        <f>SUM(H552:H553)</f>
        <v>0</v>
      </c>
      <c r="I554" s="276">
        <f>SUM(I552:I553)</f>
        <v>0</v>
      </c>
    </row>
    <row r="555" spans="2:17" x14ac:dyDescent="0.2">
      <c r="H555" s="214"/>
      <c r="Q555" s="166"/>
    </row>
    <row r="556" spans="2:17" x14ac:dyDescent="0.2">
      <c r="B556" s="273" t="s">
        <v>139</v>
      </c>
      <c r="F556" s="810">
        <v>2024</v>
      </c>
      <c r="H556" s="214"/>
      <c r="Q556" s="166"/>
    </row>
    <row r="557" spans="2:17" x14ac:dyDescent="0.2">
      <c r="H557" s="214"/>
      <c r="Q557" s="166"/>
    </row>
    <row r="558" spans="2:17" ht="78" customHeight="1" x14ac:dyDescent="0.2">
      <c r="B558" s="1101" t="s">
        <v>140</v>
      </c>
      <c r="C558" s="1102"/>
      <c r="D558" s="1102"/>
      <c r="E558" s="1103"/>
      <c r="F558" s="274"/>
      <c r="G558" s="165" t="str">
        <f>"Nog af te bouwen regulatoir saldo einde "&amp;F556-1</f>
        <v>Nog af te bouwen regulatoir saldo einde 2023</v>
      </c>
      <c r="H558" s="165" t="str">
        <f>"50% van het oorspronkelijk regulatoir saldo door te rekenen volgens de tariefmethodologie in het boekjaar "&amp;F556</f>
        <v>50% van het oorspronkelijk regulatoir saldo door te rekenen volgens de tariefmethodologie in het boekjaar 2024</v>
      </c>
      <c r="I558" s="165" t="str">
        <f>"Nog af te bouwen regulatoir saldo einde "&amp;F556</f>
        <v>Nog af te bouwen regulatoir saldo einde 2024</v>
      </c>
      <c r="J558" s="206"/>
      <c r="Q558" s="166"/>
    </row>
    <row r="559" spans="2:17" x14ac:dyDescent="0.2">
      <c r="B559" s="1104">
        <v>2021</v>
      </c>
      <c r="C559" s="1105"/>
      <c r="D559" s="1105"/>
      <c r="E559" s="1106"/>
      <c r="F559" s="275"/>
      <c r="G559" s="176">
        <f>+I553</f>
        <v>0</v>
      </c>
      <c r="H559" s="521">
        <f>-G553*0.5</f>
        <v>0</v>
      </c>
      <c r="I559" s="176">
        <f t="shared" ref="I559:I560" si="80">+G559+H559</f>
        <v>0</v>
      </c>
      <c r="J559" s="206"/>
      <c r="Q559" s="166"/>
    </row>
    <row r="560" spans="2:17" x14ac:dyDescent="0.2">
      <c r="B560" s="1104">
        <v>2022</v>
      </c>
      <c r="C560" s="1105"/>
      <c r="D560" s="1105"/>
      <c r="E560" s="1106"/>
      <c r="F560" s="275"/>
      <c r="G560" s="176">
        <f>N203</f>
        <v>0</v>
      </c>
      <c r="H560" s="521">
        <f t="shared" ref="H560" si="81">-G560*0.5</f>
        <v>0</v>
      </c>
      <c r="I560" s="176">
        <f t="shared" si="80"/>
        <v>0</v>
      </c>
      <c r="J560" s="206"/>
      <c r="Q560" s="166"/>
    </row>
    <row r="561" spans="2:17" s="273" customFormat="1" x14ac:dyDescent="0.2">
      <c r="G561" s="276">
        <f>SUM(G559:G560)</f>
        <v>0</v>
      </c>
      <c r="H561" s="168">
        <f>SUM(H559:H560)</f>
        <v>0</v>
      </c>
      <c r="I561" s="276">
        <f>SUM(I559:I560)</f>
        <v>0</v>
      </c>
    </row>
    <row r="562" spans="2:17" x14ac:dyDescent="0.2">
      <c r="H562" s="214"/>
      <c r="Q562" s="166"/>
    </row>
    <row r="563" spans="2:17" x14ac:dyDescent="0.2">
      <c r="B563" s="273" t="s">
        <v>67</v>
      </c>
      <c r="H563" s="214"/>
      <c r="Q563" s="166"/>
    </row>
    <row r="564" spans="2:17" x14ac:dyDescent="0.2">
      <c r="B564" s="273" t="s">
        <v>141</v>
      </c>
      <c r="C564" s="216"/>
      <c r="D564" s="216"/>
      <c r="E564" s="216"/>
      <c r="H564" s="214"/>
      <c r="Q564" s="166"/>
    </row>
    <row r="565" spans="2:17" x14ac:dyDescent="0.2">
      <c r="B565" s="273"/>
      <c r="C565" s="216"/>
      <c r="D565" s="216"/>
      <c r="E565" s="216"/>
      <c r="H565" s="214"/>
      <c r="Q565" s="166"/>
    </row>
    <row r="566" spans="2:17" x14ac:dyDescent="0.2">
      <c r="B566" s="275">
        <v>2021</v>
      </c>
      <c r="C566" s="279">
        <f>+H536</f>
        <v>0</v>
      </c>
      <c r="D566" s="216"/>
      <c r="E566" s="216"/>
      <c r="H566" s="214"/>
      <c r="Q566" s="166"/>
    </row>
    <row r="567" spans="2:17" x14ac:dyDescent="0.2">
      <c r="B567" s="275">
        <v>2022</v>
      </c>
      <c r="C567" s="279">
        <f>+H547</f>
        <v>0</v>
      </c>
      <c r="D567" s="216"/>
      <c r="E567" s="216"/>
      <c r="H567" s="214"/>
      <c r="Q567" s="166"/>
    </row>
    <row r="568" spans="2:17" x14ac:dyDescent="0.2">
      <c r="B568" s="275">
        <v>2023</v>
      </c>
      <c r="C568" s="279">
        <f>+H554</f>
        <v>0</v>
      </c>
      <c r="D568" s="216"/>
      <c r="E568" s="216"/>
      <c r="H568" s="214"/>
      <c r="Q568" s="166"/>
    </row>
    <row r="569" spans="2:17" x14ac:dyDescent="0.2">
      <c r="B569" s="275">
        <v>2024</v>
      </c>
      <c r="C569" s="279">
        <f>+H561</f>
        <v>0</v>
      </c>
      <c r="D569" s="216"/>
      <c r="E569" s="216"/>
      <c r="H569" s="214"/>
      <c r="Q569" s="166"/>
    </row>
    <row r="570" spans="2:17" x14ac:dyDescent="0.2">
      <c r="H570" s="214"/>
      <c r="Q570" s="166"/>
    </row>
    <row r="571" spans="2:17" x14ac:dyDescent="0.2">
      <c r="H571" s="214"/>
      <c r="Q571" s="166"/>
    </row>
    <row r="572" spans="2:17" x14ac:dyDescent="0.2">
      <c r="B572" s="321" t="s">
        <v>96</v>
      </c>
      <c r="C572" s="322"/>
      <c r="D572" s="322"/>
      <c r="E572" s="322"/>
      <c r="F572" s="323"/>
      <c r="G572" s="323"/>
      <c r="H572" s="527"/>
      <c r="I572" s="323"/>
      <c r="J572" s="323"/>
      <c r="K572" s="323"/>
      <c r="L572" s="323"/>
      <c r="M572" s="323"/>
      <c r="Q572" s="166"/>
    </row>
    <row r="573" spans="2:17" x14ac:dyDescent="0.2">
      <c r="H573" s="214"/>
      <c r="Q573" s="166"/>
    </row>
    <row r="574" spans="2:17" x14ac:dyDescent="0.2">
      <c r="B574" s="273" t="s">
        <v>139</v>
      </c>
      <c r="F574" s="810">
        <v>2017</v>
      </c>
      <c r="H574" s="214"/>
      <c r="Q574" s="166"/>
    </row>
    <row r="575" spans="2:17" x14ac:dyDescent="0.2">
      <c r="H575" s="214"/>
      <c r="L575" s="206"/>
      <c r="Q575" s="166"/>
    </row>
    <row r="576" spans="2:17" ht="82.5" customHeight="1" x14ac:dyDescent="0.2">
      <c r="B576" s="1101" t="s">
        <v>140</v>
      </c>
      <c r="C576" s="1102"/>
      <c r="D576" s="1102"/>
      <c r="E576" s="1103"/>
      <c r="F576" s="274"/>
      <c r="G576" s="165" t="str">
        <f>"Nog af te bouwen regulatoir saldo einde "&amp;F574-1</f>
        <v>Nog af te bouwen regulatoir saldo einde 2016</v>
      </c>
      <c r="H576" s="165" t="str">
        <f>"Afbouw oudste openstaande regulatoir saldo vanaf boekjaar "&amp;F574-3&amp;" en vroeger, door aanwending van compensatie met regulatoir saldo ontstaan over boekjaar "&amp;F574-2</f>
        <v>Afbouw oudste openstaande regulatoir saldo vanaf boekjaar 2014 en vroeger, door aanwending van compensatie met regulatoir saldo ontstaan over boekjaar 2015</v>
      </c>
      <c r="I576" s="165" t="str">
        <f>"Nog af te bouwen regulatoir saldo na compensatie einde "&amp;F574-1</f>
        <v>Nog af te bouwen regulatoir saldo na compensatie einde 2016</v>
      </c>
      <c r="J576" s="165" t="str">
        <f>"Aanwending van "&amp;IF($B$7="elektriciteit","75%",IF($B$7="gas","40%","FALSE"))&amp;" van het geaccumuleerd regulatoir saldo door te rekenen volgens de tariefmethodologie in het boekjaar "&amp;F574</f>
        <v>Aanwending van 40% van het geaccumuleerd regulatoir saldo door te rekenen volgens de tariefmethodologie in het boekjaar 2017</v>
      </c>
      <c r="K576" s="165" t="str">
        <f>"Nog af te bouwen regulatoir saldo einde "&amp;F574</f>
        <v>Nog af te bouwen regulatoir saldo einde 2017</v>
      </c>
      <c r="L576" s="206"/>
      <c r="Q576" s="166"/>
    </row>
    <row r="577" spans="2:17" x14ac:dyDescent="0.2">
      <c r="B577" s="1104">
        <v>2015</v>
      </c>
      <c r="C577" s="1105"/>
      <c r="D577" s="1105"/>
      <c r="E577" s="1106"/>
      <c r="F577" s="275"/>
      <c r="G577" s="176">
        <f>G207</f>
        <v>0</v>
      </c>
      <c r="H577" s="521">
        <v>0</v>
      </c>
      <c r="I577" s="176">
        <f>+G577+H577</f>
        <v>0</v>
      </c>
      <c r="J577" s="819">
        <f>-I577*IF($B$7="elektriciteit",0.75,IF($B$7="gas",0.4,"FALSE"))</f>
        <v>0</v>
      </c>
      <c r="K577" s="811">
        <f>+J577+G577</f>
        <v>0</v>
      </c>
      <c r="L577" s="206"/>
      <c r="Q577" s="166"/>
    </row>
    <row r="578" spans="2:17" x14ac:dyDescent="0.2">
      <c r="H578" s="214"/>
      <c r="L578" s="206"/>
      <c r="Q578" s="166"/>
    </row>
    <row r="579" spans="2:17" x14ac:dyDescent="0.2">
      <c r="B579" s="273" t="s">
        <v>139</v>
      </c>
      <c r="F579" s="810">
        <v>2018</v>
      </c>
      <c r="H579" s="214"/>
      <c r="Q579" s="166"/>
    </row>
    <row r="580" spans="2:17" x14ac:dyDescent="0.2">
      <c r="H580" s="214"/>
      <c r="Q580" s="166"/>
    </row>
    <row r="581" spans="2:17" ht="69.75" customHeight="1" x14ac:dyDescent="0.2">
      <c r="B581" s="1101" t="s">
        <v>140</v>
      </c>
      <c r="C581" s="1102"/>
      <c r="D581" s="1102"/>
      <c r="E581" s="1103"/>
      <c r="F581" s="274"/>
      <c r="G581" s="165" t="str">
        <f>"Nog af te bouwen regulatoir saldo einde "&amp;F579-1</f>
        <v>Nog af te bouwen regulatoir saldo einde 2017</v>
      </c>
      <c r="H581" s="165" t="str">
        <f>"Afbouw oudste openstaande regulatoir saldo vanaf boekjaar "&amp;F579-3&amp;" en vroeger, door aanwending van compensatie met regulatoir saldo ontstaan over boekjaar "&amp;F579-2</f>
        <v>Afbouw oudste openstaande regulatoir saldo vanaf boekjaar 2015 en vroeger, door aanwending van compensatie met regulatoir saldo ontstaan over boekjaar 2016</v>
      </c>
      <c r="I581" s="165" t="str">
        <f>"Nog af te bouwen regulatoir saldo na compensatie einde "&amp;F579-1</f>
        <v>Nog af te bouwen regulatoir saldo na compensatie einde 2017</v>
      </c>
      <c r="J581" s="165" t="str">
        <f>"Aanwending van "&amp;IF($B$7="elektriciteit","75%",IF($B$7="gas","40%","FALSE"))&amp;" van het geaccumuleerd regulatoir saldo door te rekenen volgens de tariefmethodologie in het boekjaar "&amp;F579</f>
        <v>Aanwending van 40% van het geaccumuleerd regulatoir saldo door te rekenen volgens de tariefmethodologie in het boekjaar 2018</v>
      </c>
      <c r="K581" s="165" t="str">
        <f>"Aanwending van "&amp;IF($B$7="elektriciteit","75%",IF($B$7="gas","40%","FALSE"))&amp;" van het geaccumuleerd regulatoir saldo door te rekenen volgens de tariefmethodologie in het boekjaar "&amp;F579</f>
        <v>Aanwending van 40% van het geaccumuleerd regulatoir saldo door te rekenen volgens de tariefmethodologie in het boekjaar 2018</v>
      </c>
      <c r="L581" s="165" t="str">
        <f>"Totale afbouw over "&amp;F579</f>
        <v>Totale afbouw over 2018</v>
      </c>
      <c r="M581" s="165" t="str">
        <f>"Nog af te bouwen regulatoir saldo einde "&amp;F579</f>
        <v>Nog af te bouwen regulatoir saldo einde 2018</v>
      </c>
      <c r="N581" s="206"/>
      <c r="Q581" s="166"/>
    </row>
    <row r="582" spans="2:17" x14ac:dyDescent="0.2">
      <c r="B582" s="1104">
        <v>2015</v>
      </c>
      <c r="C582" s="1105"/>
      <c r="D582" s="1105"/>
      <c r="E582" s="1106"/>
      <c r="F582" s="275"/>
      <c r="G582" s="176">
        <f>K577</f>
        <v>0</v>
      </c>
      <c r="H582" s="521">
        <f>IF(SIGN(G583*K577)&lt;0,IF(G582&lt;&gt;0,-SIGN(G582)*MIN(ABS(G583),ABS(G582)),0),0)</f>
        <v>0</v>
      </c>
      <c r="I582" s="176">
        <f>+G582+H582</f>
        <v>0</v>
      </c>
      <c r="J582" s="820"/>
      <c r="K582" s="821">
        <f>-MIN(ABS(I582),ABS(J584))*SIGN(I582)</f>
        <v>0</v>
      </c>
      <c r="L582" s="813">
        <f>+K582+H582</f>
        <v>0</v>
      </c>
      <c r="M582" s="176">
        <f>+I582+K582</f>
        <v>0</v>
      </c>
      <c r="N582" s="206"/>
      <c r="Q582" s="166"/>
    </row>
    <row r="583" spans="2:17" x14ac:dyDescent="0.2">
      <c r="B583" s="1104">
        <v>2016</v>
      </c>
      <c r="C583" s="1105"/>
      <c r="D583" s="1105"/>
      <c r="E583" s="1106"/>
      <c r="F583" s="275"/>
      <c r="G583" s="176">
        <f>H208</f>
        <v>0</v>
      </c>
      <c r="H583" s="813">
        <f>IF(SIGN(G583*K577)&lt;0,-H582,0)</f>
        <v>0</v>
      </c>
      <c r="I583" s="176">
        <f>+G583+H583</f>
        <v>0</v>
      </c>
      <c r="J583" s="820"/>
      <c r="K583" s="821">
        <f>-MIN(ABS(I583),ABS(J584-K582))*SIGN(I583)</f>
        <v>0</v>
      </c>
      <c r="L583" s="813">
        <f>+K583+H583</f>
        <v>0</v>
      </c>
      <c r="M583" s="176">
        <f>+I583+K583</f>
        <v>0</v>
      </c>
      <c r="N583" s="206"/>
      <c r="Q583" s="166"/>
    </row>
    <row r="584" spans="2:17" s="273" customFormat="1" x14ac:dyDescent="0.2">
      <c r="G584" s="276">
        <f>SUM(G582:G583)</f>
        <v>0</v>
      </c>
      <c r="H584" s="168">
        <f>SUM(H582:H583)</f>
        <v>0</v>
      </c>
      <c r="I584" s="276">
        <f>SUM(I582:I583)</f>
        <v>0</v>
      </c>
      <c r="J584" s="208">
        <f>-I584*IF($B$7="elektriciteit",0.75,IF($B$7="gas",0.4,"FALSE"))</f>
        <v>0</v>
      </c>
      <c r="K584" s="286">
        <f>SUM(K582:K583)</f>
        <v>0</v>
      </c>
      <c r="L584" s="528"/>
      <c r="M584" s="276">
        <f>SUM(M582:M583)</f>
        <v>0</v>
      </c>
    </row>
    <row r="585" spans="2:17" x14ac:dyDescent="0.2">
      <c r="H585" s="214"/>
      <c r="J585" s="12"/>
      <c r="K585" s="12"/>
      <c r="Q585" s="166"/>
    </row>
    <row r="586" spans="2:17" x14ac:dyDescent="0.2">
      <c r="B586" s="273" t="s">
        <v>139</v>
      </c>
      <c r="F586" s="810">
        <v>2019</v>
      </c>
      <c r="H586" s="214"/>
      <c r="J586" s="12"/>
      <c r="K586" s="12"/>
      <c r="Q586" s="166"/>
    </row>
    <row r="587" spans="2:17" x14ac:dyDescent="0.2">
      <c r="H587" s="214"/>
      <c r="J587" s="12"/>
      <c r="K587" s="12"/>
      <c r="Q587" s="166"/>
    </row>
    <row r="588" spans="2:17" ht="75.75" customHeight="1" x14ac:dyDescent="0.2">
      <c r="B588" s="1101" t="s">
        <v>140</v>
      </c>
      <c r="C588" s="1102"/>
      <c r="D588" s="1102"/>
      <c r="E588" s="1103"/>
      <c r="F588" s="274"/>
      <c r="G588" s="165" t="str">
        <f>"Nog af te bouwen regulatoir saldo einde "&amp;F586-1</f>
        <v>Nog af te bouwen regulatoir saldo einde 2018</v>
      </c>
      <c r="H588" s="165" t="str">
        <f>"Afbouw oudste openstaande regulatoir saldo vanaf boekjaar "&amp;F586-3&amp;" en vroeger, door aanwending van compensatie met regulatoir saldo ontstaan over boekjaar "&amp;F586-2</f>
        <v>Afbouw oudste openstaande regulatoir saldo vanaf boekjaar 2016 en vroeger, door aanwending van compensatie met regulatoir saldo ontstaan over boekjaar 2017</v>
      </c>
      <c r="I588" s="165" t="str">
        <f>"Nog af te bouwen regulatoir saldo na compensatie einde "&amp;F586-1</f>
        <v>Nog af te bouwen regulatoir saldo na compensatie einde 2018</v>
      </c>
      <c r="J588" s="165" t="str">
        <f>"Aanwending van "&amp;IF($B$7="elektriciteit","75%",IF($B$7="gas","40%","FALSE"))&amp;" van het geaccumuleerd regulatoir saldo door te rekenen volgens de tariefmethodologie in het boekjaar "&amp;F586</f>
        <v>Aanwending van 40% van het geaccumuleerd regulatoir saldo door te rekenen volgens de tariefmethodologie in het boekjaar 2019</v>
      </c>
      <c r="K588" s="165" t="str">
        <f>"Aanwending van "&amp;IF($B$7="elektriciteit","75%",IF($B$7="gas","40%","FALSE"))&amp;" van het geaccumuleerd regulatoir saldo door te rekenen volgens de tariefmethodologie in het boekjaar "&amp;F586</f>
        <v>Aanwending van 40% van het geaccumuleerd regulatoir saldo door te rekenen volgens de tariefmethodologie in het boekjaar 2019</v>
      </c>
      <c r="L588" s="165" t="str">
        <f>"Totale afbouw over "&amp;F586</f>
        <v>Totale afbouw over 2019</v>
      </c>
      <c r="M588" s="165" t="str">
        <f>"Nog af te bouwen regulatoir saldo einde "&amp;F586</f>
        <v>Nog af te bouwen regulatoir saldo einde 2019</v>
      </c>
      <c r="N588" s="206"/>
      <c r="Q588" s="166"/>
    </row>
    <row r="589" spans="2:17" x14ac:dyDescent="0.2">
      <c r="B589" s="1104">
        <v>2015</v>
      </c>
      <c r="C589" s="1105"/>
      <c r="D589" s="1105"/>
      <c r="E589" s="1106"/>
      <c r="F589" s="275"/>
      <c r="G589" s="176">
        <f>+M582</f>
        <v>0</v>
      </c>
      <c r="H589" s="813">
        <f>IF(SIGN(G591*M584)&lt;0,IF(G589&lt;&gt;0,-SIGN(G589)*MIN(ABS(G591),ABS(G589)),0),0)</f>
        <v>0</v>
      </c>
      <c r="I589" s="176">
        <f>+G589+H589</f>
        <v>0</v>
      </c>
      <c r="J589" s="820"/>
      <c r="K589" s="821">
        <f>-MIN(ABS(I589),ABS(J592))*SIGN(I589)</f>
        <v>0</v>
      </c>
      <c r="L589" s="813">
        <f>+K589+H589</f>
        <v>0</v>
      </c>
      <c r="M589" s="176">
        <f>+I589+K589</f>
        <v>0</v>
      </c>
      <c r="N589" s="206"/>
      <c r="Q589" s="166"/>
    </row>
    <row r="590" spans="2:17" x14ac:dyDescent="0.2">
      <c r="B590" s="1104">
        <v>2016</v>
      </c>
      <c r="C590" s="1105"/>
      <c r="D590" s="1105">
        <v>2016</v>
      </c>
      <c r="E590" s="1106"/>
      <c r="F590" s="275"/>
      <c r="G590" s="176">
        <f>+M583</f>
        <v>0</v>
      </c>
      <c r="H590" s="813">
        <f>IF(SIGN(G591*M584)&lt;0,IF(G590&lt;&gt;0,-SIGN(G590)*MIN(ABS(G591-H589),ABS(G590)),0),0)</f>
        <v>0</v>
      </c>
      <c r="I590" s="176">
        <f>+G590+H590</f>
        <v>0</v>
      </c>
      <c r="J590" s="820"/>
      <c r="K590" s="821">
        <f>-MIN(ABS(I590),ABS(J592-K589))*SIGN(I590)</f>
        <v>0</v>
      </c>
      <c r="L590" s="813">
        <f>+K590+H590</f>
        <v>0</v>
      </c>
      <c r="M590" s="176">
        <f>+I590+K590</f>
        <v>0</v>
      </c>
      <c r="N590" s="206"/>
      <c r="Q590" s="166"/>
    </row>
    <row r="591" spans="2:17" x14ac:dyDescent="0.2">
      <c r="B591" s="1104">
        <v>2017</v>
      </c>
      <c r="C591" s="1105"/>
      <c r="D591" s="1105"/>
      <c r="E591" s="1106"/>
      <c r="F591" s="275"/>
      <c r="G591" s="176">
        <f>I209</f>
        <v>0</v>
      </c>
      <c r="H591" s="813">
        <f>IF(SIGN(G591*M584)&lt;0,-SUM(H589:H590),0)</f>
        <v>0</v>
      </c>
      <c r="I591" s="176">
        <f>+G591+H591</f>
        <v>0</v>
      </c>
      <c r="J591" s="820"/>
      <c r="K591" s="821">
        <f>-MIN(ABS(I591),ABS(J592-K589-K590))*SIGN(I591)</f>
        <v>0</v>
      </c>
      <c r="L591" s="813">
        <f>+K591+H591</f>
        <v>0</v>
      </c>
      <c r="M591" s="176">
        <f>+I591+K591</f>
        <v>0</v>
      </c>
      <c r="N591" s="206"/>
      <c r="Q591" s="166"/>
    </row>
    <row r="592" spans="2:17" s="273" customFormat="1" x14ac:dyDescent="0.2">
      <c r="G592" s="276">
        <f>SUM(G589:G591)</f>
        <v>0</v>
      </c>
      <c r="H592" s="168">
        <f>SUM(H589:H591)</f>
        <v>0</v>
      </c>
      <c r="I592" s="276">
        <f>SUM(I589:I591)</f>
        <v>0</v>
      </c>
      <c r="J592" s="208">
        <f>-I592*IF($B$7="elektriciteit",0.75,IF($B$7="gas",0.4,"FALSE"))</f>
        <v>0</v>
      </c>
      <c r="K592" s="286">
        <f>SUM(K589:K591)</f>
        <v>0</v>
      </c>
      <c r="L592" s="528"/>
      <c r="M592" s="276">
        <f>SUM(M589:M591)</f>
        <v>0</v>
      </c>
    </row>
    <row r="593" spans="2:17" x14ac:dyDescent="0.2">
      <c r="H593" s="214"/>
      <c r="J593" s="12"/>
      <c r="K593" s="12"/>
      <c r="Q593" s="166"/>
    </row>
    <row r="594" spans="2:17" x14ac:dyDescent="0.2">
      <c r="B594" s="273" t="s">
        <v>139</v>
      </c>
      <c r="F594" s="810">
        <v>2020</v>
      </c>
      <c r="H594" s="214"/>
      <c r="J594" s="12"/>
      <c r="K594" s="12"/>
      <c r="Q594" s="166"/>
    </row>
    <row r="595" spans="2:17" x14ac:dyDescent="0.2">
      <c r="H595" s="214"/>
      <c r="J595" s="12"/>
      <c r="K595" s="12"/>
      <c r="Q595" s="166"/>
    </row>
    <row r="596" spans="2:17" ht="78" customHeight="1" x14ac:dyDescent="0.2">
      <c r="B596" s="1101" t="s">
        <v>140</v>
      </c>
      <c r="C596" s="1102"/>
      <c r="D596" s="1102"/>
      <c r="E596" s="1103"/>
      <c r="F596" s="274"/>
      <c r="G596" s="165" t="str">
        <f>"Nog af te bouwen regulatoir saldo einde "&amp;F594-1</f>
        <v>Nog af te bouwen regulatoir saldo einde 2019</v>
      </c>
      <c r="H596" s="165" t="str">
        <f>"Afbouw oudste openstaande regulatoir saldo vanaf boekjaar "&amp;F594-3&amp;" en vroeger, door aanwending van compensatie met regulatoir saldo ontstaan over boekjaar "&amp;F594-2</f>
        <v>Afbouw oudste openstaande regulatoir saldo vanaf boekjaar 2017 en vroeger, door aanwending van compensatie met regulatoir saldo ontstaan over boekjaar 2018</v>
      </c>
      <c r="I596" s="165" t="str">
        <f>"Nog af te bouwen regulatoir saldo na compensatie einde "&amp;F594-1</f>
        <v>Nog af te bouwen regulatoir saldo na compensatie einde 2019</v>
      </c>
      <c r="J596" s="165" t="str">
        <f>"Aanwending van "&amp;IF($B$7="elektriciteit","75%",IF($B$7="gas","40%","FALSE"))&amp;" van het geaccumuleerd regulatoir saldo door te rekenen volgens de tariefmethodologie in het boekjaar "&amp;F594</f>
        <v>Aanwending van 40% van het geaccumuleerd regulatoir saldo door te rekenen volgens de tariefmethodologie in het boekjaar 2020</v>
      </c>
      <c r="K596" s="165" t="str">
        <f>"Aanwending van "&amp;IF($B$7="elektriciteit","75%",IF($B$7="gas","40%","FALSE"))&amp;" van het geaccumuleerd regulatoir saldo door te rekenen volgens de tariefmethodologie in het boekjaar "&amp;F594</f>
        <v>Aanwending van 40% van het geaccumuleerd regulatoir saldo door te rekenen volgens de tariefmethodologie in het boekjaar 2020</v>
      </c>
      <c r="L596" s="165" t="str">
        <f>"Totale afbouw over "&amp;F594</f>
        <v>Totale afbouw over 2020</v>
      </c>
      <c r="M596" s="165" t="str">
        <f>"Nog af te bouwen regulatoir saldo einde "&amp;F594</f>
        <v>Nog af te bouwen regulatoir saldo einde 2020</v>
      </c>
      <c r="N596" s="206"/>
      <c r="Q596" s="166"/>
    </row>
    <row r="597" spans="2:17" x14ac:dyDescent="0.2">
      <c r="B597" s="1104">
        <v>2015</v>
      </c>
      <c r="C597" s="1105"/>
      <c r="D597" s="1105"/>
      <c r="E597" s="1106"/>
      <c r="F597" s="275"/>
      <c r="G597" s="176">
        <f>+M589</f>
        <v>0</v>
      </c>
      <c r="H597" s="813">
        <f>IF(SIGN(G600*M592)&lt;0,IF(G597&lt;&gt;0,-SIGN(G597)*MIN(ABS(G600),ABS(G597)),0),0)</f>
        <v>0</v>
      </c>
      <c r="I597" s="176">
        <f>+G597+H597</f>
        <v>0</v>
      </c>
      <c r="J597" s="820"/>
      <c r="K597" s="821">
        <f>-MIN(ABS(I597),ABS(J601))*SIGN(I597)</f>
        <v>0</v>
      </c>
      <c r="L597" s="813">
        <f>+K597+H597</f>
        <v>0</v>
      </c>
      <c r="M597" s="176">
        <f>+I597+K597</f>
        <v>0</v>
      </c>
      <c r="N597" s="206"/>
      <c r="Q597" s="166"/>
    </row>
    <row r="598" spans="2:17" x14ac:dyDescent="0.2">
      <c r="B598" s="1104">
        <v>2016</v>
      </c>
      <c r="C598" s="1105"/>
      <c r="D598" s="1105"/>
      <c r="E598" s="1106"/>
      <c r="F598" s="275"/>
      <c r="G598" s="176">
        <f>+M590</f>
        <v>0</v>
      </c>
      <c r="H598" s="813">
        <f>IF(SIGN(G600*M592)&lt;0,IF(G598&lt;&gt;0,-SIGN(G598)*MIN(ABS(G600-H597),ABS(G598)),0),0)</f>
        <v>0</v>
      </c>
      <c r="I598" s="176">
        <f>+G598+H598</f>
        <v>0</v>
      </c>
      <c r="J598" s="820"/>
      <c r="K598" s="821">
        <f>-MIN(ABS(I598),ABS(J601-K597))*SIGN(I598)</f>
        <v>0</v>
      </c>
      <c r="L598" s="813">
        <f>+K598+H598</f>
        <v>0</v>
      </c>
      <c r="M598" s="176">
        <f>+I598+K598</f>
        <v>0</v>
      </c>
      <c r="N598" s="206"/>
      <c r="Q598" s="166"/>
    </row>
    <row r="599" spans="2:17" x14ac:dyDescent="0.2">
      <c r="B599" s="1104">
        <v>2017</v>
      </c>
      <c r="C599" s="1105"/>
      <c r="D599" s="1105">
        <v>2016</v>
      </c>
      <c r="E599" s="1106"/>
      <c r="F599" s="275"/>
      <c r="G599" s="176">
        <f>+M591</f>
        <v>0</v>
      </c>
      <c r="H599" s="813">
        <f>IF(SIGN(G600*M592)&lt;0,IF(G599&lt;&gt;0,-SIGN(G599)*MIN(ABS(G600-H597-H598),ABS(G599)),0),0)</f>
        <v>0</v>
      </c>
      <c r="I599" s="176">
        <f>+G599+H599</f>
        <v>0</v>
      </c>
      <c r="J599" s="820"/>
      <c r="K599" s="821">
        <f>-MIN(ABS(I599),ABS(J601-K597-K598))*SIGN(I599)</f>
        <v>0</v>
      </c>
      <c r="L599" s="813">
        <f>+K599+H599</f>
        <v>0</v>
      </c>
      <c r="M599" s="176">
        <f>+I599+K599</f>
        <v>0</v>
      </c>
      <c r="N599" s="206"/>
      <c r="Q599" s="166"/>
    </row>
    <row r="600" spans="2:17" x14ac:dyDescent="0.2">
      <c r="B600" s="1104">
        <v>2018</v>
      </c>
      <c r="C600" s="1105"/>
      <c r="D600" s="1105"/>
      <c r="E600" s="1106"/>
      <c r="F600" s="275"/>
      <c r="G600" s="176">
        <f>J210</f>
        <v>0</v>
      </c>
      <c r="H600" s="813">
        <f>IF(SIGN(G600*M592)&lt;0,-SUM(H597:H599),0)</f>
        <v>0</v>
      </c>
      <c r="I600" s="176">
        <f>+G600+H600</f>
        <v>0</v>
      </c>
      <c r="J600" s="820"/>
      <c r="K600" s="821">
        <f>-MIN(ABS(I600),ABS(J601-K597-K598-K599))*SIGN(I600)</f>
        <v>0</v>
      </c>
      <c r="L600" s="813">
        <f>+K600+H600</f>
        <v>0</v>
      </c>
      <c r="M600" s="176">
        <f>+I600+K600</f>
        <v>0</v>
      </c>
      <c r="N600" s="206"/>
      <c r="Q600" s="166"/>
    </row>
    <row r="601" spans="2:17" s="273" customFormat="1" x14ac:dyDescent="0.2">
      <c r="G601" s="276">
        <f>SUM(G597:G600)</f>
        <v>0</v>
      </c>
      <c r="H601" s="168">
        <f>SUM(H597:H600)</f>
        <v>0</v>
      </c>
      <c r="I601" s="276">
        <f>SUM(I597:I600)</f>
        <v>0</v>
      </c>
      <c r="J601" s="208">
        <f>-I601*IF($B$7="elektriciteit",0.75,IF($B$7="gas",0.4,"FALSE"))</f>
        <v>0</v>
      </c>
      <c r="K601" s="286">
        <f>SUM(K597:K600)</f>
        <v>0</v>
      </c>
      <c r="L601" s="168"/>
      <c r="M601" s="276">
        <f>SUM(M597:M600)</f>
        <v>0</v>
      </c>
    </row>
    <row r="602" spans="2:17" x14ac:dyDescent="0.2">
      <c r="H602" s="214"/>
      <c r="J602" s="12"/>
      <c r="K602" s="529"/>
      <c r="L602" s="214"/>
      <c r="Q602" s="166"/>
    </row>
    <row r="603" spans="2:17" x14ac:dyDescent="0.2">
      <c r="B603" s="273" t="s">
        <v>139</v>
      </c>
      <c r="F603" s="810">
        <v>2021</v>
      </c>
      <c r="H603" s="214"/>
      <c r="Q603" s="166"/>
    </row>
    <row r="604" spans="2:17" x14ac:dyDescent="0.2">
      <c r="H604" s="214"/>
      <c r="Q604" s="166"/>
    </row>
    <row r="605" spans="2:17" ht="78" customHeight="1" x14ac:dyDescent="0.2">
      <c r="B605" s="1101" t="s">
        <v>140</v>
      </c>
      <c r="C605" s="1102"/>
      <c r="D605" s="1102"/>
      <c r="E605" s="1103"/>
      <c r="F605" s="274"/>
      <c r="G605" s="165" t="str">
        <f>"Nog af te bouwen regulatoir saldo einde "&amp;F603-1</f>
        <v>Nog af te bouwen regulatoir saldo einde 2020</v>
      </c>
      <c r="H605" s="165" t="str">
        <f>"50% van het oorspronkelijk regulatoir saldo door te rekenen volgens de tariefmethodologie in het boekjaar "&amp;F603</f>
        <v>50% van het oorspronkelijk regulatoir saldo door te rekenen volgens de tariefmethodologie in het boekjaar 2021</v>
      </c>
      <c r="I605" s="165" t="str">
        <f>"Nog af te bouwen regulatoir saldo einde "&amp;F603</f>
        <v>Nog af te bouwen regulatoir saldo einde 2021</v>
      </c>
      <c r="J605" s="206"/>
      <c r="Q605" s="166"/>
    </row>
    <row r="606" spans="2:17" x14ac:dyDescent="0.2">
      <c r="B606" s="1104">
        <v>2015</v>
      </c>
      <c r="C606" s="1105"/>
      <c r="D606" s="1105"/>
      <c r="E606" s="1106"/>
      <c r="F606" s="275"/>
      <c r="G606" s="176">
        <f>M597</f>
        <v>0</v>
      </c>
      <c r="H606" s="521">
        <f>-G606*0.5</f>
        <v>0</v>
      </c>
      <c r="I606" s="176">
        <f>+G606+H606</f>
        <v>0</v>
      </c>
      <c r="J606" s="206"/>
      <c r="Q606" s="166"/>
    </row>
    <row r="607" spans="2:17" x14ac:dyDescent="0.2">
      <c r="B607" s="1104">
        <v>2016</v>
      </c>
      <c r="C607" s="1105"/>
      <c r="D607" s="1105"/>
      <c r="E607" s="1106"/>
      <c r="F607" s="275"/>
      <c r="G607" s="176">
        <f t="shared" ref="G607:G609" si="82">M598</f>
        <v>0</v>
      </c>
      <c r="H607" s="521">
        <f t="shared" ref="H607:H610" si="83">-G607*0.5</f>
        <v>0</v>
      </c>
      <c r="I607" s="176">
        <f t="shared" ref="I607:I610" si="84">+G607+H607</f>
        <v>0</v>
      </c>
      <c r="J607" s="206"/>
      <c r="Q607" s="166"/>
    </row>
    <row r="608" spans="2:17" x14ac:dyDescent="0.2">
      <c r="B608" s="1104">
        <v>2017</v>
      </c>
      <c r="C608" s="1105"/>
      <c r="D608" s="1105">
        <v>2016</v>
      </c>
      <c r="E608" s="1106"/>
      <c r="F608" s="275"/>
      <c r="G608" s="176">
        <f t="shared" si="82"/>
        <v>0</v>
      </c>
      <c r="H608" s="521">
        <f t="shared" si="83"/>
        <v>0</v>
      </c>
      <c r="I608" s="176">
        <f t="shared" si="84"/>
        <v>0</v>
      </c>
      <c r="J608" s="206"/>
      <c r="Q608" s="166"/>
    </row>
    <row r="609" spans="2:17" x14ac:dyDescent="0.2">
      <c r="B609" s="1104">
        <v>2018</v>
      </c>
      <c r="C609" s="1105"/>
      <c r="D609" s="1105"/>
      <c r="E609" s="1106"/>
      <c r="F609" s="275"/>
      <c r="G609" s="176">
        <f t="shared" si="82"/>
        <v>0</v>
      </c>
      <c r="H609" s="521">
        <f t="shared" si="83"/>
        <v>0</v>
      </c>
      <c r="I609" s="176">
        <f t="shared" si="84"/>
        <v>0</v>
      </c>
      <c r="J609" s="206"/>
      <c r="Q609" s="166"/>
    </row>
    <row r="610" spans="2:17" x14ac:dyDescent="0.2">
      <c r="B610" s="1104">
        <v>2019</v>
      </c>
      <c r="C610" s="1105"/>
      <c r="D610" s="1105"/>
      <c r="E610" s="1106"/>
      <c r="F610" s="275"/>
      <c r="G610" s="176">
        <f>K211</f>
        <v>0</v>
      </c>
      <c r="H610" s="521">
        <f t="shared" si="83"/>
        <v>0</v>
      </c>
      <c r="I610" s="176">
        <f t="shared" si="84"/>
        <v>0</v>
      </c>
      <c r="J610" s="206"/>
      <c r="Q610" s="166"/>
    </row>
    <row r="611" spans="2:17" s="273" customFormat="1" x14ac:dyDescent="0.2">
      <c r="G611" s="276">
        <f>SUM(G606:G610)</f>
        <v>0</v>
      </c>
      <c r="H611" s="168">
        <f>SUM(H606:H610)</f>
        <v>0</v>
      </c>
      <c r="I611" s="276">
        <f>SUM(I606:I610)</f>
        <v>0</v>
      </c>
    </row>
    <row r="612" spans="2:17" x14ac:dyDescent="0.2">
      <c r="H612" s="214"/>
      <c r="Q612" s="166"/>
    </row>
    <row r="613" spans="2:17" x14ac:dyDescent="0.2">
      <c r="B613" s="273" t="s">
        <v>139</v>
      </c>
      <c r="F613" s="810">
        <v>2022</v>
      </c>
      <c r="H613" s="214"/>
      <c r="Q613" s="166"/>
    </row>
    <row r="614" spans="2:17" x14ac:dyDescent="0.2">
      <c r="H614" s="214"/>
      <c r="Q614" s="166"/>
    </row>
    <row r="615" spans="2:17" ht="78" customHeight="1" x14ac:dyDescent="0.2">
      <c r="B615" s="1101" t="s">
        <v>140</v>
      </c>
      <c r="C615" s="1102"/>
      <c r="D615" s="1102"/>
      <c r="E615" s="1103"/>
      <c r="F615" s="274"/>
      <c r="G615" s="165" t="str">
        <f>"Nog af te bouwen regulatoir saldo einde "&amp;F613-1</f>
        <v>Nog af te bouwen regulatoir saldo einde 2021</v>
      </c>
      <c r="H615" s="165" t="str">
        <f>"50% van het oorspronkelijk regulatoir saldo door te rekenen volgens de tariefmethodologie in het boekjaar "&amp;F613</f>
        <v>50% van het oorspronkelijk regulatoir saldo door te rekenen volgens de tariefmethodologie in het boekjaar 2022</v>
      </c>
      <c r="I615" s="165" t="str">
        <f>"Nog af te bouwen regulatoir saldo einde "&amp;F613</f>
        <v>Nog af te bouwen regulatoir saldo einde 2022</v>
      </c>
      <c r="J615" s="206"/>
      <c r="Q615" s="166"/>
    </row>
    <row r="616" spans="2:17" x14ac:dyDescent="0.2">
      <c r="B616" s="1104">
        <v>2015</v>
      </c>
      <c r="C616" s="1105"/>
      <c r="D616" s="1105"/>
      <c r="E616" s="1106"/>
      <c r="F616" s="275"/>
      <c r="G616" s="176">
        <f>+I606</f>
        <v>0</v>
      </c>
      <c r="H616" s="521">
        <f>-G606*0.5</f>
        <v>0</v>
      </c>
      <c r="I616" s="176">
        <f>+G616+H616</f>
        <v>0</v>
      </c>
      <c r="J616" s="206"/>
      <c r="Q616" s="166"/>
    </row>
    <row r="617" spans="2:17" x14ac:dyDescent="0.2">
      <c r="B617" s="1104">
        <v>2016</v>
      </c>
      <c r="C617" s="1105"/>
      <c r="D617" s="1105"/>
      <c r="E617" s="1106"/>
      <c r="F617" s="275"/>
      <c r="G617" s="176">
        <f t="shared" ref="G617:G620" si="85">+I607</f>
        <v>0</v>
      </c>
      <c r="H617" s="521">
        <f t="shared" ref="H617:H620" si="86">-G607*0.5</f>
        <v>0</v>
      </c>
      <c r="I617" s="176">
        <f t="shared" ref="I617:I621" si="87">+G617+H617</f>
        <v>0</v>
      </c>
      <c r="J617" s="206"/>
      <c r="Q617" s="166"/>
    </row>
    <row r="618" spans="2:17" x14ac:dyDescent="0.2">
      <c r="B618" s="1104">
        <v>2017</v>
      </c>
      <c r="C618" s="1105"/>
      <c r="D618" s="1105">
        <v>2016</v>
      </c>
      <c r="E618" s="1106"/>
      <c r="F618" s="275"/>
      <c r="G618" s="176">
        <f t="shared" si="85"/>
        <v>0</v>
      </c>
      <c r="H618" s="521">
        <f t="shared" si="86"/>
        <v>0</v>
      </c>
      <c r="I618" s="176">
        <f t="shared" si="87"/>
        <v>0</v>
      </c>
      <c r="J618" s="206"/>
      <c r="Q618" s="166"/>
    </row>
    <row r="619" spans="2:17" x14ac:dyDescent="0.2">
      <c r="B619" s="1104">
        <v>2018</v>
      </c>
      <c r="C619" s="1105"/>
      <c r="D619" s="1105"/>
      <c r="E619" s="1106"/>
      <c r="F619" s="275"/>
      <c r="G619" s="176">
        <f t="shared" si="85"/>
        <v>0</v>
      </c>
      <c r="H619" s="521">
        <f t="shared" si="86"/>
        <v>0</v>
      </c>
      <c r="I619" s="176">
        <f t="shared" si="87"/>
        <v>0</v>
      </c>
      <c r="J619" s="206"/>
      <c r="Q619" s="166"/>
    </row>
    <row r="620" spans="2:17" x14ac:dyDescent="0.2">
      <c r="B620" s="1104">
        <v>2019</v>
      </c>
      <c r="C620" s="1105"/>
      <c r="D620" s="1105"/>
      <c r="E620" s="1106"/>
      <c r="F620" s="275"/>
      <c r="G620" s="176">
        <f t="shared" si="85"/>
        <v>0</v>
      </c>
      <c r="H620" s="521">
        <f t="shared" si="86"/>
        <v>0</v>
      </c>
      <c r="I620" s="176">
        <f t="shared" si="87"/>
        <v>0</v>
      </c>
      <c r="J620" s="206"/>
      <c r="Q620" s="166"/>
    </row>
    <row r="621" spans="2:17" x14ac:dyDescent="0.2">
      <c r="B621" s="1104">
        <v>2020</v>
      </c>
      <c r="C621" s="1105"/>
      <c r="D621" s="1105"/>
      <c r="E621" s="1106"/>
      <c r="F621" s="275"/>
      <c r="G621" s="176">
        <f>L212</f>
        <v>0</v>
      </c>
      <c r="H621" s="521">
        <f t="shared" ref="H621" si="88">-G621*0.5</f>
        <v>0</v>
      </c>
      <c r="I621" s="176">
        <f t="shared" si="87"/>
        <v>0</v>
      </c>
      <c r="J621" s="206"/>
      <c r="Q621" s="166"/>
    </row>
    <row r="622" spans="2:17" s="273" customFormat="1" x14ac:dyDescent="0.2">
      <c r="G622" s="276">
        <f>SUM(G616:G621)</f>
        <v>0</v>
      </c>
      <c r="H622" s="168">
        <f t="shared" ref="H622:I622" si="89">SUM(H616:H621)</f>
        <v>0</v>
      </c>
      <c r="I622" s="276">
        <f t="shared" si="89"/>
        <v>0</v>
      </c>
    </row>
    <row r="623" spans="2:17" x14ac:dyDescent="0.2">
      <c r="H623" s="214"/>
      <c r="Q623" s="166"/>
    </row>
    <row r="624" spans="2:17" x14ac:dyDescent="0.2">
      <c r="B624" s="273" t="s">
        <v>202</v>
      </c>
      <c r="F624" s="810">
        <v>2023</v>
      </c>
      <c r="H624" s="214"/>
      <c r="Q624" s="166"/>
    </row>
    <row r="625" spans="2:17" x14ac:dyDescent="0.2">
      <c r="H625" s="214"/>
      <c r="Q625" s="166"/>
    </row>
    <row r="626" spans="2:17" ht="78" customHeight="1" x14ac:dyDescent="0.2">
      <c r="B626" s="1101" t="s">
        <v>140</v>
      </c>
      <c r="C626" s="1102"/>
      <c r="D626" s="1102"/>
      <c r="E626" s="1103"/>
      <c r="F626" s="274"/>
      <c r="G626" s="165" t="str">
        <f>"Nog af te bouwen regulatoir saldo einde "&amp;F624-1</f>
        <v>Nog af te bouwen regulatoir saldo einde 2022</v>
      </c>
      <c r="H626" s="165" t="str">
        <f>"50% van het oorspronkelijk regulatoir saldo door te rekenen volgens de tariefmethodologie in het boekjaar "&amp;F624</f>
        <v>50% van het oorspronkelijk regulatoir saldo door te rekenen volgens de tariefmethodologie in het boekjaar 2023</v>
      </c>
      <c r="I626" s="165" t="str">
        <f>"Nog af te bouwen regulatoir saldo einde "&amp;F624</f>
        <v>Nog af te bouwen regulatoir saldo einde 2023</v>
      </c>
      <c r="J626" s="206"/>
      <c r="Q626" s="166"/>
    </row>
    <row r="627" spans="2:17" x14ac:dyDescent="0.2">
      <c r="B627" s="1104">
        <v>2020</v>
      </c>
      <c r="C627" s="1105"/>
      <c r="D627" s="1105"/>
      <c r="E627" s="1106"/>
      <c r="F627" s="275"/>
      <c r="G627" s="176">
        <f>+I621</f>
        <v>0</v>
      </c>
      <c r="H627" s="521">
        <f>-G621*0.5</f>
        <v>0</v>
      </c>
      <c r="I627" s="176">
        <f t="shared" ref="I627:I628" si="90">+G627+H627</f>
        <v>0</v>
      </c>
      <c r="J627" s="206"/>
      <c r="Q627" s="166"/>
    </row>
    <row r="628" spans="2:17" x14ac:dyDescent="0.2">
      <c r="B628" s="1104">
        <v>2021</v>
      </c>
      <c r="C628" s="1105"/>
      <c r="D628" s="1105"/>
      <c r="E628" s="1106"/>
      <c r="F628" s="275"/>
      <c r="G628" s="176">
        <f>M213</f>
        <v>0</v>
      </c>
      <c r="H628" s="521">
        <f t="shared" ref="H628" si="91">-G628*0.5</f>
        <v>0</v>
      </c>
      <c r="I628" s="176">
        <f t="shared" si="90"/>
        <v>0</v>
      </c>
      <c r="J628" s="206"/>
      <c r="Q628" s="166"/>
    </row>
    <row r="629" spans="2:17" s="273" customFormat="1" x14ac:dyDescent="0.2">
      <c r="G629" s="276">
        <f>SUM(G627:G628)</f>
        <v>0</v>
      </c>
      <c r="H629" s="168">
        <f>SUM(H627:H628)</f>
        <v>0</v>
      </c>
      <c r="I629" s="276">
        <f>SUM(I627:I628)</f>
        <v>0</v>
      </c>
    </row>
    <row r="630" spans="2:17" x14ac:dyDescent="0.2">
      <c r="H630" s="214"/>
      <c r="Q630" s="166"/>
    </row>
    <row r="631" spans="2:17" x14ac:dyDescent="0.2">
      <c r="B631" s="273" t="s">
        <v>139</v>
      </c>
      <c r="F631" s="810">
        <v>2024</v>
      </c>
      <c r="H631" s="214"/>
      <c r="Q631" s="166"/>
    </row>
    <row r="632" spans="2:17" x14ac:dyDescent="0.2">
      <c r="H632" s="214"/>
      <c r="Q632" s="166"/>
    </row>
    <row r="633" spans="2:17" ht="78" customHeight="1" x14ac:dyDescent="0.2">
      <c r="B633" s="1101" t="s">
        <v>140</v>
      </c>
      <c r="C633" s="1102"/>
      <c r="D633" s="1102"/>
      <c r="E633" s="1103"/>
      <c r="F633" s="274"/>
      <c r="G633" s="165" t="str">
        <f>"Nog af te bouwen regulatoir saldo einde "&amp;F631-1</f>
        <v>Nog af te bouwen regulatoir saldo einde 2023</v>
      </c>
      <c r="H633" s="165" t="str">
        <f>"50% van het oorspronkelijk regulatoir saldo door te rekenen volgens de tariefmethodologie in het boekjaar "&amp;F631</f>
        <v>50% van het oorspronkelijk regulatoir saldo door te rekenen volgens de tariefmethodologie in het boekjaar 2024</v>
      </c>
      <c r="I633" s="165" t="str">
        <f>"Nog af te bouwen regulatoir saldo einde "&amp;F631</f>
        <v>Nog af te bouwen regulatoir saldo einde 2024</v>
      </c>
      <c r="J633" s="206"/>
      <c r="Q633" s="166"/>
    </row>
    <row r="634" spans="2:17" x14ac:dyDescent="0.2">
      <c r="B634" s="1104">
        <v>2021</v>
      </c>
      <c r="C634" s="1105"/>
      <c r="D634" s="1105"/>
      <c r="E634" s="1106"/>
      <c r="F634" s="275"/>
      <c r="G634" s="176">
        <f>+I628</f>
        <v>0</v>
      </c>
      <c r="H634" s="521">
        <f>-G628*0.5</f>
        <v>0</v>
      </c>
      <c r="I634" s="176">
        <f t="shared" ref="I634" si="92">+G634+H634</f>
        <v>0</v>
      </c>
      <c r="J634" s="206"/>
      <c r="Q634" s="166"/>
    </row>
    <row r="635" spans="2:17" s="273" customFormat="1" x14ac:dyDescent="0.2">
      <c r="G635" s="276">
        <f>SUM(G634:G634)</f>
        <v>0</v>
      </c>
      <c r="H635" s="168">
        <f>SUM(H634:H634)</f>
        <v>0</v>
      </c>
      <c r="I635" s="276">
        <f>SUM(I634:I634)</f>
        <v>0</v>
      </c>
    </row>
    <row r="636" spans="2:17" x14ac:dyDescent="0.2">
      <c r="H636" s="214"/>
      <c r="Q636" s="166"/>
    </row>
    <row r="637" spans="2:17" x14ac:dyDescent="0.2">
      <c r="B637" s="273" t="s">
        <v>96</v>
      </c>
      <c r="C637" s="216"/>
      <c r="D637" s="216"/>
      <c r="E637" s="216"/>
      <c r="H637" s="214"/>
      <c r="Q637" s="166"/>
    </row>
    <row r="638" spans="2:17" x14ac:dyDescent="0.2">
      <c r="B638" s="273" t="s">
        <v>141</v>
      </c>
      <c r="C638" s="216"/>
      <c r="D638" s="216"/>
      <c r="E638" s="216"/>
      <c r="H638" s="214"/>
      <c r="Q638" s="166"/>
    </row>
    <row r="639" spans="2:17" x14ac:dyDescent="0.2">
      <c r="B639" s="273"/>
      <c r="C639" s="216"/>
      <c r="D639" s="216"/>
      <c r="E639" s="216"/>
      <c r="H639" s="214"/>
      <c r="Q639" s="166"/>
    </row>
    <row r="640" spans="2:17" x14ac:dyDescent="0.2">
      <c r="B640" s="275">
        <v>2021</v>
      </c>
      <c r="C640" s="279">
        <f>+H611</f>
        <v>0</v>
      </c>
      <c r="D640" s="216"/>
      <c r="E640" s="216"/>
      <c r="H640" s="214"/>
      <c r="Q640" s="166"/>
    </row>
    <row r="641" spans="2:17" x14ac:dyDescent="0.2">
      <c r="B641" s="275">
        <v>2022</v>
      </c>
      <c r="C641" s="279">
        <f>+H622</f>
        <v>0</v>
      </c>
      <c r="D641" s="216"/>
      <c r="E641" s="216"/>
      <c r="H641" s="214"/>
      <c r="Q641" s="166"/>
    </row>
    <row r="642" spans="2:17" x14ac:dyDescent="0.2">
      <c r="B642" s="275">
        <v>2023</v>
      </c>
      <c r="C642" s="279">
        <f>+H629</f>
        <v>0</v>
      </c>
      <c r="D642" s="216"/>
      <c r="E642" s="216"/>
      <c r="H642" s="214"/>
      <c r="Q642" s="166"/>
    </row>
    <row r="643" spans="2:17" x14ac:dyDescent="0.2">
      <c r="B643" s="275">
        <v>2024</v>
      </c>
      <c r="C643" s="279">
        <f>+H635</f>
        <v>0</v>
      </c>
      <c r="D643" s="216"/>
      <c r="E643" s="216"/>
      <c r="H643" s="214"/>
      <c r="Q643" s="166"/>
    </row>
    <row r="644" spans="2:17" x14ac:dyDescent="0.2">
      <c r="H644" s="214"/>
      <c r="Q644" s="166"/>
    </row>
    <row r="645" spans="2:17" x14ac:dyDescent="0.2">
      <c r="H645" s="214"/>
      <c r="Q645" s="166"/>
    </row>
    <row r="646" spans="2:17" ht="12.75" customHeight="1" x14ac:dyDescent="0.2">
      <c r="B646" s="321" t="s">
        <v>357</v>
      </c>
      <c r="C646" s="322"/>
      <c r="D646" s="322"/>
      <c r="E646" s="322"/>
      <c r="F646" s="323"/>
      <c r="G646" s="323"/>
      <c r="H646" s="527"/>
      <c r="I646" s="323"/>
      <c r="J646" s="323"/>
      <c r="K646" s="323"/>
      <c r="L646" s="323"/>
      <c r="M646" s="323"/>
      <c r="Q646" s="166"/>
    </row>
    <row r="647" spans="2:17" x14ac:dyDescent="0.2">
      <c r="H647" s="214"/>
      <c r="Q647" s="166"/>
    </row>
    <row r="648" spans="2:17" x14ac:dyDescent="0.2">
      <c r="B648" s="273" t="s">
        <v>139</v>
      </c>
      <c r="F648" s="810">
        <v>2017</v>
      </c>
      <c r="H648" s="214"/>
      <c r="Q648" s="166"/>
    </row>
    <row r="649" spans="2:17" x14ac:dyDescent="0.2">
      <c r="H649" s="214"/>
      <c r="L649" s="206"/>
      <c r="Q649" s="166"/>
    </row>
    <row r="650" spans="2:17" ht="82.5" customHeight="1" x14ac:dyDescent="0.2">
      <c r="B650" s="1101" t="s">
        <v>140</v>
      </c>
      <c r="C650" s="1102"/>
      <c r="D650" s="1102"/>
      <c r="E650" s="1103"/>
      <c r="F650" s="274"/>
      <c r="G650" s="165" t="str">
        <f>"Nog af te bouwen regulatoir saldo einde "&amp;F648-1</f>
        <v>Nog af te bouwen regulatoir saldo einde 2016</v>
      </c>
      <c r="H650" s="165" t="str">
        <f>"Afbouw oudste openstaande regulatoir saldo vanaf boekjaar "&amp;F648-3&amp;" en vroeger, door aanwending van compensatie met regulatoir saldo ontstaan over boekjaar "&amp;F648-2</f>
        <v>Afbouw oudste openstaande regulatoir saldo vanaf boekjaar 2014 en vroeger, door aanwending van compensatie met regulatoir saldo ontstaan over boekjaar 2015</v>
      </c>
      <c r="I650" s="165" t="str">
        <f>"Nog af te bouwen regulatoir saldo na compensatie einde "&amp;F648-1</f>
        <v>Nog af te bouwen regulatoir saldo na compensatie einde 2016</v>
      </c>
      <c r="J650" s="165" t="str">
        <f>"Aanwending van "&amp;IF($B$7="elektriciteit","75%",IF($B$7="gas","40%","FALSE"))&amp;" van het geaccumuleerd regulatoir saldo door te rekenen volgens de tariefmethodologie in het boekjaar "&amp;F648</f>
        <v>Aanwending van 40% van het geaccumuleerd regulatoir saldo door te rekenen volgens de tariefmethodologie in het boekjaar 2017</v>
      </c>
      <c r="K650" s="165" t="str">
        <f>"Nog af te bouwen regulatoir saldo einde "&amp;F648</f>
        <v>Nog af te bouwen regulatoir saldo einde 2017</v>
      </c>
      <c r="L650" s="206"/>
      <c r="Q650" s="166"/>
    </row>
    <row r="651" spans="2:17" x14ac:dyDescent="0.2">
      <c r="B651" s="1104">
        <v>2015</v>
      </c>
      <c r="C651" s="1105"/>
      <c r="D651" s="1105"/>
      <c r="E651" s="1106"/>
      <c r="F651" s="275"/>
      <c r="G651" s="176">
        <f>G218</f>
        <v>0</v>
      </c>
      <c r="H651" s="521">
        <v>0</v>
      </c>
      <c r="I651" s="176">
        <f>+G651+H651</f>
        <v>0</v>
      </c>
      <c r="J651" s="176">
        <f>-I651*IF($B$7="elektriciteit",0.75,IF($B$7="gas",0.4,"FALSE"))</f>
        <v>0</v>
      </c>
      <c r="K651" s="811">
        <f>+J651+G651</f>
        <v>0</v>
      </c>
      <c r="L651" s="206"/>
      <c r="Q651" s="166"/>
    </row>
    <row r="652" spans="2:17" x14ac:dyDescent="0.2">
      <c r="H652" s="214"/>
      <c r="L652" s="206"/>
      <c r="Q652" s="166"/>
    </row>
    <row r="653" spans="2:17" x14ac:dyDescent="0.2">
      <c r="B653" s="273" t="s">
        <v>139</v>
      </c>
      <c r="F653" s="810">
        <v>2018</v>
      </c>
      <c r="H653" s="214"/>
      <c r="Q653" s="166"/>
    </row>
    <row r="654" spans="2:17" x14ac:dyDescent="0.2">
      <c r="H654" s="214"/>
      <c r="Q654" s="166"/>
    </row>
    <row r="655" spans="2:17" ht="69.75" customHeight="1" x14ac:dyDescent="0.2">
      <c r="B655" s="1101" t="s">
        <v>140</v>
      </c>
      <c r="C655" s="1102"/>
      <c r="D655" s="1102"/>
      <c r="E655" s="1103"/>
      <c r="F655" s="274"/>
      <c r="G655" s="165" t="str">
        <f>"Nog af te bouwen regulatoir saldo einde "&amp;F653-1</f>
        <v>Nog af te bouwen regulatoir saldo einde 2017</v>
      </c>
      <c r="H655" s="165" t="str">
        <f>"Afbouw oudste openstaande regulatoir saldo vanaf boekjaar "&amp;F653-3&amp;" en vroeger, door aanwending van compensatie met regulatoir saldo ontstaan over boekjaar "&amp;F653-2</f>
        <v>Afbouw oudste openstaande regulatoir saldo vanaf boekjaar 2015 en vroeger, door aanwending van compensatie met regulatoir saldo ontstaan over boekjaar 2016</v>
      </c>
      <c r="I655" s="165" t="str">
        <f>"Nog af te bouwen regulatoir saldo na compensatie einde "&amp;F653-1</f>
        <v>Nog af te bouwen regulatoir saldo na compensatie einde 2017</v>
      </c>
      <c r="J655" s="165" t="str">
        <f>"Aanwending van "&amp;IF($B$7="elektriciteit","75%",IF($B$7="gas","40%","FALSE"))&amp;" van het geaccumuleerd regulatoir saldo door te rekenen volgens de tariefmethodologie in het boekjaar "&amp;F653</f>
        <v>Aanwending van 40% van het geaccumuleerd regulatoir saldo door te rekenen volgens de tariefmethodologie in het boekjaar 2018</v>
      </c>
      <c r="K655" s="165" t="str">
        <f>"Aanwending van "&amp;IF($B$7="elektriciteit","75%",IF($B$7="gas","40%","FALSE"))&amp;" van het geaccumuleerd regulatoir saldo door te rekenen volgens de tariefmethodologie in het boekjaar "&amp;F653</f>
        <v>Aanwending van 40% van het geaccumuleerd regulatoir saldo door te rekenen volgens de tariefmethodologie in het boekjaar 2018</v>
      </c>
      <c r="L655" s="165" t="str">
        <f>"Totale afbouw over "&amp;F653</f>
        <v>Totale afbouw over 2018</v>
      </c>
      <c r="M655" s="165" t="str">
        <f>"Nog af te bouwen regulatoir saldo einde "&amp;F653</f>
        <v>Nog af te bouwen regulatoir saldo einde 2018</v>
      </c>
      <c r="N655" s="206"/>
      <c r="Q655" s="166"/>
    </row>
    <row r="656" spans="2:17" x14ac:dyDescent="0.2">
      <c r="B656" s="1104">
        <v>2015</v>
      </c>
      <c r="C656" s="1105"/>
      <c r="D656" s="1105"/>
      <c r="E656" s="1106"/>
      <c r="F656" s="275"/>
      <c r="G656" s="176">
        <f>K651</f>
        <v>0</v>
      </c>
      <c r="H656" s="521">
        <f>IF(SIGN(G657*K651)&lt;0,IF(G656&lt;&gt;0,-SIGN(G656)*MIN(ABS(G657),ABS(G656)),0),0)</f>
        <v>0</v>
      </c>
      <c r="I656" s="176">
        <f>+G656+H656</f>
        <v>0</v>
      </c>
      <c r="J656" s="806"/>
      <c r="K656" s="521">
        <f>-MIN(ABS(I656),ABS(J658))*SIGN(I656)</f>
        <v>0</v>
      </c>
      <c r="L656" s="813">
        <f>+K656+H656</f>
        <v>0</v>
      </c>
      <c r="M656" s="176">
        <f>+I656+K656</f>
        <v>0</v>
      </c>
      <c r="N656" s="206"/>
      <c r="Q656" s="166"/>
    </row>
    <row r="657" spans="2:17" x14ac:dyDescent="0.2">
      <c r="B657" s="1104">
        <v>2016</v>
      </c>
      <c r="C657" s="1105"/>
      <c r="D657" s="1105"/>
      <c r="E657" s="1106"/>
      <c r="F657" s="275"/>
      <c r="G657" s="176">
        <f>H219</f>
        <v>0</v>
      </c>
      <c r="H657" s="813">
        <f>IF(SIGN(G657*K651)&lt;0,-H656,0)</f>
        <v>0</v>
      </c>
      <c r="I657" s="176">
        <f>+G657+H657</f>
        <v>0</v>
      </c>
      <c r="J657" s="806"/>
      <c r="K657" s="521">
        <f>-MIN(ABS(I657),ABS(J658-K656))*SIGN(I657)</f>
        <v>0</v>
      </c>
      <c r="L657" s="813">
        <f>+K657+H657</f>
        <v>0</v>
      </c>
      <c r="M657" s="176">
        <f>+I657+K657</f>
        <v>0</v>
      </c>
      <c r="N657" s="206"/>
      <c r="Q657" s="166"/>
    </row>
    <row r="658" spans="2:17" s="273" customFormat="1" x14ac:dyDescent="0.2">
      <c r="G658" s="276">
        <f>SUM(G656:G657)</f>
        <v>0</v>
      </c>
      <c r="H658" s="168">
        <f>SUM(H656:H657)</f>
        <v>0</v>
      </c>
      <c r="I658" s="276">
        <f>SUM(I656:I657)</f>
        <v>0</v>
      </c>
      <c r="J658" s="276">
        <f>-I658*IF($B$7="elektriciteit",0.75,IF($B$7="gas",0.4,"FALSE"))</f>
        <v>0</v>
      </c>
      <c r="K658" s="168">
        <f>SUM(K656:K657)</f>
        <v>0</v>
      </c>
      <c r="L658" s="528"/>
      <c r="M658" s="276">
        <f>SUM(M656:M657)</f>
        <v>0</v>
      </c>
    </row>
    <row r="659" spans="2:17" x14ac:dyDescent="0.2">
      <c r="H659" s="214"/>
      <c r="K659" s="214"/>
      <c r="L659" s="214"/>
      <c r="Q659" s="166"/>
    </row>
    <row r="660" spans="2:17" x14ac:dyDescent="0.2">
      <c r="B660" s="273" t="s">
        <v>139</v>
      </c>
      <c r="F660" s="810">
        <v>2019</v>
      </c>
      <c r="H660" s="214"/>
      <c r="Q660" s="166"/>
    </row>
    <row r="661" spans="2:17" x14ac:dyDescent="0.2">
      <c r="H661" s="214"/>
      <c r="Q661" s="166"/>
    </row>
    <row r="662" spans="2:17" ht="75.75" customHeight="1" x14ac:dyDescent="0.2">
      <c r="B662" s="1101" t="s">
        <v>140</v>
      </c>
      <c r="C662" s="1102"/>
      <c r="D662" s="1102"/>
      <c r="E662" s="1103"/>
      <c r="F662" s="274"/>
      <c r="G662" s="165" t="str">
        <f>"Nog af te bouwen regulatoir saldo einde "&amp;F660-1</f>
        <v>Nog af te bouwen regulatoir saldo einde 2018</v>
      </c>
      <c r="H662" s="165" t="str">
        <f>"Afbouw oudste openstaande regulatoir saldo vanaf boekjaar "&amp;F660-3&amp;" en vroeger, door aanwending van compensatie met regulatoir saldo ontstaan over boekjaar "&amp;F660-2</f>
        <v>Afbouw oudste openstaande regulatoir saldo vanaf boekjaar 2016 en vroeger, door aanwending van compensatie met regulatoir saldo ontstaan over boekjaar 2017</v>
      </c>
      <c r="I662" s="165" t="str">
        <f>"Nog af te bouwen regulatoir saldo na compensatie einde "&amp;F660-1</f>
        <v>Nog af te bouwen regulatoir saldo na compensatie einde 2018</v>
      </c>
      <c r="J662" s="165" t="str">
        <f>"Aanwending van "&amp;IF($B$7="elektriciteit","75%",IF($B$7="gas","40%","FALSE"))&amp;" van het geaccumuleerd regulatoir saldo door te rekenen volgens de tariefmethodologie in het boekjaar "&amp;F660</f>
        <v>Aanwending van 40% van het geaccumuleerd regulatoir saldo door te rekenen volgens de tariefmethodologie in het boekjaar 2019</v>
      </c>
      <c r="K662" s="165" t="str">
        <f>"Aanwending van "&amp;IF($B$7="elektriciteit","75%",IF($B$7="gas","40%","FALSE"))&amp;" van het geaccumuleerd regulatoir saldo door te rekenen volgens de tariefmethodologie in het boekjaar "&amp;F660</f>
        <v>Aanwending van 40% van het geaccumuleerd regulatoir saldo door te rekenen volgens de tariefmethodologie in het boekjaar 2019</v>
      </c>
      <c r="L662" s="165" t="str">
        <f>"Totale afbouw over "&amp;F660</f>
        <v>Totale afbouw over 2019</v>
      </c>
      <c r="M662" s="165" t="str">
        <f>"Nog af te bouwen regulatoir saldo einde "&amp;F660</f>
        <v>Nog af te bouwen regulatoir saldo einde 2019</v>
      </c>
      <c r="N662" s="206"/>
      <c r="Q662" s="166"/>
    </row>
    <row r="663" spans="2:17" x14ac:dyDescent="0.2">
      <c r="B663" s="1104">
        <v>2015</v>
      </c>
      <c r="C663" s="1105"/>
      <c r="D663" s="1105"/>
      <c r="E663" s="1106"/>
      <c r="F663" s="275"/>
      <c r="G663" s="176">
        <f>+M656</f>
        <v>0</v>
      </c>
      <c r="H663" s="813">
        <f>IF(SIGN(G665*M658)&lt;0,IF(G663&lt;&gt;0,-SIGN(G663)*MIN(ABS(G665),ABS(G663)),0),0)</f>
        <v>0</v>
      </c>
      <c r="I663" s="176">
        <f>+G663+H663</f>
        <v>0</v>
      </c>
      <c r="J663" s="806"/>
      <c r="K663" s="521">
        <f>-MIN(ABS(I663),ABS(J666))*SIGN(I663)</f>
        <v>0</v>
      </c>
      <c r="L663" s="813">
        <f>+K663+H663</f>
        <v>0</v>
      </c>
      <c r="M663" s="176">
        <f>+I663+K663</f>
        <v>0</v>
      </c>
      <c r="N663" s="206"/>
      <c r="Q663" s="166"/>
    </row>
    <row r="664" spans="2:17" x14ac:dyDescent="0.2">
      <c r="B664" s="1104">
        <v>2016</v>
      </c>
      <c r="C664" s="1105"/>
      <c r="D664" s="1105">
        <v>2016</v>
      </c>
      <c r="E664" s="1106"/>
      <c r="F664" s="275"/>
      <c r="G664" s="176">
        <f>+M657</f>
        <v>0</v>
      </c>
      <c r="H664" s="813">
        <f>IF(SIGN(G665*M658)&lt;0,IF(G664&lt;&gt;0,-SIGN(G664)*MIN(ABS(G665-H663),ABS(G664)),0),0)</f>
        <v>0</v>
      </c>
      <c r="I664" s="176">
        <f>+G664+H664</f>
        <v>0</v>
      </c>
      <c r="J664" s="806"/>
      <c r="K664" s="521">
        <f>-MIN(ABS(I664),ABS(J666-K663))*SIGN(I664)</f>
        <v>0</v>
      </c>
      <c r="L664" s="813">
        <f>+K664+H664</f>
        <v>0</v>
      </c>
      <c r="M664" s="176">
        <f>+I664+K664</f>
        <v>0</v>
      </c>
      <c r="N664" s="206"/>
      <c r="Q664" s="166"/>
    </row>
    <row r="665" spans="2:17" x14ac:dyDescent="0.2">
      <c r="B665" s="1104">
        <v>2017</v>
      </c>
      <c r="C665" s="1105"/>
      <c r="D665" s="1105"/>
      <c r="E665" s="1106"/>
      <c r="F665" s="275"/>
      <c r="G665" s="176">
        <f>I220</f>
        <v>0</v>
      </c>
      <c r="H665" s="813">
        <f>IF(SIGN(G665*M658)&lt;0,-SUM(H663:H664),0)</f>
        <v>0</v>
      </c>
      <c r="I665" s="176">
        <f>+G665+H665</f>
        <v>0</v>
      </c>
      <c r="J665" s="806"/>
      <c r="K665" s="521">
        <f>-MIN(ABS(I665),ABS(J666-K663-K664))*SIGN(I665)</f>
        <v>0</v>
      </c>
      <c r="L665" s="813">
        <f>+K665+H665</f>
        <v>0</v>
      </c>
      <c r="M665" s="176">
        <f>+I665+K665</f>
        <v>0</v>
      </c>
      <c r="N665" s="206"/>
      <c r="Q665" s="166"/>
    </row>
    <row r="666" spans="2:17" s="273" customFormat="1" x14ac:dyDescent="0.2">
      <c r="G666" s="276">
        <f>SUM(G663:G665)</f>
        <v>0</v>
      </c>
      <c r="H666" s="168">
        <f>SUM(H663:H665)</f>
        <v>0</v>
      </c>
      <c r="I666" s="276">
        <f>SUM(I663:I665)</f>
        <v>0</v>
      </c>
      <c r="J666" s="276">
        <f>-I666*IF($B$7="elektriciteit",0.75,IF($B$7="gas",0.4,"FALSE"))</f>
        <v>0</v>
      </c>
      <c r="K666" s="168">
        <f>SUM(K663:K665)</f>
        <v>0</v>
      </c>
      <c r="L666" s="528"/>
      <c r="M666" s="276">
        <f>SUM(M663:M665)</f>
        <v>0</v>
      </c>
    </row>
    <row r="667" spans="2:17" x14ac:dyDescent="0.2">
      <c r="H667" s="214"/>
      <c r="K667" s="214"/>
      <c r="L667" s="214"/>
      <c r="Q667" s="166"/>
    </row>
    <row r="668" spans="2:17" x14ac:dyDescent="0.2">
      <c r="B668" s="273" t="s">
        <v>139</v>
      </c>
      <c r="F668" s="810">
        <v>2020</v>
      </c>
      <c r="H668" s="214"/>
      <c r="Q668" s="166"/>
    </row>
    <row r="669" spans="2:17" x14ac:dyDescent="0.2">
      <c r="H669" s="214"/>
      <c r="Q669" s="166"/>
    </row>
    <row r="670" spans="2:17" ht="78" customHeight="1" x14ac:dyDescent="0.2">
      <c r="B670" s="1101" t="s">
        <v>140</v>
      </c>
      <c r="C670" s="1102"/>
      <c r="D670" s="1102"/>
      <c r="E670" s="1103"/>
      <c r="F670" s="274"/>
      <c r="G670" s="165" t="str">
        <f>"Nog af te bouwen regulatoir saldo einde "&amp;F668-1</f>
        <v>Nog af te bouwen regulatoir saldo einde 2019</v>
      </c>
      <c r="H670" s="165" t="str">
        <f>"Afbouw oudste openstaande regulatoir saldo vanaf boekjaar "&amp;F668-3&amp;" en vroeger, door aanwending van compensatie met regulatoir saldo ontstaan over boekjaar "&amp;F668-2</f>
        <v>Afbouw oudste openstaande regulatoir saldo vanaf boekjaar 2017 en vroeger, door aanwending van compensatie met regulatoir saldo ontstaan over boekjaar 2018</v>
      </c>
      <c r="I670" s="165" t="str">
        <f>"Nog af te bouwen regulatoir saldo na compensatie einde "&amp;F668-1</f>
        <v>Nog af te bouwen regulatoir saldo na compensatie einde 2019</v>
      </c>
      <c r="J670" s="165" t="str">
        <f>"Aanwending van "&amp;IF($B$7="elektriciteit","75%",IF($B$7="gas","40%","FALSE"))&amp;" van het geaccumuleerd regulatoir saldo door te rekenen volgens de tariefmethodologie in het boekjaar "&amp;F668</f>
        <v>Aanwending van 40% van het geaccumuleerd regulatoir saldo door te rekenen volgens de tariefmethodologie in het boekjaar 2020</v>
      </c>
      <c r="K670" s="165" t="str">
        <f>"Aanwending van "&amp;IF($B$7="elektriciteit","75%",IF($B$7="gas","40%","FALSE"))&amp;" van het geaccumuleerd regulatoir saldo door te rekenen volgens de tariefmethodologie in het boekjaar "&amp;F668</f>
        <v>Aanwending van 40% van het geaccumuleerd regulatoir saldo door te rekenen volgens de tariefmethodologie in het boekjaar 2020</v>
      </c>
      <c r="L670" s="165" t="str">
        <f>"Totale afbouw over "&amp;F668</f>
        <v>Totale afbouw over 2020</v>
      </c>
      <c r="M670" s="165" t="str">
        <f>"Nog af te bouwen regulatoir saldo einde "&amp;F668</f>
        <v>Nog af te bouwen regulatoir saldo einde 2020</v>
      </c>
      <c r="N670" s="206"/>
      <c r="Q670" s="166"/>
    </row>
    <row r="671" spans="2:17" x14ac:dyDescent="0.2">
      <c r="B671" s="1104">
        <v>2015</v>
      </c>
      <c r="C671" s="1105"/>
      <c r="D671" s="1105"/>
      <c r="E671" s="1106"/>
      <c r="F671" s="275"/>
      <c r="G671" s="176">
        <f>+M663</f>
        <v>0</v>
      </c>
      <c r="H671" s="813">
        <f>IF(SIGN(G674*M666)&lt;0,IF(G671&lt;&gt;0,-SIGN(G671)*MIN(ABS(G674),ABS(G671)),0),0)</f>
        <v>0</v>
      </c>
      <c r="I671" s="176">
        <f>+G671+H671</f>
        <v>0</v>
      </c>
      <c r="J671" s="806"/>
      <c r="K671" s="521">
        <f>-MIN(ABS(I671),ABS(J675))*SIGN(I671)</f>
        <v>0</v>
      </c>
      <c r="L671" s="813">
        <f>+K671+H671</f>
        <v>0</v>
      </c>
      <c r="M671" s="176">
        <f>+I671+K671</f>
        <v>0</v>
      </c>
      <c r="N671" s="206"/>
      <c r="Q671" s="166"/>
    </row>
    <row r="672" spans="2:17" x14ac:dyDescent="0.2">
      <c r="B672" s="1104">
        <v>2016</v>
      </c>
      <c r="C672" s="1105"/>
      <c r="D672" s="1105"/>
      <c r="E672" s="1106"/>
      <c r="F672" s="275"/>
      <c r="G672" s="176">
        <f>+M664</f>
        <v>0</v>
      </c>
      <c r="H672" s="813">
        <f>IF(SIGN(G674*M666)&lt;0,IF(G672&lt;&gt;0,-SIGN(G672)*MIN(ABS(G674-H671),ABS(G672)),0),0)</f>
        <v>0</v>
      </c>
      <c r="I672" s="176">
        <f>+G672+H672</f>
        <v>0</v>
      </c>
      <c r="J672" s="806"/>
      <c r="K672" s="521">
        <f>-MIN(ABS(I672),ABS(J675-K671))*SIGN(I672)</f>
        <v>0</v>
      </c>
      <c r="L672" s="813">
        <f>+K672+H672</f>
        <v>0</v>
      </c>
      <c r="M672" s="176">
        <f>+I672+K672</f>
        <v>0</v>
      </c>
      <c r="N672" s="206"/>
      <c r="Q672" s="166"/>
    </row>
    <row r="673" spans="2:17" x14ac:dyDescent="0.2">
      <c r="B673" s="1104">
        <v>2017</v>
      </c>
      <c r="C673" s="1105"/>
      <c r="D673" s="1105">
        <v>2016</v>
      </c>
      <c r="E673" s="1106"/>
      <c r="F673" s="275"/>
      <c r="G673" s="176">
        <f>+M665</f>
        <v>0</v>
      </c>
      <c r="H673" s="813">
        <f>IF(SIGN(G674*M666)&lt;0,IF(G673&lt;&gt;0,-SIGN(G673)*MIN(ABS(G674-H671-H672),ABS(G673)),0),0)</f>
        <v>0</v>
      </c>
      <c r="I673" s="176">
        <f>+G673+H673</f>
        <v>0</v>
      </c>
      <c r="J673" s="806"/>
      <c r="K673" s="521">
        <f>-MIN(ABS(I673),ABS(J675-K671-K672))*SIGN(I673)</f>
        <v>0</v>
      </c>
      <c r="L673" s="813">
        <f>+K673+H673</f>
        <v>0</v>
      </c>
      <c r="M673" s="176">
        <f>+I673+K673</f>
        <v>0</v>
      </c>
      <c r="N673" s="206"/>
      <c r="Q673" s="166"/>
    </row>
    <row r="674" spans="2:17" x14ac:dyDescent="0.2">
      <c r="B674" s="1104">
        <v>2018</v>
      </c>
      <c r="C674" s="1105"/>
      <c r="D674" s="1105"/>
      <c r="E674" s="1106"/>
      <c r="F674" s="275"/>
      <c r="G674" s="176">
        <f>J221</f>
        <v>0</v>
      </c>
      <c r="H674" s="813">
        <f>IF(SIGN(G674*M666)&lt;0,-SUM(H671:H673),0)</f>
        <v>0</v>
      </c>
      <c r="I674" s="176">
        <f>+G674+H674</f>
        <v>0</v>
      </c>
      <c r="J674" s="806"/>
      <c r="K674" s="521">
        <f>-MIN(ABS(I674),ABS(J675-K671-K672-K673))*SIGN(I674)</f>
        <v>0</v>
      </c>
      <c r="L674" s="813">
        <f>+K674+H674</f>
        <v>0</v>
      </c>
      <c r="M674" s="176">
        <f>+I674+K674</f>
        <v>0</v>
      </c>
      <c r="N674" s="206"/>
      <c r="Q674" s="166"/>
    </row>
    <row r="675" spans="2:17" s="273" customFormat="1" x14ac:dyDescent="0.2">
      <c r="G675" s="276">
        <f>SUM(G671:G674)</f>
        <v>0</v>
      </c>
      <c r="H675" s="168">
        <f>SUM(H671:H674)</f>
        <v>0</v>
      </c>
      <c r="I675" s="276">
        <f>SUM(I671:I674)</f>
        <v>0</v>
      </c>
      <c r="J675" s="276">
        <f>-I675*IF($B$7="elektriciteit",0.75,IF($B$7="gas",0.4,"FALSE"))</f>
        <v>0</v>
      </c>
      <c r="K675" s="168">
        <f>SUM(K671:K674)</f>
        <v>0</v>
      </c>
      <c r="L675" s="168"/>
      <c r="M675" s="276">
        <f>SUM(M671:M674)</f>
        <v>0</v>
      </c>
    </row>
    <row r="676" spans="2:17" x14ac:dyDescent="0.2">
      <c r="H676" s="214"/>
      <c r="Q676" s="166"/>
    </row>
    <row r="677" spans="2:17" x14ac:dyDescent="0.2">
      <c r="B677" s="273" t="s">
        <v>139</v>
      </c>
      <c r="F677" s="810">
        <v>2021</v>
      </c>
      <c r="H677" s="214"/>
      <c r="Q677" s="166"/>
    </row>
    <row r="678" spans="2:17" x14ac:dyDescent="0.2">
      <c r="H678" s="214"/>
      <c r="Q678" s="166"/>
    </row>
    <row r="679" spans="2:17" ht="78" customHeight="1" x14ac:dyDescent="0.2">
      <c r="B679" s="1101" t="s">
        <v>140</v>
      </c>
      <c r="C679" s="1102"/>
      <c r="D679" s="1102"/>
      <c r="E679" s="1103"/>
      <c r="F679" s="274"/>
      <c r="G679" s="165" t="str">
        <f>"Nog af te bouwen regulatoir saldo einde "&amp;F677-1</f>
        <v>Nog af te bouwen regulatoir saldo einde 2020</v>
      </c>
      <c r="H679" s="165" t="str">
        <f>"50% van het oorspronkelijk regulatoir saldo door te rekenen volgens de tariefmethodologie in het boekjaar "&amp;F677</f>
        <v>50% van het oorspronkelijk regulatoir saldo door te rekenen volgens de tariefmethodologie in het boekjaar 2021</v>
      </c>
      <c r="I679" s="165" t="str">
        <f>"Nog af te bouwen regulatoir saldo einde "&amp;F677</f>
        <v>Nog af te bouwen regulatoir saldo einde 2021</v>
      </c>
      <c r="J679" s="206"/>
      <c r="Q679" s="166"/>
    </row>
    <row r="680" spans="2:17" x14ac:dyDescent="0.2">
      <c r="B680" s="1104">
        <v>2015</v>
      </c>
      <c r="C680" s="1105"/>
      <c r="D680" s="1105"/>
      <c r="E680" s="1106"/>
      <c r="F680" s="275"/>
      <c r="G680" s="176">
        <f>M671</f>
        <v>0</v>
      </c>
      <c r="H680" s="521">
        <f>-G680*0.5</f>
        <v>0</v>
      </c>
      <c r="I680" s="176">
        <f>+G680+H680</f>
        <v>0</v>
      </c>
      <c r="J680" s="206"/>
      <c r="Q680" s="166"/>
    </row>
    <row r="681" spans="2:17" x14ac:dyDescent="0.2">
      <c r="B681" s="1104">
        <v>2016</v>
      </c>
      <c r="C681" s="1105"/>
      <c r="D681" s="1105"/>
      <c r="E681" s="1106"/>
      <c r="F681" s="275"/>
      <c r="G681" s="176">
        <f t="shared" ref="G681:G683" si="93">M672</f>
        <v>0</v>
      </c>
      <c r="H681" s="521">
        <f t="shared" ref="H681:H684" si="94">-G681*0.5</f>
        <v>0</v>
      </c>
      <c r="I681" s="176">
        <f t="shared" ref="I681:I684" si="95">+G681+H681</f>
        <v>0</v>
      </c>
      <c r="J681" s="206"/>
      <c r="Q681" s="166"/>
    </row>
    <row r="682" spans="2:17" x14ac:dyDescent="0.2">
      <c r="B682" s="1104">
        <v>2017</v>
      </c>
      <c r="C682" s="1105"/>
      <c r="D682" s="1105">
        <v>2016</v>
      </c>
      <c r="E682" s="1106"/>
      <c r="F682" s="275"/>
      <c r="G682" s="176">
        <f t="shared" si="93"/>
        <v>0</v>
      </c>
      <c r="H682" s="521">
        <f t="shared" si="94"/>
        <v>0</v>
      </c>
      <c r="I682" s="176">
        <f t="shared" si="95"/>
        <v>0</v>
      </c>
      <c r="J682" s="206"/>
      <c r="Q682" s="166"/>
    </row>
    <row r="683" spans="2:17" x14ac:dyDescent="0.2">
      <c r="B683" s="1104">
        <v>2018</v>
      </c>
      <c r="C683" s="1105"/>
      <c r="D683" s="1105"/>
      <c r="E683" s="1106"/>
      <c r="F683" s="275"/>
      <c r="G683" s="176">
        <f t="shared" si="93"/>
        <v>0</v>
      </c>
      <c r="H683" s="521">
        <f t="shared" si="94"/>
        <v>0</v>
      </c>
      <c r="I683" s="176">
        <f t="shared" si="95"/>
        <v>0</v>
      </c>
      <c r="J683" s="206"/>
      <c r="Q683" s="166"/>
    </row>
    <row r="684" spans="2:17" x14ac:dyDescent="0.2">
      <c r="B684" s="1104">
        <v>2019</v>
      </c>
      <c r="C684" s="1105"/>
      <c r="D684" s="1105"/>
      <c r="E684" s="1106"/>
      <c r="F684" s="275"/>
      <c r="G684" s="176">
        <f>K222</f>
        <v>0</v>
      </c>
      <c r="H684" s="521">
        <f t="shared" si="94"/>
        <v>0</v>
      </c>
      <c r="I684" s="176">
        <f t="shared" si="95"/>
        <v>0</v>
      </c>
      <c r="J684" s="206"/>
      <c r="Q684" s="166"/>
    </row>
    <row r="685" spans="2:17" s="273" customFormat="1" x14ac:dyDescent="0.2">
      <c r="G685" s="276">
        <f>SUM(G680:G684)</f>
        <v>0</v>
      </c>
      <c r="H685" s="168">
        <f>SUM(H680:H684)</f>
        <v>0</v>
      </c>
      <c r="I685" s="276">
        <f>SUM(I680:I684)</f>
        <v>0</v>
      </c>
    </row>
    <row r="686" spans="2:17" x14ac:dyDescent="0.2">
      <c r="H686" s="214"/>
      <c r="Q686" s="166"/>
    </row>
    <row r="687" spans="2:17" x14ac:dyDescent="0.2">
      <c r="B687" s="273" t="s">
        <v>139</v>
      </c>
      <c r="F687" s="810">
        <v>2022</v>
      </c>
      <c r="H687" s="214"/>
      <c r="Q687" s="166"/>
    </row>
    <row r="688" spans="2:17" x14ac:dyDescent="0.2">
      <c r="H688" s="214"/>
      <c r="Q688" s="166"/>
    </row>
    <row r="689" spans="2:17" ht="78" customHeight="1" x14ac:dyDescent="0.2">
      <c r="B689" s="1101" t="s">
        <v>140</v>
      </c>
      <c r="C689" s="1102"/>
      <c r="D689" s="1102"/>
      <c r="E689" s="1103"/>
      <c r="F689" s="274"/>
      <c r="G689" s="165" t="str">
        <f>"Nog af te bouwen regulatoir saldo einde "&amp;F687-1</f>
        <v>Nog af te bouwen regulatoir saldo einde 2021</v>
      </c>
      <c r="H689" s="165" t="str">
        <f>"50% van het oorspronkelijk regulatoir saldo door te rekenen volgens de tariefmethodologie in het boekjaar "&amp;F687</f>
        <v>50% van het oorspronkelijk regulatoir saldo door te rekenen volgens de tariefmethodologie in het boekjaar 2022</v>
      </c>
      <c r="I689" s="165" t="str">
        <f>"Nog af te bouwen regulatoir saldo einde "&amp;F687</f>
        <v>Nog af te bouwen regulatoir saldo einde 2022</v>
      </c>
      <c r="J689" s="206"/>
      <c r="Q689" s="166"/>
    </row>
    <row r="690" spans="2:17" x14ac:dyDescent="0.2">
      <c r="B690" s="1104">
        <v>2015</v>
      </c>
      <c r="C690" s="1105"/>
      <c r="D690" s="1105"/>
      <c r="E690" s="1106"/>
      <c r="F690" s="275"/>
      <c r="G690" s="176">
        <f>+I680</f>
        <v>0</v>
      </c>
      <c r="H690" s="521">
        <f>-G680*0.5</f>
        <v>0</v>
      </c>
      <c r="I690" s="176">
        <f>+G690+H690</f>
        <v>0</v>
      </c>
      <c r="J690" s="206"/>
      <c r="Q690" s="166"/>
    </row>
    <row r="691" spans="2:17" x14ac:dyDescent="0.2">
      <c r="B691" s="1104">
        <v>2016</v>
      </c>
      <c r="C691" s="1105"/>
      <c r="D691" s="1105"/>
      <c r="E691" s="1106"/>
      <c r="F691" s="275"/>
      <c r="G691" s="176">
        <f t="shared" ref="G691:G694" si="96">+I681</f>
        <v>0</v>
      </c>
      <c r="H691" s="521">
        <f t="shared" ref="H691:H694" si="97">-G681*0.5</f>
        <v>0</v>
      </c>
      <c r="I691" s="176">
        <f t="shared" ref="I691:I695" si="98">+G691+H691</f>
        <v>0</v>
      </c>
      <c r="J691" s="206"/>
      <c r="Q691" s="166"/>
    </row>
    <row r="692" spans="2:17" x14ac:dyDescent="0.2">
      <c r="B692" s="1104">
        <v>2017</v>
      </c>
      <c r="C692" s="1105"/>
      <c r="D692" s="1105">
        <v>2016</v>
      </c>
      <c r="E692" s="1106"/>
      <c r="F692" s="275"/>
      <c r="G692" s="176">
        <f t="shared" si="96"/>
        <v>0</v>
      </c>
      <c r="H692" s="521">
        <f t="shared" si="97"/>
        <v>0</v>
      </c>
      <c r="I692" s="176">
        <f t="shared" si="98"/>
        <v>0</v>
      </c>
      <c r="J692" s="206"/>
      <c r="Q692" s="166"/>
    </row>
    <row r="693" spans="2:17" x14ac:dyDescent="0.2">
      <c r="B693" s="1104">
        <v>2018</v>
      </c>
      <c r="C693" s="1105"/>
      <c r="D693" s="1105"/>
      <c r="E693" s="1106"/>
      <c r="F693" s="275"/>
      <c r="G693" s="176">
        <f t="shared" si="96"/>
        <v>0</v>
      </c>
      <c r="H693" s="521">
        <f t="shared" si="97"/>
        <v>0</v>
      </c>
      <c r="I693" s="176">
        <f t="shared" si="98"/>
        <v>0</v>
      </c>
      <c r="J693" s="206"/>
      <c r="Q693" s="166"/>
    </row>
    <row r="694" spans="2:17" x14ac:dyDescent="0.2">
      <c r="B694" s="1104">
        <v>2019</v>
      </c>
      <c r="C694" s="1105"/>
      <c r="D694" s="1105"/>
      <c r="E694" s="1106"/>
      <c r="F694" s="275"/>
      <c r="G694" s="176">
        <f t="shared" si="96"/>
        <v>0</v>
      </c>
      <c r="H694" s="521">
        <f t="shared" si="97"/>
        <v>0</v>
      </c>
      <c r="I694" s="176">
        <f t="shared" si="98"/>
        <v>0</v>
      </c>
      <c r="J694" s="206"/>
      <c r="Q694" s="166"/>
    </row>
    <row r="695" spans="2:17" x14ac:dyDescent="0.2">
      <c r="B695" s="1104">
        <v>2020</v>
      </c>
      <c r="C695" s="1105"/>
      <c r="D695" s="1105"/>
      <c r="E695" s="1106"/>
      <c r="F695" s="275"/>
      <c r="G695" s="176">
        <f>L223</f>
        <v>0</v>
      </c>
      <c r="H695" s="521">
        <f t="shared" ref="H695" si="99">-G695*0.5</f>
        <v>0</v>
      </c>
      <c r="I695" s="176">
        <f t="shared" si="98"/>
        <v>0</v>
      </c>
      <c r="J695" s="206"/>
      <c r="Q695" s="166"/>
    </row>
    <row r="696" spans="2:17" s="273" customFormat="1" x14ac:dyDescent="0.2">
      <c r="G696" s="276">
        <f>SUM(G690:G695)</f>
        <v>0</v>
      </c>
      <c r="H696" s="168">
        <f t="shared" ref="H696:I696" si="100">SUM(H690:H695)</f>
        <v>0</v>
      </c>
      <c r="I696" s="276">
        <f t="shared" si="100"/>
        <v>0</v>
      </c>
    </row>
    <row r="697" spans="2:17" x14ac:dyDescent="0.2">
      <c r="H697" s="214"/>
      <c r="Q697" s="166"/>
    </row>
    <row r="698" spans="2:17" x14ac:dyDescent="0.2">
      <c r="B698" s="273" t="s">
        <v>139</v>
      </c>
      <c r="F698" s="810">
        <v>2023</v>
      </c>
      <c r="H698" s="214"/>
      <c r="Q698" s="166"/>
    </row>
    <row r="699" spans="2:17" x14ac:dyDescent="0.2">
      <c r="H699" s="214"/>
      <c r="Q699" s="166"/>
    </row>
    <row r="700" spans="2:17" ht="78" customHeight="1" x14ac:dyDescent="0.2">
      <c r="B700" s="1101" t="s">
        <v>140</v>
      </c>
      <c r="C700" s="1102"/>
      <c r="D700" s="1102"/>
      <c r="E700" s="1103"/>
      <c r="F700" s="274"/>
      <c r="G700" s="165" t="str">
        <f>"Nog af te bouwen regulatoir saldo einde "&amp;F698-1</f>
        <v>Nog af te bouwen regulatoir saldo einde 2022</v>
      </c>
      <c r="H700" s="165" t="str">
        <f>"50% van het oorspronkelijk regulatoir saldo door te rekenen volgens de tariefmethodologie in het boekjaar "&amp;F698</f>
        <v>50% van het oorspronkelijk regulatoir saldo door te rekenen volgens de tariefmethodologie in het boekjaar 2023</v>
      </c>
      <c r="I700" s="165" t="str">
        <f>"Nog af te bouwen regulatoir saldo einde "&amp;F698</f>
        <v>Nog af te bouwen regulatoir saldo einde 2023</v>
      </c>
      <c r="J700" s="206"/>
      <c r="Q700" s="166"/>
    </row>
    <row r="701" spans="2:17" x14ac:dyDescent="0.2">
      <c r="B701" s="1104">
        <v>2020</v>
      </c>
      <c r="C701" s="1105"/>
      <c r="D701" s="1105"/>
      <c r="E701" s="1106"/>
      <c r="F701" s="275"/>
      <c r="G701" s="176">
        <f>+I695</f>
        <v>0</v>
      </c>
      <c r="H701" s="521">
        <f>-G695*0.5</f>
        <v>0</v>
      </c>
      <c r="I701" s="176">
        <f t="shared" ref="I701:I702" si="101">+G701+H701</f>
        <v>0</v>
      </c>
      <c r="J701" s="206"/>
      <c r="Q701" s="166"/>
    </row>
    <row r="702" spans="2:17" x14ac:dyDescent="0.2">
      <c r="B702" s="1104">
        <v>2021</v>
      </c>
      <c r="C702" s="1105"/>
      <c r="D702" s="1105"/>
      <c r="E702" s="1106"/>
      <c r="F702" s="275"/>
      <c r="G702" s="176">
        <f>M224</f>
        <v>0</v>
      </c>
      <c r="H702" s="521">
        <f t="shared" ref="H702" si="102">-G702*0.5</f>
        <v>0</v>
      </c>
      <c r="I702" s="176">
        <f t="shared" si="101"/>
        <v>0</v>
      </c>
      <c r="J702" s="206"/>
      <c r="Q702" s="166"/>
    </row>
    <row r="703" spans="2:17" s="273" customFormat="1" x14ac:dyDescent="0.2">
      <c r="G703" s="276">
        <f>SUM(G701:G702)</f>
        <v>0</v>
      </c>
      <c r="H703" s="168">
        <f>SUM(H701:H702)</f>
        <v>0</v>
      </c>
      <c r="I703" s="276">
        <f>SUM(I701:I702)</f>
        <v>0</v>
      </c>
    </row>
    <row r="704" spans="2:17" x14ac:dyDescent="0.2">
      <c r="H704" s="214"/>
      <c r="Q704" s="166"/>
    </row>
    <row r="705" spans="2:17" x14ac:dyDescent="0.2">
      <c r="B705" s="273" t="s">
        <v>139</v>
      </c>
      <c r="F705" s="810">
        <v>2024</v>
      </c>
      <c r="H705" s="214"/>
      <c r="Q705" s="166"/>
    </row>
    <row r="706" spans="2:17" x14ac:dyDescent="0.2">
      <c r="H706" s="214"/>
      <c r="Q706" s="166"/>
    </row>
    <row r="707" spans="2:17" ht="78" customHeight="1" x14ac:dyDescent="0.2">
      <c r="B707" s="1101" t="s">
        <v>140</v>
      </c>
      <c r="C707" s="1102"/>
      <c r="D707" s="1102"/>
      <c r="E707" s="1103"/>
      <c r="F707" s="274"/>
      <c r="G707" s="165" t="str">
        <f>"Nog af te bouwen regulatoir saldo einde "&amp;F705-1</f>
        <v>Nog af te bouwen regulatoir saldo einde 2023</v>
      </c>
      <c r="H707" s="165" t="str">
        <f>"50% van het oorspronkelijk regulatoir saldo door te rekenen volgens de tariefmethodologie in het boekjaar "&amp;F705</f>
        <v>50% van het oorspronkelijk regulatoir saldo door te rekenen volgens de tariefmethodologie in het boekjaar 2024</v>
      </c>
      <c r="I707" s="165" t="str">
        <f>"Nog af te bouwen regulatoir saldo einde "&amp;F705</f>
        <v>Nog af te bouwen regulatoir saldo einde 2024</v>
      </c>
      <c r="J707" s="206"/>
      <c r="Q707" s="166"/>
    </row>
    <row r="708" spans="2:17" x14ac:dyDescent="0.2">
      <c r="B708" s="1104">
        <v>2021</v>
      </c>
      <c r="C708" s="1105"/>
      <c r="D708" s="1105"/>
      <c r="E708" s="1106"/>
      <c r="F708" s="275"/>
      <c r="G708" s="176">
        <f>+I702</f>
        <v>0</v>
      </c>
      <c r="H708" s="521">
        <f>-G702*0.5</f>
        <v>0</v>
      </c>
      <c r="I708" s="176">
        <f t="shared" ref="I708:I709" si="103">+G708+H708</f>
        <v>0</v>
      </c>
      <c r="J708" s="206"/>
      <c r="Q708" s="166"/>
    </row>
    <row r="709" spans="2:17" x14ac:dyDescent="0.2">
      <c r="B709" s="1104">
        <v>2022</v>
      </c>
      <c r="C709" s="1105"/>
      <c r="D709" s="1105"/>
      <c r="E709" s="1106"/>
      <c r="F709" s="275"/>
      <c r="G709" s="176">
        <f>N225</f>
        <v>0</v>
      </c>
      <c r="H709" s="521">
        <f t="shared" ref="H709" si="104">-G709*0.5</f>
        <v>0</v>
      </c>
      <c r="I709" s="176">
        <f t="shared" si="103"/>
        <v>0</v>
      </c>
      <c r="J709" s="206"/>
      <c r="Q709" s="166"/>
    </row>
    <row r="710" spans="2:17" s="273" customFormat="1" x14ac:dyDescent="0.2">
      <c r="G710" s="276">
        <f>SUM(G708:G709)</f>
        <v>0</v>
      </c>
      <c r="H710" s="168">
        <f>SUM(H708:H709)</f>
        <v>0</v>
      </c>
      <c r="I710" s="276">
        <f>SUM(I708:I709)</f>
        <v>0</v>
      </c>
    </row>
    <row r="711" spans="2:17" x14ac:dyDescent="0.2">
      <c r="H711" s="214"/>
      <c r="Q711" s="166"/>
    </row>
    <row r="712" spans="2:17" x14ac:dyDescent="0.2">
      <c r="B712" s="273" t="s">
        <v>357</v>
      </c>
      <c r="H712" s="214"/>
      <c r="Q712" s="166"/>
    </row>
    <row r="713" spans="2:17" x14ac:dyDescent="0.2">
      <c r="B713" s="273" t="s">
        <v>141</v>
      </c>
      <c r="C713" s="216"/>
      <c r="D713" s="216"/>
      <c r="E713" s="216"/>
      <c r="H713" s="214"/>
      <c r="Q713" s="166"/>
    </row>
    <row r="714" spans="2:17" x14ac:dyDescent="0.2">
      <c r="B714" s="273"/>
      <c r="C714" s="216"/>
      <c r="D714" s="216"/>
      <c r="E714" s="216"/>
      <c r="H714" s="214"/>
      <c r="Q714" s="166"/>
    </row>
    <row r="715" spans="2:17" x14ac:dyDescent="0.2">
      <c r="B715" s="275">
        <v>2021</v>
      </c>
      <c r="C715" s="279">
        <f>+H685</f>
        <v>0</v>
      </c>
      <c r="D715" s="216"/>
      <c r="E715" s="216"/>
      <c r="H715" s="214"/>
      <c r="Q715" s="166"/>
    </row>
    <row r="716" spans="2:17" x14ac:dyDescent="0.2">
      <c r="B716" s="275">
        <v>2022</v>
      </c>
      <c r="C716" s="279">
        <f>+H696</f>
        <v>0</v>
      </c>
      <c r="D716" s="216"/>
      <c r="E716" s="216"/>
      <c r="Q716" s="166"/>
    </row>
    <row r="717" spans="2:17" x14ac:dyDescent="0.2">
      <c r="B717" s="275">
        <v>2023</v>
      </c>
      <c r="C717" s="279">
        <f>+H703</f>
        <v>0</v>
      </c>
      <c r="D717" s="216"/>
      <c r="E717" s="216"/>
      <c r="Q717" s="166"/>
    </row>
    <row r="718" spans="2:17" x14ac:dyDescent="0.2">
      <c r="B718" s="275">
        <v>2024</v>
      </c>
      <c r="C718" s="279">
        <f>+H710</f>
        <v>0</v>
      </c>
      <c r="D718" s="216"/>
      <c r="E718" s="216"/>
      <c r="P718" s="203"/>
      <c r="Q718" s="166"/>
    </row>
    <row r="719" spans="2:17" x14ac:dyDescent="0.2">
      <c r="P719" s="206"/>
      <c r="Q719" s="166"/>
    </row>
    <row r="720" spans="2:17" x14ac:dyDescent="0.2">
      <c r="P720" s="206"/>
      <c r="Q720" s="166"/>
    </row>
  </sheetData>
  <sheetProtection algorithmName="SHA-512" hashValue="H1glCEL5Dtu3m0Iz21hwLFWVJRSaXT2jZrtM+xJMpIvP1CIjNxEMIkJg9gHOJvdmpUWtVuVbQ2xH3n8eF89pyA==" saltValue="Oaf8O8pGlEfsUV/roObf4g==" spinCount="100000" sheet="1" objects="1" scenarios="1"/>
  <mergeCells count="418">
    <mergeCell ref="B19:E19"/>
    <mergeCell ref="B20:E20"/>
    <mergeCell ref="B18:E18"/>
    <mergeCell ref="B21:E21"/>
    <mergeCell ref="B22:E22"/>
    <mergeCell ref="A1:J1"/>
    <mergeCell ref="B4:E4"/>
    <mergeCell ref="B7:E7"/>
    <mergeCell ref="B13:E13"/>
    <mergeCell ref="B15:E15"/>
    <mergeCell ref="B17:E17"/>
    <mergeCell ref="B16:E16"/>
    <mergeCell ref="B34:E34"/>
    <mergeCell ref="B35:E35"/>
    <mergeCell ref="B36:E36"/>
    <mergeCell ref="B37:E37"/>
    <mergeCell ref="B38:E38"/>
    <mergeCell ref="B39:E39"/>
    <mergeCell ref="B24:E24"/>
    <mergeCell ref="B25:E25"/>
    <mergeCell ref="B29:E29"/>
    <mergeCell ref="B31:E31"/>
    <mergeCell ref="B32:E32"/>
    <mergeCell ref="B33:E33"/>
    <mergeCell ref="B40:E40"/>
    <mergeCell ref="B41:E41"/>
    <mergeCell ref="B53:E53"/>
    <mergeCell ref="B54:E54"/>
    <mergeCell ref="B55:E55"/>
    <mergeCell ref="B56:E56"/>
    <mergeCell ref="B42:E42"/>
    <mergeCell ref="B43:E43"/>
    <mergeCell ref="B44:E44"/>
    <mergeCell ref="B45:E45"/>
    <mergeCell ref="B46:E46"/>
    <mergeCell ref="B47:E47"/>
    <mergeCell ref="B48:E48"/>
    <mergeCell ref="B49:E49"/>
    <mergeCell ref="B50:E50"/>
    <mergeCell ref="B51:E51"/>
    <mergeCell ref="B52:E52"/>
    <mergeCell ref="B85:E85"/>
    <mergeCell ref="B63:E63"/>
    <mergeCell ref="B75:E75"/>
    <mergeCell ref="B76:E76"/>
    <mergeCell ref="B77:E77"/>
    <mergeCell ref="B78:E78"/>
    <mergeCell ref="B79:E79"/>
    <mergeCell ref="B57:E57"/>
    <mergeCell ref="B58:E58"/>
    <mergeCell ref="B59:E59"/>
    <mergeCell ref="B60:E60"/>
    <mergeCell ref="B61:E61"/>
    <mergeCell ref="B62:E62"/>
    <mergeCell ref="B64:E64"/>
    <mergeCell ref="B71:E71"/>
    <mergeCell ref="B72:E72"/>
    <mergeCell ref="B73:E73"/>
    <mergeCell ref="B74:E74"/>
    <mergeCell ref="B97:E97"/>
    <mergeCell ref="B98:E98"/>
    <mergeCell ref="B65:E65"/>
    <mergeCell ref="B66:E66"/>
    <mergeCell ref="B67:E67"/>
    <mergeCell ref="B68:E68"/>
    <mergeCell ref="B69:E69"/>
    <mergeCell ref="B70:E70"/>
    <mergeCell ref="B92:E92"/>
    <mergeCell ref="B93:E93"/>
    <mergeCell ref="B94:E94"/>
    <mergeCell ref="B95:E95"/>
    <mergeCell ref="B96:E96"/>
    <mergeCell ref="B86:E86"/>
    <mergeCell ref="B87:E87"/>
    <mergeCell ref="B88:E88"/>
    <mergeCell ref="B89:E89"/>
    <mergeCell ref="B90:E90"/>
    <mergeCell ref="B91:E91"/>
    <mergeCell ref="B80:E80"/>
    <mergeCell ref="B81:E81"/>
    <mergeCell ref="B82:E82"/>
    <mergeCell ref="B83:E83"/>
    <mergeCell ref="B84:E84"/>
    <mergeCell ref="B105:E105"/>
    <mergeCell ref="B106:E106"/>
    <mergeCell ref="B107:E107"/>
    <mergeCell ref="B99:E99"/>
    <mergeCell ref="B100:E100"/>
    <mergeCell ref="B101:E101"/>
    <mergeCell ref="B102:E102"/>
    <mergeCell ref="B103:E103"/>
    <mergeCell ref="B104:E104"/>
    <mergeCell ref="B112:E112"/>
    <mergeCell ref="B113:E113"/>
    <mergeCell ref="B114:E114"/>
    <mergeCell ref="B115:E115"/>
    <mergeCell ref="B116:E116"/>
    <mergeCell ref="B117:E117"/>
    <mergeCell ref="B108:E108"/>
    <mergeCell ref="B109:E109"/>
    <mergeCell ref="B110:E110"/>
    <mergeCell ref="B111:E111"/>
    <mergeCell ref="B126:E126"/>
    <mergeCell ref="B127:E127"/>
    <mergeCell ref="B128:E128"/>
    <mergeCell ref="B129:E129"/>
    <mergeCell ref="B130:E130"/>
    <mergeCell ref="B131:E131"/>
    <mergeCell ref="B118:E118"/>
    <mergeCell ref="B120:E120"/>
    <mergeCell ref="B122:E122"/>
    <mergeCell ref="B123:E123"/>
    <mergeCell ref="B124:E124"/>
    <mergeCell ref="B125:E125"/>
    <mergeCell ref="B142:E142"/>
    <mergeCell ref="B143:E143"/>
    <mergeCell ref="B144:E144"/>
    <mergeCell ref="B145:E145"/>
    <mergeCell ref="B146:E146"/>
    <mergeCell ref="B147:E147"/>
    <mergeCell ref="B132:E132"/>
    <mergeCell ref="B133:E133"/>
    <mergeCell ref="B137:E137"/>
    <mergeCell ref="B139:E139"/>
    <mergeCell ref="B140:E140"/>
    <mergeCell ref="B141:E141"/>
    <mergeCell ref="B148:E148"/>
    <mergeCell ref="B149:E149"/>
    <mergeCell ref="B161:E161"/>
    <mergeCell ref="B162:E162"/>
    <mergeCell ref="B163:E163"/>
    <mergeCell ref="B164:E164"/>
    <mergeCell ref="B150:E150"/>
    <mergeCell ref="B151:E151"/>
    <mergeCell ref="B152:E152"/>
    <mergeCell ref="B153:E153"/>
    <mergeCell ref="B154:E154"/>
    <mergeCell ref="B155:E155"/>
    <mergeCell ref="B156:E156"/>
    <mergeCell ref="B157:E157"/>
    <mergeCell ref="B158:E158"/>
    <mergeCell ref="B159:E159"/>
    <mergeCell ref="B160:E160"/>
    <mergeCell ref="B193:E193"/>
    <mergeCell ref="B171:E171"/>
    <mergeCell ref="B183:E183"/>
    <mergeCell ref="B184:E184"/>
    <mergeCell ref="B185:E185"/>
    <mergeCell ref="B186:E186"/>
    <mergeCell ref="B187:E187"/>
    <mergeCell ref="B165:E165"/>
    <mergeCell ref="B166:E166"/>
    <mergeCell ref="B167:E167"/>
    <mergeCell ref="B168:E168"/>
    <mergeCell ref="B169:E169"/>
    <mergeCell ref="B170:E170"/>
    <mergeCell ref="B172:E172"/>
    <mergeCell ref="B179:E179"/>
    <mergeCell ref="B180:E180"/>
    <mergeCell ref="B181:E181"/>
    <mergeCell ref="B182:E182"/>
    <mergeCell ref="B205:E205"/>
    <mergeCell ref="B206:E206"/>
    <mergeCell ref="B173:E173"/>
    <mergeCell ref="B174:E174"/>
    <mergeCell ref="B175:E175"/>
    <mergeCell ref="B176:E176"/>
    <mergeCell ref="B177:E177"/>
    <mergeCell ref="B178:E178"/>
    <mergeCell ref="B200:E200"/>
    <mergeCell ref="B201:E201"/>
    <mergeCell ref="B202:E202"/>
    <mergeCell ref="B203:E203"/>
    <mergeCell ref="B204:E204"/>
    <mergeCell ref="B194:E194"/>
    <mergeCell ref="B195:E195"/>
    <mergeCell ref="B196:E196"/>
    <mergeCell ref="B197:E197"/>
    <mergeCell ref="B198:E198"/>
    <mergeCell ref="B199:E199"/>
    <mergeCell ref="B188:E188"/>
    <mergeCell ref="B189:E189"/>
    <mergeCell ref="B190:E190"/>
    <mergeCell ref="B191:E191"/>
    <mergeCell ref="B192:E192"/>
    <mergeCell ref="B216:E216"/>
    <mergeCell ref="B217:E217"/>
    <mergeCell ref="B218:E218"/>
    <mergeCell ref="B219:E219"/>
    <mergeCell ref="B213:E213"/>
    <mergeCell ref="B214:E214"/>
    <mergeCell ref="B215:E215"/>
    <mergeCell ref="B207:E207"/>
    <mergeCell ref="B208:E208"/>
    <mergeCell ref="B209:E209"/>
    <mergeCell ref="B210:E210"/>
    <mergeCell ref="B211:E211"/>
    <mergeCell ref="B212:E212"/>
    <mergeCell ref="B226:E226"/>
    <mergeCell ref="B229:E229"/>
    <mergeCell ref="B230:E230"/>
    <mergeCell ref="B231:E231"/>
    <mergeCell ref="B232:E232"/>
    <mergeCell ref="B233:E233"/>
    <mergeCell ref="B220:E220"/>
    <mergeCell ref="B221:E221"/>
    <mergeCell ref="B222:E222"/>
    <mergeCell ref="B223:E223"/>
    <mergeCell ref="B224:E224"/>
    <mergeCell ref="B225:E225"/>
    <mergeCell ref="B240:E240"/>
    <mergeCell ref="B245:E245"/>
    <mergeCell ref="B247:E247"/>
    <mergeCell ref="B248:E248"/>
    <mergeCell ref="B234:E234"/>
    <mergeCell ref="B235:E235"/>
    <mergeCell ref="B236:E236"/>
    <mergeCell ref="B237:E237"/>
    <mergeCell ref="B238:E238"/>
    <mergeCell ref="B239:E239"/>
    <mergeCell ref="B260:E260"/>
    <mergeCell ref="B264:E264"/>
    <mergeCell ref="B265:E265"/>
    <mergeCell ref="B266:E266"/>
    <mergeCell ref="B271:E271"/>
    <mergeCell ref="B272:E272"/>
    <mergeCell ref="B249:E249"/>
    <mergeCell ref="B250:E250"/>
    <mergeCell ref="B252:E252"/>
    <mergeCell ref="B259:E259"/>
    <mergeCell ref="B283:E283"/>
    <mergeCell ref="B288:E288"/>
    <mergeCell ref="B289:E289"/>
    <mergeCell ref="B290:E290"/>
    <mergeCell ref="B291:E291"/>
    <mergeCell ref="B292:E292"/>
    <mergeCell ref="B273:E273"/>
    <mergeCell ref="B274:E274"/>
    <mergeCell ref="B279:E279"/>
    <mergeCell ref="B280:E280"/>
    <mergeCell ref="B281:E281"/>
    <mergeCell ref="B282:E282"/>
    <mergeCell ref="B303:E303"/>
    <mergeCell ref="B304:E304"/>
    <mergeCell ref="B309:E309"/>
    <mergeCell ref="B310:E310"/>
    <mergeCell ref="B311:E311"/>
    <mergeCell ref="B316:E316"/>
    <mergeCell ref="B293:E293"/>
    <mergeCell ref="B298:E298"/>
    <mergeCell ref="B299:E299"/>
    <mergeCell ref="B300:E300"/>
    <mergeCell ref="B301:E301"/>
    <mergeCell ref="B302:E302"/>
    <mergeCell ref="B356:E356"/>
    <mergeCell ref="B361:E361"/>
    <mergeCell ref="B362:E362"/>
    <mergeCell ref="B363:E363"/>
    <mergeCell ref="B364:E364"/>
    <mergeCell ref="B369:E369"/>
    <mergeCell ref="B317:E317"/>
    <mergeCell ref="B318:E318"/>
    <mergeCell ref="B349:E349"/>
    <mergeCell ref="B350:E350"/>
    <mergeCell ref="B354:E354"/>
    <mergeCell ref="B355:E355"/>
    <mergeCell ref="B333:E333"/>
    <mergeCell ref="B334:E334"/>
    <mergeCell ref="B444:E444"/>
    <mergeCell ref="B380:E380"/>
    <mergeCell ref="B381:E381"/>
    <mergeCell ref="B382:E382"/>
    <mergeCell ref="B383:E383"/>
    <mergeCell ref="B388:E388"/>
    <mergeCell ref="B389:E389"/>
    <mergeCell ref="B370:E370"/>
    <mergeCell ref="B371:E371"/>
    <mergeCell ref="B372:E372"/>
    <mergeCell ref="B373:E373"/>
    <mergeCell ref="B378:E378"/>
    <mergeCell ref="B379:E379"/>
    <mergeCell ref="B424:E424"/>
    <mergeCell ref="B425:E425"/>
    <mergeCell ref="B429:E429"/>
    <mergeCell ref="B430:E430"/>
    <mergeCell ref="B431:E431"/>
    <mergeCell ref="B436:E436"/>
    <mergeCell ref="B437:E437"/>
    <mergeCell ref="B438:E438"/>
    <mergeCell ref="B439:E439"/>
    <mergeCell ref="B400:E400"/>
    <mergeCell ref="B401:E401"/>
    <mergeCell ref="B406:E406"/>
    <mergeCell ref="B407:E407"/>
    <mergeCell ref="B408:E408"/>
    <mergeCell ref="B390:E390"/>
    <mergeCell ref="B391:E391"/>
    <mergeCell ref="B392:E392"/>
    <mergeCell ref="B393:E393"/>
    <mergeCell ref="B394:E394"/>
    <mergeCell ref="B399:E399"/>
    <mergeCell ref="B508:E508"/>
    <mergeCell ref="B513:E513"/>
    <mergeCell ref="B514:E514"/>
    <mergeCell ref="B515:E515"/>
    <mergeCell ref="B516:E516"/>
    <mergeCell ref="B521:E521"/>
    <mergeCell ref="B501:E501"/>
    <mergeCell ref="B502:E502"/>
    <mergeCell ref="B506:E506"/>
    <mergeCell ref="B507:E507"/>
    <mergeCell ref="B532:E532"/>
    <mergeCell ref="B533:E533"/>
    <mergeCell ref="B534:E534"/>
    <mergeCell ref="B535:E535"/>
    <mergeCell ref="B540:E540"/>
    <mergeCell ref="B541:E541"/>
    <mergeCell ref="B522:E522"/>
    <mergeCell ref="B523:E523"/>
    <mergeCell ref="B524:E524"/>
    <mergeCell ref="B525:E525"/>
    <mergeCell ref="B530:E530"/>
    <mergeCell ref="B531:E531"/>
    <mergeCell ref="B552:E552"/>
    <mergeCell ref="B553:E553"/>
    <mergeCell ref="B558:E558"/>
    <mergeCell ref="B559:E559"/>
    <mergeCell ref="B560:E560"/>
    <mergeCell ref="B542:E542"/>
    <mergeCell ref="B543:E543"/>
    <mergeCell ref="B544:E544"/>
    <mergeCell ref="B545:E545"/>
    <mergeCell ref="B546:E546"/>
    <mergeCell ref="B551:E551"/>
    <mergeCell ref="B583:E583"/>
    <mergeCell ref="B588:E588"/>
    <mergeCell ref="B589:E589"/>
    <mergeCell ref="B590:E590"/>
    <mergeCell ref="B591:E591"/>
    <mergeCell ref="B596:E596"/>
    <mergeCell ref="B576:E576"/>
    <mergeCell ref="B577:E577"/>
    <mergeCell ref="B581:E581"/>
    <mergeCell ref="B582:E582"/>
    <mergeCell ref="B607:E607"/>
    <mergeCell ref="B608:E608"/>
    <mergeCell ref="B609:E609"/>
    <mergeCell ref="B610:E610"/>
    <mergeCell ref="B615:E615"/>
    <mergeCell ref="B616:E616"/>
    <mergeCell ref="B597:E597"/>
    <mergeCell ref="B598:E598"/>
    <mergeCell ref="B599:E599"/>
    <mergeCell ref="B600:E600"/>
    <mergeCell ref="B605:E605"/>
    <mergeCell ref="B606:E606"/>
    <mergeCell ref="B627:E627"/>
    <mergeCell ref="B628:E628"/>
    <mergeCell ref="B633:E633"/>
    <mergeCell ref="B634:E634"/>
    <mergeCell ref="B617:E617"/>
    <mergeCell ref="B618:E618"/>
    <mergeCell ref="B619:E619"/>
    <mergeCell ref="B620:E620"/>
    <mergeCell ref="B621:E621"/>
    <mergeCell ref="B626:E626"/>
    <mergeCell ref="B657:E657"/>
    <mergeCell ref="B662:E662"/>
    <mergeCell ref="B663:E663"/>
    <mergeCell ref="B664:E664"/>
    <mergeCell ref="B665:E665"/>
    <mergeCell ref="B670:E670"/>
    <mergeCell ref="B650:E650"/>
    <mergeCell ref="B651:E651"/>
    <mergeCell ref="B655:E655"/>
    <mergeCell ref="B656:E656"/>
    <mergeCell ref="B681:E681"/>
    <mergeCell ref="B682:E682"/>
    <mergeCell ref="B683:E683"/>
    <mergeCell ref="B684:E684"/>
    <mergeCell ref="B689:E689"/>
    <mergeCell ref="B690:E690"/>
    <mergeCell ref="B671:E671"/>
    <mergeCell ref="B672:E672"/>
    <mergeCell ref="B673:E673"/>
    <mergeCell ref="B674:E674"/>
    <mergeCell ref="B679:E679"/>
    <mergeCell ref="B680:E680"/>
    <mergeCell ref="B701:E701"/>
    <mergeCell ref="B702:E702"/>
    <mergeCell ref="B707:E707"/>
    <mergeCell ref="B708:E708"/>
    <mergeCell ref="B709:E709"/>
    <mergeCell ref="B691:E691"/>
    <mergeCell ref="B692:E692"/>
    <mergeCell ref="B693:E693"/>
    <mergeCell ref="B694:E694"/>
    <mergeCell ref="B695:E695"/>
    <mergeCell ref="B700:E700"/>
    <mergeCell ref="B445:E445"/>
    <mergeCell ref="B446:E446"/>
    <mergeCell ref="B447:E447"/>
    <mergeCell ref="B448:E448"/>
    <mergeCell ref="B453:E453"/>
    <mergeCell ref="B454:E454"/>
    <mergeCell ref="B455:E455"/>
    <mergeCell ref="B456:E456"/>
    <mergeCell ref="B457:E457"/>
    <mergeCell ref="B475:E475"/>
    <mergeCell ref="B458:E458"/>
    <mergeCell ref="B463:E463"/>
    <mergeCell ref="B464:E464"/>
    <mergeCell ref="B465:E465"/>
    <mergeCell ref="B466:E466"/>
    <mergeCell ref="B467:E467"/>
    <mergeCell ref="B468:E468"/>
    <mergeCell ref="B469:E469"/>
    <mergeCell ref="B474:E474"/>
  </mergeCells>
  <conditionalFormatting sqref="B329:D329 B331:F331 B333:I335 B337:F337 B339:C342">
    <cfRule type="expression" dxfId="39" priority="7">
      <formula>$B$7="gas"</formula>
    </cfRule>
  </conditionalFormatting>
  <conditionalFormatting sqref="N15:P15 N17:P17 N41 N63 N147:N149 O148:O149 P149 N169:N171 O170:O171 P171 B248:G248 B318:I318 B408:I408">
    <cfRule type="expression" dxfId="38" priority="6">
      <formula>$B$7="elektriciteit"</formula>
    </cfRule>
  </conditionalFormatting>
  <conditionalFormatting sqref="B16:P16 R16 R18 B18:P18 B21:P21 R21 B42:P52 R42:R52 B64:P74 R64:R74 B97:P107 R97:R107 B150:P160 R150:R160 B172:P182 R172:R182 B205:P215 R205:R215 B329:C329 B331:F331 B333:I335 B337:F337 B339:C342 B420:C420 B422:F422 B424:K425 B427:F427 B429:M432 B436:M440 B434:F434 B442:F442 B444:M449 B451:F451 B453:I459 B461:F461 B463:I470 B472:F472 B474:I476 B478:F478 B480:C483 B572:E572 B574:F574 B576:K577 B579:F579 B581:M584 B588:M592 B586:F586 B594:F594 B596:M601 B603:F603 B605:I611 B613:F613 B615:I622 B624:F624 B626:I629 B631:F631 B633:I635 B638:F638 B640:C643">
    <cfRule type="expression" dxfId="37" priority="5">
      <formula>$B$7="gas"</formula>
    </cfRule>
  </conditionalFormatting>
  <conditionalFormatting sqref="B336:F336">
    <cfRule type="expression" dxfId="36" priority="4">
      <formula>$B$7="gas"</formula>
    </cfRule>
  </conditionalFormatting>
  <conditionalFormatting sqref="B336:F336">
    <cfRule type="expression" dxfId="35" priority="3">
      <formula>$B$7="gas"</formula>
    </cfRule>
  </conditionalFormatting>
  <conditionalFormatting sqref="B477:F477">
    <cfRule type="expression" dxfId="34" priority="2">
      <formula>$B$7="gas"</formula>
    </cfRule>
  </conditionalFormatting>
  <conditionalFormatting sqref="B637:F637">
    <cfRule type="expression" dxfId="33"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3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2F5803B4-BAAC-4F6D-9165-D40B8A7F9C4B}">
  <ds:schemaRefs>
    <ds:schemaRef ds:uri="http://schemas.microsoft.com/sharepoint/v3/contenttype/forms"/>
  </ds:schemaRefs>
</ds:datastoreItem>
</file>

<file path=customXml/itemProps2.xml><?xml version="1.0" encoding="utf-8"?>
<ds:datastoreItem xmlns:ds="http://schemas.openxmlformats.org/officeDocument/2006/customXml" ds:itemID="{BA142626-9F1B-4D74-AF83-5152086E4B98}"/>
</file>

<file path=customXml/itemProps3.xml><?xml version="1.0" encoding="utf-8"?>
<ds:datastoreItem xmlns:ds="http://schemas.openxmlformats.org/officeDocument/2006/customXml" ds:itemID="{9D27CE37-1D3F-406F-AC3B-A34EF828CF90}">
  <ds:schemaRefs>
    <ds:schemaRef ds:uri="http://schemas.microsoft.com/office/2006/documentManagement/types"/>
    <ds:schemaRef ds:uri="f65e3622-9e98-425f-aa40-20fd82b55120"/>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f7929868-5c60-4b7a-9419-92aad257c99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28</vt:i4>
      </vt:variant>
      <vt:variant>
        <vt:lpstr>Benoemde bereiken</vt:lpstr>
      </vt:variant>
      <vt:variant>
        <vt:i4>28</vt:i4>
      </vt:variant>
    </vt:vector>
  </HeadingPairs>
  <TitlesOfParts>
    <vt:vector size="56" baseType="lpstr">
      <vt:lpstr>TITELBLAD</vt:lpstr>
      <vt:lpstr>--&gt; EXO</vt:lpstr>
      <vt:lpstr>T1</vt:lpstr>
      <vt:lpstr>T2 - Overzicht</vt:lpstr>
      <vt:lpstr>T3</vt:lpstr>
      <vt:lpstr>T4A</vt:lpstr>
      <vt:lpstr>T4B</vt:lpstr>
      <vt:lpstr>T5A</vt:lpstr>
      <vt:lpstr>T5B</vt:lpstr>
      <vt:lpstr>T5C</vt:lpstr>
      <vt:lpstr>T5D</vt:lpstr>
      <vt:lpstr>T5E</vt:lpstr>
      <vt:lpstr>T5F</vt:lpstr>
      <vt:lpstr>T6A</vt:lpstr>
      <vt:lpstr>T6B</vt:lpstr>
      <vt:lpstr>T7</vt:lpstr>
      <vt:lpstr>T8</vt:lpstr>
      <vt:lpstr>--&gt; ENDO</vt:lpstr>
      <vt:lpstr>T9 - Overzicht</vt:lpstr>
      <vt:lpstr>T10</vt:lpstr>
      <vt:lpstr>T11</vt:lpstr>
      <vt:lpstr>T12</vt:lpstr>
      <vt:lpstr>T13A</vt:lpstr>
      <vt:lpstr>T13B</vt:lpstr>
      <vt:lpstr>T13C</vt:lpstr>
      <vt:lpstr>T13D</vt:lpstr>
      <vt:lpstr>T14</vt:lpstr>
      <vt:lpstr>Werkblad</vt:lpstr>
      <vt:lpstr>'T1'!Afdrukbereik</vt:lpstr>
      <vt:lpstr>'T10'!Afdrukbereik</vt:lpstr>
      <vt:lpstr>'T11'!Afdrukbereik</vt:lpstr>
      <vt:lpstr>'T12'!Afdrukbereik</vt:lpstr>
      <vt:lpstr>T13A!Afdrukbereik</vt:lpstr>
      <vt:lpstr>T13B!Afdrukbereik</vt:lpstr>
      <vt:lpstr>T13C!Afdrukbereik</vt:lpstr>
      <vt:lpstr>T13D!Afdrukbereik</vt:lpstr>
      <vt:lpstr>'T2 - Overzicht'!Afdrukbereik</vt:lpstr>
      <vt:lpstr>'T3'!Afdrukbereik</vt:lpstr>
      <vt:lpstr>T4A!Afdrukbereik</vt:lpstr>
      <vt:lpstr>T4B!Afdrukbereik</vt:lpstr>
      <vt:lpstr>T5A!Afdrukbereik</vt:lpstr>
      <vt:lpstr>T5B!Afdrukbereik</vt:lpstr>
      <vt:lpstr>T5C!Afdrukbereik</vt:lpstr>
      <vt:lpstr>T5D!Afdrukbereik</vt:lpstr>
      <vt:lpstr>T5E!Afdrukbereik</vt:lpstr>
      <vt:lpstr>T5F!Afdrukbereik</vt:lpstr>
      <vt:lpstr>T6A!Afdrukbereik</vt:lpstr>
      <vt:lpstr>T6B!Afdrukbereik</vt:lpstr>
      <vt:lpstr>'T7'!Afdrukbereik</vt:lpstr>
      <vt:lpstr>'T8'!Afdrukbereik</vt:lpstr>
      <vt:lpstr>TITELBLAD!Afdrukbereik</vt:lpstr>
      <vt:lpstr>T4A!Afdruktitels</vt:lpstr>
      <vt:lpstr>T5A!Afdruktitels</vt:lpstr>
      <vt:lpstr>T6A!Afdruktitels</vt:lpstr>
      <vt:lpstr>'T7'!Afdruktitels</vt:lpstr>
      <vt:lpstr>'T8'!Afdruktitels</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Marc Michiels</cp:lastModifiedBy>
  <cp:lastPrinted>2016-03-03T07:50:12Z</cp:lastPrinted>
  <dcterms:created xsi:type="dcterms:W3CDTF">2014-05-06T11:13:59Z</dcterms:created>
  <dcterms:modified xsi:type="dcterms:W3CDTF">2021-09-29T14:14:46Z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